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F422AEE8-6FCF-4BF5-8CA9-ECAF98FDBCBB}" xr6:coauthVersionLast="45" xr6:coauthVersionMax="45" xr10:uidLastSave="{00000000-0000-0000-0000-000000000000}"/>
  <bookViews>
    <workbookView xWindow="-120" yWindow="-120" windowWidth="29040" windowHeight="15840" tabRatio="500" firstSheet="3" activeTab="6" xr2:uid="{00000000-000D-0000-FFFF-FFFF00000000}"/>
  </bookViews>
  <sheets>
    <sheet name="Banderas" sheetId="12" r:id="rId1"/>
    <sheet name="Planning_Entrenamiento" sheetId="5" r:id="rId2"/>
    <sheet name="Liga" sheetId="4" r:id="rId3"/>
    <sheet name="Goles" sheetId="21" r:id="rId4"/>
    <sheet name="Hall_of_Fame" sheetId="1" r:id="rId5"/>
    <sheet name="Fites" sheetId="22" r:id="rId6"/>
    <sheet name="PLANTILLA" sheetId="2" r:id="rId7"/>
    <sheet name="JUVENILES" sheetId="3" r:id="rId8"/>
    <sheet name="ECONOMIA" sheetId="20" r:id="rId9"/>
    <sheet name="Capitán" sheetId="7" r:id="rId10"/>
    <sheet name="CA_Calcutator" sheetId="8" r:id="rId11"/>
    <sheet name="EstudioConversion" sheetId="9" r:id="rId12"/>
    <sheet name="El Tártaro" sheetId="10" r:id="rId13"/>
    <sheet name="Evaluacion Jugadores" sheetId="13" r:id="rId14"/>
    <sheet name="LAT" sheetId="14" r:id="rId15"/>
    <sheet name="Entrenador" sheetId="11" r:id="rId16"/>
    <sheet name="Inner" sheetId="19" r:id="rId17"/>
    <sheet name="Delantero" sheetId="15" r:id="rId18"/>
    <sheet name="PorteroTitular" sheetId="16" r:id="rId19"/>
    <sheet name="PorteroSuplente" sheetId="17" r:id="rId20"/>
  </sheets>
  <definedNames>
    <definedName name="_xlnm._FilterDatabase" localSheetId="11" hidden="1">EstudioConversion!$A$1:$H$159</definedName>
  </definedNames>
  <calcPr calcId="191029"/>
  <pivotCaches>
    <pivotCache cacheId="115" r:id="rId21"/>
    <pivotCache cacheId="116" r:id="rId2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smNativeData">
      <pm:revision xmlns:pm="smNativeData" day="1595604475" val="976" rev="124" rev64="64" revOS="3" revMin="124" revMax="0"/>
      <pm:docPrefs xmlns:pm="smNativeData" id="1595604475" fixedDigits="0" showNotice="1" showFrameBounds="1" autoChart="1" recalcOnPrint="1" recalcOnCopy="1" finalRounding="1" compatTextArt="1" tab="567" useDefinedPrintRange="1" printArea="currentSheet"/>
      <pm:compatibility xmlns:pm="smNativeData" id="1595604475" overlapCells="1"/>
      <pm:defCurrency xmlns:pm="smNativeData" id="1595604475"/>
    </ext>
  </extLst>
</workbook>
</file>

<file path=xl/calcChain.xml><?xml version="1.0" encoding="utf-8"?>
<calcChain xmlns="http://schemas.openxmlformats.org/spreadsheetml/2006/main">
  <c r="AQ18" i="2" l="1"/>
  <c r="U18" i="2"/>
  <c r="W18" i="2"/>
  <c r="R18" i="2"/>
  <c r="S18" i="2"/>
  <c r="P18" i="2"/>
  <c r="N18" i="2"/>
  <c r="AF18" i="2" s="1"/>
  <c r="J18" i="2"/>
  <c r="K18" i="2"/>
  <c r="L18" i="2"/>
  <c r="AI18" i="2" l="1"/>
  <c r="AG18" i="2"/>
  <c r="AM18" i="2"/>
  <c r="AK18" i="2"/>
  <c r="AH18" i="2"/>
  <c r="AL18" i="2"/>
  <c r="AJ18" i="2"/>
  <c r="AA12" i="2" l="1"/>
  <c r="U20" i="1"/>
  <c r="AA9" i="2" l="1"/>
  <c r="AA15" i="2"/>
  <c r="AA8" i="2"/>
  <c r="AA7" i="2"/>
  <c r="AA21" i="2"/>
  <c r="AA14" i="2"/>
  <c r="AA11" i="2"/>
  <c r="AA13" i="2"/>
  <c r="Y14" i="2"/>
  <c r="Y8" i="2"/>
  <c r="Y13" i="2"/>
  <c r="Y15" i="2"/>
  <c r="Y11" i="2"/>
  <c r="Y10" i="2"/>
  <c r="Y7" i="2"/>
  <c r="Y9" i="2"/>
  <c r="D3" i="21" l="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D219" i="21"/>
  <c r="D220" i="21"/>
  <c r="D221" i="21"/>
  <c r="D222" i="21"/>
  <c r="D223" i="21"/>
  <c r="D224" i="21"/>
  <c r="D225" i="21"/>
  <c r="D226" i="21"/>
  <c r="D227" i="21"/>
  <c r="D228" i="21"/>
  <c r="D229" i="21"/>
  <c r="D230" i="21"/>
  <c r="D231" i="21"/>
  <c r="D232" i="21"/>
  <c r="D233" i="21"/>
  <c r="D234" i="21"/>
  <c r="D235" i="21"/>
  <c r="D236" i="21"/>
  <c r="D237" i="21"/>
  <c r="D238" i="21"/>
  <c r="D239" i="21"/>
  <c r="D240" i="21"/>
  <c r="D241" i="21"/>
  <c r="D242" i="21"/>
  <c r="D243" i="21"/>
  <c r="D244" i="21"/>
  <c r="D245" i="21"/>
  <c r="D246" i="21"/>
  <c r="D247" i="21"/>
  <c r="D248" i="21"/>
  <c r="D249" i="21"/>
  <c r="D250" i="21"/>
  <c r="D251" i="21"/>
  <c r="D252" i="21"/>
  <c r="D253" i="21"/>
  <c r="D254" i="21"/>
  <c r="D255" i="21"/>
  <c r="D256" i="21"/>
  <c r="D257" i="21"/>
  <c r="D258" i="21"/>
  <c r="D259" i="21"/>
  <c r="D260" i="21"/>
  <c r="D261" i="21"/>
  <c r="D262" i="21"/>
  <c r="D263" i="21"/>
  <c r="D264" i="21"/>
  <c r="D265" i="21"/>
  <c r="D266" i="21"/>
  <c r="D267" i="21"/>
  <c r="D268" i="21"/>
  <c r="D269" i="21"/>
  <c r="D270" i="21"/>
  <c r="D271" i="21"/>
  <c r="D272" i="21"/>
  <c r="D273" i="21"/>
  <c r="D274" i="21"/>
  <c r="D275" i="21"/>
  <c r="D276" i="21"/>
  <c r="D277" i="21"/>
  <c r="D278" i="21"/>
  <c r="D279" i="21"/>
  <c r="D280" i="21"/>
  <c r="D281" i="21"/>
  <c r="D282" i="21"/>
  <c r="D283" i="21"/>
  <c r="D284" i="21"/>
  <c r="D285" i="21"/>
  <c r="D286" i="21"/>
  <c r="D287" i="21"/>
  <c r="D288" i="21"/>
  <c r="D289" i="21"/>
  <c r="D290" i="21"/>
  <c r="D291" i="21"/>
  <c r="D292" i="21"/>
  <c r="D293" i="21"/>
  <c r="D294" i="21"/>
  <c r="D295" i="21"/>
  <c r="D296" i="21"/>
  <c r="D297" i="21"/>
  <c r="D298" i="21"/>
  <c r="D299" i="21"/>
  <c r="D300" i="21"/>
  <c r="D301" i="21"/>
  <c r="D302" i="21"/>
  <c r="D303" i="21"/>
  <c r="D304" i="21"/>
  <c r="D305" i="21"/>
  <c r="D306" i="21"/>
  <c r="D307" i="21"/>
  <c r="D308" i="21"/>
  <c r="D309" i="21"/>
  <c r="D310" i="21"/>
  <c r="D311" i="21"/>
  <c r="D312" i="21"/>
  <c r="D313" i="21"/>
  <c r="D314" i="21"/>
  <c r="D315" i="21"/>
  <c r="D316" i="21"/>
  <c r="D317" i="21"/>
  <c r="D318" i="21"/>
  <c r="D319" i="21"/>
  <c r="D320" i="21"/>
  <c r="D321" i="21"/>
  <c r="D322" i="21"/>
  <c r="D323" i="21"/>
  <c r="D324" i="21"/>
  <c r="D325" i="21"/>
  <c r="D326" i="21"/>
  <c r="D327" i="21"/>
  <c r="D328" i="21"/>
  <c r="D329" i="21"/>
  <c r="D330" i="21"/>
  <c r="D331" i="21"/>
  <c r="D332" i="21"/>
  <c r="D333" i="21"/>
  <c r="D334" i="21"/>
  <c r="D335" i="21"/>
  <c r="D336" i="21"/>
  <c r="D337" i="21"/>
  <c r="D338" i="21"/>
  <c r="D339" i="21"/>
  <c r="D340" i="21"/>
  <c r="D341" i="21"/>
  <c r="D342" i="21"/>
  <c r="D343" i="21"/>
  <c r="D344" i="21"/>
  <c r="D345" i="21"/>
  <c r="D346" i="21"/>
  <c r="D347" i="21"/>
  <c r="D348" i="21"/>
  <c r="D349" i="21"/>
  <c r="D350" i="21"/>
  <c r="D351" i="21"/>
  <c r="D352" i="21"/>
  <c r="D353" i="21"/>
  <c r="D354" i="21"/>
  <c r="D355" i="21"/>
  <c r="D356" i="21"/>
  <c r="D357" i="21"/>
  <c r="D358" i="21"/>
  <c r="D359" i="21"/>
  <c r="D360" i="21"/>
  <c r="D361" i="21"/>
  <c r="D362" i="21"/>
  <c r="D363" i="21"/>
  <c r="D364" i="21"/>
  <c r="D365" i="21"/>
  <c r="D366" i="21"/>
  <c r="D367" i="21"/>
  <c r="D368" i="21"/>
  <c r="D369" i="21"/>
  <c r="D370" i="21"/>
  <c r="D371" i="21"/>
  <c r="D372" i="21"/>
  <c r="D373" i="21"/>
  <c r="D374" i="21"/>
  <c r="D375" i="21"/>
  <c r="D376" i="21"/>
  <c r="D377" i="21"/>
  <c r="D378" i="21"/>
  <c r="D379" i="21"/>
  <c r="D380" i="21"/>
  <c r="D381" i="21"/>
  <c r="D382" i="21"/>
  <c r="D383" i="21"/>
  <c r="D384" i="21"/>
  <c r="D385" i="21"/>
  <c r="D386" i="21"/>
  <c r="D387" i="21"/>
  <c r="D388" i="21"/>
  <c r="D389" i="21"/>
  <c r="D390" i="21"/>
  <c r="D391" i="21"/>
  <c r="D392" i="21"/>
  <c r="D393" i="21"/>
  <c r="D394" i="21"/>
  <c r="D395" i="21"/>
  <c r="D396" i="21"/>
  <c r="D397" i="21"/>
  <c r="D398" i="21"/>
  <c r="D399" i="21"/>
  <c r="D400" i="21"/>
  <c r="D401" i="21"/>
  <c r="D402" i="21"/>
  <c r="D403" i="21"/>
  <c r="D404" i="21"/>
  <c r="D405" i="21"/>
  <c r="D406" i="21"/>
  <c r="D407" i="21"/>
  <c r="D408" i="21"/>
  <c r="D409" i="21"/>
  <c r="D410" i="21"/>
  <c r="D411" i="21"/>
  <c r="D412" i="21"/>
  <c r="D413" i="21"/>
  <c r="D414" i="21"/>
  <c r="D415" i="21"/>
  <c r="D416" i="21"/>
  <c r="D417" i="21"/>
  <c r="D418" i="21"/>
  <c r="D419" i="21"/>
  <c r="D420" i="21"/>
  <c r="D421" i="21"/>
  <c r="D422" i="21"/>
  <c r="D423" i="21"/>
  <c r="D424" i="21"/>
  <c r="D425" i="21"/>
  <c r="D426" i="21"/>
  <c r="D427" i="21"/>
  <c r="D428" i="21"/>
  <c r="D429" i="21"/>
  <c r="D430" i="21"/>
  <c r="D431" i="21"/>
  <c r="D432" i="21"/>
  <c r="D433" i="21"/>
  <c r="D434" i="21"/>
  <c r="D435" i="21"/>
  <c r="D436" i="21"/>
  <c r="D437" i="21"/>
  <c r="D438" i="21"/>
  <c r="D439" i="21"/>
  <c r="D440" i="21"/>
  <c r="D441" i="21"/>
  <c r="D442" i="21"/>
  <c r="D443" i="21"/>
  <c r="D444" i="21"/>
  <c r="D445" i="21"/>
  <c r="D446" i="21"/>
  <c r="D447" i="21"/>
  <c r="D448" i="21"/>
  <c r="D449" i="21"/>
  <c r="D450" i="21"/>
  <c r="D451" i="21"/>
  <c r="D452" i="21"/>
  <c r="D453" i="21"/>
  <c r="D454" i="21"/>
  <c r="D455" i="21"/>
  <c r="D456" i="21"/>
  <c r="D457" i="21"/>
  <c r="D458" i="21"/>
  <c r="D459" i="21"/>
  <c r="D460" i="21"/>
  <c r="D461" i="21"/>
  <c r="D462" i="21"/>
  <c r="D463" i="21"/>
  <c r="D464" i="21"/>
  <c r="D465" i="21"/>
  <c r="D466" i="21"/>
  <c r="D467" i="21"/>
  <c r="D468" i="21"/>
  <c r="D469" i="21"/>
  <c r="D470" i="21"/>
  <c r="D471" i="21"/>
  <c r="D472" i="21"/>
  <c r="D473" i="21"/>
  <c r="D474" i="21"/>
  <c r="D475" i="21"/>
  <c r="D476" i="21"/>
  <c r="D477" i="21"/>
  <c r="D478" i="21"/>
  <c r="D479" i="21"/>
  <c r="D480" i="21"/>
  <c r="D481" i="21"/>
  <c r="D482" i="21"/>
  <c r="D483" i="21"/>
  <c r="D484" i="21"/>
  <c r="D485" i="21"/>
  <c r="D486" i="21"/>
  <c r="D487" i="21"/>
  <c r="D488" i="21"/>
  <c r="D489" i="21"/>
  <c r="D490" i="21"/>
  <c r="D491" i="21"/>
  <c r="D492" i="21"/>
  <c r="D493" i="21"/>
  <c r="D494" i="21"/>
  <c r="D495" i="21"/>
  <c r="D496" i="21"/>
  <c r="D497" i="21"/>
  <c r="D498" i="21"/>
  <c r="D499" i="21"/>
  <c r="D500" i="21"/>
  <c r="D501" i="21"/>
  <c r="D502" i="21"/>
  <c r="D503" i="21"/>
  <c r="D504" i="21"/>
  <c r="D505" i="21"/>
  <c r="D506" i="21"/>
  <c r="D507" i="21"/>
  <c r="D508" i="21"/>
  <c r="D509" i="21"/>
  <c r="D510" i="21"/>
  <c r="D511" i="21"/>
  <c r="D2" i="21"/>
  <c r="S2" i="1"/>
  <c r="S27" i="1"/>
  <c r="T27" i="1"/>
  <c r="S28" i="1"/>
  <c r="T28" i="1"/>
  <c r="S29" i="1"/>
  <c r="T29" i="1"/>
  <c r="U29" i="1" s="1"/>
  <c r="S30" i="1"/>
  <c r="T30" i="1"/>
  <c r="S31" i="1"/>
  <c r="T31" i="1"/>
  <c r="S32" i="1"/>
  <c r="T32" i="1"/>
  <c r="S20" i="1"/>
  <c r="S34" i="1"/>
  <c r="T34" i="1"/>
  <c r="U34" i="1" s="1"/>
  <c r="S33" i="1"/>
  <c r="S35" i="1"/>
  <c r="T35" i="1"/>
  <c r="S36" i="1"/>
  <c r="T36" i="1"/>
  <c r="S37" i="1"/>
  <c r="T37" i="1"/>
  <c r="S38" i="1"/>
  <c r="T38" i="1"/>
  <c r="S39" i="1"/>
  <c r="T39" i="1"/>
  <c r="S40" i="1"/>
  <c r="T40" i="1"/>
  <c r="U40" i="1" s="1"/>
  <c r="S41" i="1"/>
  <c r="T41" i="1"/>
  <c r="S42" i="1"/>
  <c r="T42" i="1"/>
  <c r="S43" i="1"/>
  <c r="T43" i="1"/>
  <c r="U43" i="1" s="1"/>
  <c r="S45" i="1"/>
  <c r="T45" i="1"/>
  <c r="S44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U52" i="1" s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U61" i="1" s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U156" i="1" s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3" i="1"/>
  <c r="T3" i="1"/>
  <c r="S4" i="1"/>
  <c r="U4" i="1"/>
  <c r="S5" i="1"/>
  <c r="T5" i="1"/>
  <c r="U5" i="1" s="1"/>
  <c r="S6" i="1"/>
  <c r="T6" i="1"/>
  <c r="U6" i="1" s="1"/>
  <c r="S7" i="1"/>
  <c r="T7" i="1"/>
  <c r="U7" i="1" s="1"/>
  <c r="S8" i="1"/>
  <c r="U8" i="1"/>
  <c r="S9" i="1"/>
  <c r="T9" i="1"/>
  <c r="U9" i="1" s="1"/>
  <c r="S10" i="1"/>
  <c r="U10" i="1"/>
  <c r="S11" i="1"/>
  <c r="T11" i="1"/>
  <c r="U11" i="1" s="1"/>
  <c r="S12" i="1"/>
  <c r="T12" i="1"/>
  <c r="U12" i="1" s="1"/>
  <c r="S13" i="1"/>
  <c r="T13" i="1"/>
  <c r="U13" i="1" s="1"/>
  <c r="S16" i="1"/>
  <c r="T16" i="1"/>
  <c r="U16" i="1" s="1"/>
  <c r="S15" i="1"/>
  <c r="U15" i="1"/>
  <c r="S17" i="1"/>
  <c r="T17" i="1"/>
  <c r="U17" i="1" s="1"/>
  <c r="S18" i="1"/>
  <c r="T18" i="1"/>
  <c r="U18" i="1" s="1"/>
  <c r="S14" i="1"/>
  <c r="U14" i="1"/>
  <c r="S19" i="1"/>
  <c r="T19" i="1"/>
  <c r="U19" i="1" s="1"/>
  <c r="S21" i="1"/>
  <c r="T21" i="1"/>
  <c r="S22" i="1"/>
  <c r="T22" i="1"/>
  <c r="U22" i="1" s="1"/>
  <c r="S23" i="1"/>
  <c r="T23" i="1"/>
  <c r="S24" i="1"/>
  <c r="T24" i="1"/>
  <c r="S25" i="1"/>
  <c r="T25" i="1"/>
  <c r="U25" i="1" s="1"/>
  <c r="S26" i="1"/>
  <c r="T26" i="1"/>
  <c r="U2" i="1"/>
  <c r="U3" i="1" l="1"/>
  <c r="V3" i="1"/>
  <c r="AD20" i="2"/>
  <c r="AD21" i="2"/>
  <c r="AD15" i="2"/>
  <c r="AD14" i="2"/>
  <c r="AD13" i="2"/>
  <c r="AD12" i="2"/>
  <c r="AD11" i="2"/>
  <c r="AD6" i="2"/>
  <c r="AD7" i="2"/>
  <c r="AD8" i="2"/>
  <c r="AD4" i="2"/>
  <c r="G8" i="20" l="1"/>
  <c r="O6" i="20"/>
  <c r="AA10" i="2" l="1"/>
  <c r="AA6" i="2"/>
  <c r="R16" i="20" l="1"/>
  <c r="C18" i="10" l="1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B21" i="10"/>
  <c r="B20" i="10"/>
  <c r="B19" i="10"/>
  <c r="B18" i="10"/>
  <c r="C16" i="10"/>
  <c r="C26" i="20" l="1"/>
  <c r="C24" i="20"/>
  <c r="C23" i="20"/>
  <c r="G22" i="20"/>
  <c r="C22" i="20"/>
  <c r="G21" i="20"/>
  <c r="C21" i="20"/>
  <c r="G19" i="20"/>
  <c r="G18" i="20"/>
  <c r="C17" i="20"/>
  <c r="C14" i="20"/>
  <c r="C13" i="20"/>
  <c r="C12" i="20"/>
  <c r="C10" i="20" s="1"/>
  <c r="C11" i="20"/>
  <c r="G9" i="20"/>
  <c r="C9" i="20"/>
  <c r="C7" i="20" s="1"/>
  <c r="C8" i="20"/>
  <c r="D14" i="7" l="1"/>
  <c r="Y12" i="2"/>
  <c r="Y6" i="2"/>
  <c r="Y4" i="2"/>
  <c r="Z19" i="2" l="1"/>
  <c r="Z21" i="2"/>
  <c r="Z14" i="2"/>
  <c r="Z10" i="2"/>
  <c r="Z13" i="2"/>
  <c r="Z12" i="2"/>
  <c r="Z11" i="2"/>
  <c r="Z6" i="2"/>
  <c r="Z9" i="2"/>
  <c r="Z7" i="2"/>
  <c r="Z8" i="2"/>
  <c r="M6" i="20" l="1"/>
  <c r="N50" i="20" l="1"/>
  <c r="E15" i="3"/>
  <c r="Z15" i="2" l="1"/>
  <c r="Q15" i="20" l="1"/>
  <c r="R15" i="20" s="1"/>
  <c r="S15" i="20" s="1"/>
  <c r="T15" i="20" s="1"/>
  <c r="U15" i="20" s="1"/>
  <c r="V15" i="20" s="1"/>
  <c r="W15" i="20" s="1"/>
  <c r="X15" i="20" s="1"/>
  <c r="Y15" i="20" s="1"/>
  <c r="Z15" i="20" s="1"/>
  <c r="AA15" i="20" s="1"/>
  <c r="AB15" i="20" s="1"/>
  <c r="O31" i="20"/>
  <c r="G3" i="20"/>
  <c r="F23" i="3" l="1"/>
  <c r="F26" i="3"/>
  <c r="F28" i="3"/>
  <c r="F27" i="3"/>
  <c r="X19" i="3"/>
  <c r="W19" i="3"/>
  <c r="E19" i="3"/>
  <c r="X20" i="3"/>
  <c r="W20" i="3"/>
  <c r="E20" i="3"/>
  <c r="U9" i="4" l="1"/>
  <c r="U8" i="4"/>
  <c r="U7" i="4"/>
  <c r="U6" i="4"/>
  <c r="U5" i="4"/>
  <c r="U4" i="4"/>
  <c r="U3" i="4"/>
  <c r="U2" i="4"/>
  <c r="AA19" i="2" l="1"/>
  <c r="Y5" i="2"/>
  <c r="L48" i="20" l="1"/>
  <c r="N48" i="20" s="1"/>
  <c r="P48" i="20" s="1"/>
  <c r="L46" i="20"/>
  <c r="N46" i="20" s="1"/>
  <c r="P46" i="20" s="1"/>
  <c r="L44" i="20"/>
  <c r="N44" i="20" s="1"/>
  <c r="P44" i="20" s="1"/>
  <c r="L42" i="20"/>
  <c r="N42" i="20" s="1"/>
  <c r="P42" i="20" s="1"/>
  <c r="N40" i="20"/>
  <c r="P40" i="20" s="1"/>
  <c r="N41" i="20"/>
  <c r="P41" i="20" s="1"/>
  <c r="N43" i="20"/>
  <c r="P43" i="20" s="1"/>
  <c r="N45" i="20"/>
  <c r="P45" i="20" s="1"/>
  <c r="N47" i="20"/>
  <c r="P47" i="20" s="1"/>
  <c r="N49" i="20"/>
  <c r="P49" i="20" s="1"/>
  <c r="L39" i="20"/>
  <c r="N39" i="20" s="1"/>
  <c r="P39" i="20" s="1"/>
  <c r="L38" i="20"/>
  <c r="N38" i="20" s="1"/>
  <c r="P38" i="20" s="1"/>
  <c r="M31" i="20"/>
  <c r="K31" i="20"/>
  <c r="N34" i="20"/>
  <c r="P34" i="20" s="1"/>
  <c r="N35" i="20"/>
  <c r="P35" i="20" s="1"/>
  <c r="N36" i="20"/>
  <c r="P36" i="20" s="1"/>
  <c r="N37" i="20"/>
  <c r="P37" i="20" s="1"/>
  <c r="N33" i="20"/>
  <c r="P33" i="20" s="1"/>
  <c r="N16" i="20"/>
  <c r="O16" i="20" s="1"/>
  <c r="S16" i="20" s="1"/>
  <c r="T16" i="20" s="1"/>
  <c r="U16" i="20" s="1"/>
  <c r="V16" i="20" s="1"/>
  <c r="W16" i="20" s="1"/>
  <c r="X16" i="20" s="1"/>
  <c r="Y16" i="20" s="1"/>
  <c r="Z16" i="20" s="1"/>
  <c r="AA16" i="20" s="1"/>
  <c r="AB16" i="20" s="1"/>
  <c r="Z6" i="20"/>
  <c r="X6" i="20"/>
  <c r="V6" i="20"/>
  <c r="T6" i="20"/>
  <c r="R6" i="20"/>
  <c r="N3" i="20"/>
  <c r="O3" i="20" s="1"/>
  <c r="P3" i="20" s="1"/>
  <c r="Q3" i="20" s="1"/>
  <c r="R3" i="20" s="1"/>
  <c r="S3" i="20" s="1"/>
  <c r="T3" i="20" s="1"/>
  <c r="U3" i="20" s="1"/>
  <c r="V3" i="20" s="1"/>
  <c r="W3" i="20" s="1"/>
  <c r="X3" i="20" s="1"/>
  <c r="Y3" i="20" s="1"/>
  <c r="Z3" i="20" s="1"/>
  <c r="AA3" i="20" s="1"/>
  <c r="AB3" i="20" s="1"/>
  <c r="M28" i="20"/>
  <c r="N28" i="20" s="1"/>
  <c r="O28" i="20" s="1"/>
  <c r="P28" i="20" s="1"/>
  <c r="Q28" i="20" s="1"/>
  <c r="R28" i="20" s="1"/>
  <c r="S28" i="20" s="1"/>
  <c r="T28" i="20" s="1"/>
  <c r="U28" i="20" s="1"/>
  <c r="V28" i="20" s="1"/>
  <c r="W28" i="20" s="1"/>
  <c r="X28" i="20" s="1"/>
  <c r="Y28" i="20" s="1"/>
  <c r="Z28" i="20" s="1"/>
  <c r="AA28" i="20" s="1"/>
  <c r="AB28" i="20" s="1"/>
  <c r="AA24" i="20"/>
  <c r="AB24" i="20" s="1"/>
  <c r="N24" i="20"/>
  <c r="O24" i="20" s="1"/>
  <c r="K24" i="20"/>
  <c r="AA23" i="20"/>
  <c r="AB23" i="20" s="1"/>
  <c r="N23" i="20"/>
  <c r="O23" i="20" s="1"/>
  <c r="AA21" i="20"/>
  <c r="AB21" i="20" s="1"/>
  <c r="N21" i="20"/>
  <c r="Q21" i="20" s="1"/>
  <c r="R21" i="20" s="1"/>
  <c r="S21" i="20" s="1"/>
  <c r="T21" i="20" s="1"/>
  <c r="U21" i="20" s="1"/>
  <c r="V21" i="20" s="1"/>
  <c r="W21" i="20" s="1"/>
  <c r="X21" i="20" s="1"/>
  <c r="Y21" i="20" s="1"/>
  <c r="X20" i="20"/>
  <c r="Y20" i="20" s="1"/>
  <c r="O20" i="20"/>
  <c r="P20" i="20" s="1"/>
  <c r="Q20" i="20" s="1"/>
  <c r="N19" i="20"/>
  <c r="O19" i="20" s="1"/>
  <c r="P19" i="20" s="1"/>
  <c r="K19" i="20"/>
  <c r="N18" i="20"/>
  <c r="O18" i="20" s="1"/>
  <c r="K18" i="20"/>
  <c r="L17" i="20"/>
  <c r="C4" i="20" s="1"/>
  <c r="K16" i="20"/>
  <c r="K15" i="20"/>
  <c r="M14" i="20"/>
  <c r="O13" i="20"/>
  <c r="P13" i="20" s="1"/>
  <c r="Q13" i="20" s="1"/>
  <c r="R13" i="20" s="1"/>
  <c r="S13" i="20" s="1"/>
  <c r="T13" i="20" s="1"/>
  <c r="U13" i="20" s="1"/>
  <c r="V13" i="20" s="1"/>
  <c r="W13" i="20" s="1"/>
  <c r="X13" i="20" s="1"/>
  <c r="Y13" i="20" s="1"/>
  <c r="Z13" i="20" s="1"/>
  <c r="AA13" i="20" s="1"/>
  <c r="AB13" i="20" s="1"/>
  <c r="L12" i="20"/>
  <c r="L9" i="20"/>
  <c r="L8" i="20"/>
  <c r="M5" i="20"/>
  <c r="M4" i="20"/>
  <c r="M26" i="20" s="1"/>
  <c r="N4" i="20" s="1"/>
  <c r="N26" i="20" s="1"/>
  <c r="O4" i="20" s="1"/>
  <c r="N1" i="20"/>
  <c r="O1" i="20" s="1"/>
  <c r="P1" i="20" s="1"/>
  <c r="Q1" i="20" s="1"/>
  <c r="R1" i="20" s="1"/>
  <c r="S1" i="20" s="1"/>
  <c r="T1" i="20" s="1"/>
  <c r="U1" i="20" s="1"/>
  <c r="V1" i="20" s="1"/>
  <c r="W1" i="20" s="1"/>
  <c r="X1" i="20" s="1"/>
  <c r="Y1" i="20" s="1"/>
  <c r="Z1" i="20" s="1"/>
  <c r="AA1" i="20" s="1"/>
  <c r="AB1" i="20" s="1"/>
  <c r="AB11" i="20" l="1"/>
  <c r="L11" i="20" s="1"/>
  <c r="C16" i="20" s="1"/>
  <c r="P31" i="20"/>
  <c r="L31" i="20"/>
  <c r="N31" i="20"/>
  <c r="L7" i="20"/>
  <c r="C19" i="20" s="1"/>
  <c r="N14" i="20"/>
  <c r="P14" i="20"/>
  <c r="N25" i="20"/>
  <c r="Q19" i="20"/>
  <c r="R19" i="20" s="1"/>
  <c r="S19" i="20" s="1"/>
  <c r="T19" i="20" s="1"/>
  <c r="U19" i="20" s="1"/>
  <c r="V19" i="20" s="1"/>
  <c r="W19" i="20" s="1"/>
  <c r="X19" i="20" s="1"/>
  <c r="Y19" i="20" s="1"/>
  <c r="Z19" i="20" s="1"/>
  <c r="AA19" i="20" s="1"/>
  <c r="AB19" i="20" s="1"/>
  <c r="L19" i="20" s="1"/>
  <c r="R22" i="20"/>
  <c r="S22" i="20" s="1"/>
  <c r="T22" i="20" s="1"/>
  <c r="U22" i="20" s="1"/>
  <c r="V22" i="20" s="1"/>
  <c r="W22" i="20" s="1"/>
  <c r="X22" i="20" s="1"/>
  <c r="Y22" i="20" s="1"/>
  <c r="Z22" i="20" s="1"/>
  <c r="AA22" i="20" s="1"/>
  <c r="AB22" i="20" s="1"/>
  <c r="P24" i="20"/>
  <c r="Q24" i="20" s="1"/>
  <c r="R24" i="20" s="1"/>
  <c r="S24" i="20" s="1"/>
  <c r="T24" i="20" s="1"/>
  <c r="U24" i="20" s="1"/>
  <c r="V24" i="20" s="1"/>
  <c r="W24" i="20" s="1"/>
  <c r="X24" i="20" s="1"/>
  <c r="Y24" i="20" s="1"/>
  <c r="P23" i="20"/>
  <c r="Q23" i="20" s="1"/>
  <c r="R23" i="20" s="1"/>
  <c r="S23" i="20" s="1"/>
  <c r="T23" i="20" s="1"/>
  <c r="U23" i="20" s="1"/>
  <c r="V23" i="20" s="1"/>
  <c r="W23" i="20" s="1"/>
  <c r="X23" i="20" s="1"/>
  <c r="Y23" i="20" s="1"/>
  <c r="P18" i="20"/>
  <c r="Q18" i="20" s="1"/>
  <c r="R18" i="20" s="1"/>
  <c r="S18" i="20" s="1"/>
  <c r="T18" i="20" s="1"/>
  <c r="U18" i="20" s="1"/>
  <c r="V18" i="20" s="1"/>
  <c r="W18" i="20" s="1"/>
  <c r="X18" i="20" s="1"/>
  <c r="Y18" i="20" s="1"/>
  <c r="Z18" i="20" s="1"/>
  <c r="AA18" i="20" s="1"/>
  <c r="AB18" i="20" s="1"/>
  <c r="R20" i="20"/>
  <c r="S20" i="20" s="1"/>
  <c r="M25" i="20"/>
  <c r="L21" i="20"/>
  <c r="C5" i="20" s="1"/>
  <c r="C3" i="20" s="1"/>
  <c r="L6" i="20"/>
  <c r="C18" i="20" s="1"/>
  <c r="L16" i="20"/>
  <c r="G16" i="20" s="1"/>
  <c r="D16" i="10"/>
  <c r="E16" i="10" l="1"/>
  <c r="O26" i="20"/>
  <c r="P4" i="20" s="1"/>
  <c r="O14" i="20"/>
  <c r="Q14" i="20"/>
  <c r="L18" i="20"/>
  <c r="L23" i="20"/>
  <c r="L20" i="20"/>
  <c r="L24" i="20"/>
  <c r="O25" i="20"/>
  <c r="M27" i="20"/>
  <c r="N5" i="20" s="1"/>
  <c r="N27" i="20" s="1"/>
  <c r="O5" i="20" s="1"/>
  <c r="L22" i="20"/>
  <c r="G20" i="20" s="1"/>
  <c r="F16" i="10" l="1"/>
  <c r="R10" i="20"/>
  <c r="R14" i="20" s="1"/>
  <c r="L26" i="20"/>
  <c r="P26" i="20"/>
  <c r="Q4" i="20" s="1"/>
  <c r="Q26" i="20" s="1"/>
  <c r="R4" i="20" s="1"/>
  <c r="O27" i="20"/>
  <c r="P5" i="20" s="1"/>
  <c r="P25" i="20"/>
  <c r="AB10" i="2"/>
  <c r="AB6" i="2"/>
  <c r="AB15" i="2"/>
  <c r="AB13" i="2"/>
  <c r="AB11" i="2"/>
  <c r="AB8" i="2"/>
  <c r="AB7" i="2"/>
  <c r="AB21" i="2"/>
  <c r="AB9" i="2"/>
  <c r="G16" i="10" l="1"/>
  <c r="S10" i="20"/>
  <c r="T10" i="20" s="1"/>
  <c r="R26" i="20"/>
  <c r="S4" i="20" s="1"/>
  <c r="P27" i="20"/>
  <c r="Q5" i="20" s="1"/>
  <c r="Q25" i="20"/>
  <c r="H16" i="10" l="1"/>
  <c r="S14" i="20"/>
  <c r="S26" i="20"/>
  <c r="T4" i="20" s="1"/>
  <c r="Q27" i="20"/>
  <c r="R5" i="20" s="1"/>
  <c r="U10" i="20"/>
  <c r="T14" i="20"/>
  <c r="R25" i="20"/>
  <c r="O3" i="19"/>
  <c r="Q3" i="19" s="1"/>
  <c r="P3" i="19"/>
  <c r="R3" i="19"/>
  <c r="S3" i="19"/>
  <c r="U3" i="19" s="1"/>
  <c r="T3" i="19"/>
  <c r="V3" i="19"/>
  <c r="X3" i="19" s="1"/>
  <c r="W3" i="19"/>
  <c r="Y3" i="19"/>
  <c r="Z3" i="19"/>
  <c r="AB3" i="19" s="1"/>
  <c r="AA3" i="19"/>
  <c r="O4" i="19"/>
  <c r="Q4" i="19" s="1"/>
  <c r="P4" i="19"/>
  <c r="R4" i="19"/>
  <c r="S4" i="19"/>
  <c r="U4" i="19" s="1"/>
  <c r="T4" i="19"/>
  <c r="V4" i="19"/>
  <c r="X4" i="19" s="1"/>
  <c r="W4" i="19"/>
  <c r="Y4" i="19"/>
  <c r="Z4" i="19"/>
  <c r="AB4" i="19" s="1"/>
  <c r="AA4" i="19"/>
  <c r="O5" i="19"/>
  <c r="Q5" i="19" s="1"/>
  <c r="P5" i="19"/>
  <c r="R5" i="19"/>
  <c r="S5" i="19"/>
  <c r="U5" i="19" s="1"/>
  <c r="T5" i="19"/>
  <c r="V5" i="19"/>
  <c r="X5" i="19" s="1"/>
  <c r="W5" i="19"/>
  <c r="Y5" i="19"/>
  <c r="Z5" i="19"/>
  <c r="AB5" i="19" s="1"/>
  <c r="AA5" i="19"/>
  <c r="O6" i="19"/>
  <c r="Q6" i="19" s="1"/>
  <c r="P6" i="19"/>
  <c r="R6" i="19"/>
  <c r="S6" i="19"/>
  <c r="U6" i="19" s="1"/>
  <c r="T6" i="19"/>
  <c r="V6" i="19"/>
  <c r="X6" i="19" s="1"/>
  <c r="W6" i="19"/>
  <c r="Y6" i="19"/>
  <c r="Z6" i="19"/>
  <c r="AB6" i="19" s="1"/>
  <c r="AA6" i="19"/>
  <c r="O7" i="19"/>
  <c r="Q7" i="19" s="1"/>
  <c r="P7" i="19"/>
  <c r="R7" i="19"/>
  <c r="S7" i="19"/>
  <c r="U7" i="19" s="1"/>
  <c r="T7" i="19"/>
  <c r="V7" i="19"/>
  <c r="X7" i="19" s="1"/>
  <c r="W7" i="19"/>
  <c r="Y7" i="19"/>
  <c r="Z7" i="19"/>
  <c r="AB7" i="19" s="1"/>
  <c r="AA7" i="19"/>
  <c r="O8" i="19"/>
  <c r="Q8" i="19" s="1"/>
  <c r="P8" i="19"/>
  <c r="R8" i="19"/>
  <c r="S8" i="19"/>
  <c r="U8" i="19" s="1"/>
  <c r="T8" i="19"/>
  <c r="V8" i="19"/>
  <c r="X8" i="19" s="1"/>
  <c r="W8" i="19"/>
  <c r="Y8" i="19"/>
  <c r="Z8" i="19"/>
  <c r="AB8" i="19" s="1"/>
  <c r="AA8" i="19"/>
  <c r="O9" i="19"/>
  <c r="Q9" i="19" s="1"/>
  <c r="P9" i="19"/>
  <c r="R9" i="19"/>
  <c r="S9" i="19"/>
  <c r="U9" i="19" s="1"/>
  <c r="T9" i="19"/>
  <c r="V9" i="19"/>
  <c r="X9" i="19" s="1"/>
  <c r="W9" i="19"/>
  <c r="Y9" i="19"/>
  <c r="Z9" i="19"/>
  <c r="AB9" i="19" s="1"/>
  <c r="AA9" i="19"/>
  <c r="O10" i="19"/>
  <c r="Q10" i="19" s="1"/>
  <c r="P10" i="19"/>
  <c r="R10" i="19"/>
  <c r="S10" i="19"/>
  <c r="U10" i="19" s="1"/>
  <c r="T10" i="19"/>
  <c r="V10" i="19"/>
  <c r="X10" i="19" s="1"/>
  <c r="W10" i="19"/>
  <c r="Y10" i="19"/>
  <c r="Z10" i="19"/>
  <c r="AB10" i="19" s="1"/>
  <c r="AA10" i="19"/>
  <c r="O11" i="19"/>
  <c r="Q11" i="19" s="1"/>
  <c r="P11" i="19"/>
  <c r="R11" i="19"/>
  <c r="S11" i="19"/>
  <c r="U11" i="19" s="1"/>
  <c r="T11" i="19"/>
  <c r="V11" i="19"/>
  <c r="X11" i="19" s="1"/>
  <c r="W11" i="19"/>
  <c r="Y11" i="19"/>
  <c r="Z11" i="19"/>
  <c r="AB11" i="19" s="1"/>
  <c r="AA11" i="19"/>
  <c r="O12" i="19"/>
  <c r="Q12" i="19" s="1"/>
  <c r="P12" i="19"/>
  <c r="R12" i="19"/>
  <c r="S12" i="19"/>
  <c r="U12" i="19" s="1"/>
  <c r="T12" i="19"/>
  <c r="V12" i="19"/>
  <c r="X12" i="19" s="1"/>
  <c r="W12" i="19"/>
  <c r="Y12" i="19"/>
  <c r="Z12" i="19"/>
  <c r="AB12" i="19" s="1"/>
  <c r="AA12" i="19"/>
  <c r="O13" i="19"/>
  <c r="Q13" i="19" s="1"/>
  <c r="P13" i="19"/>
  <c r="R13" i="19"/>
  <c r="S13" i="19"/>
  <c r="U13" i="19" s="1"/>
  <c r="T13" i="19"/>
  <c r="V13" i="19"/>
  <c r="X13" i="19" s="1"/>
  <c r="W13" i="19"/>
  <c r="Y13" i="19"/>
  <c r="Z13" i="19"/>
  <c r="AB13" i="19" s="1"/>
  <c r="AA13" i="19"/>
  <c r="O14" i="19"/>
  <c r="Q14" i="19" s="1"/>
  <c r="P14" i="19"/>
  <c r="R14" i="19"/>
  <c r="S14" i="19"/>
  <c r="U14" i="19" s="1"/>
  <c r="T14" i="19"/>
  <c r="V14" i="19"/>
  <c r="X14" i="19" s="1"/>
  <c r="W14" i="19"/>
  <c r="Y14" i="19"/>
  <c r="Z14" i="19"/>
  <c r="AB14" i="19" s="1"/>
  <c r="AA14" i="19"/>
  <c r="O15" i="19"/>
  <c r="Q15" i="19" s="1"/>
  <c r="P15" i="19"/>
  <c r="R15" i="19"/>
  <c r="S15" i="19"/>
  <c r="U15" i="19" s="1"/>
  <c r="T15" i="19"/>
  <c r="V15" i="19"/>
  <c r="X15" i="19" s="1"/>
  <c r="W15" i="19"/>
  <c r="Y15" i="19"/>
  <c r="Z15" i="19"/>
  <c r="AB15" i="19" s="1"/>
  <c r="AA15" i="19"/>
  <c r="O16" i="19"/>
  <c r="Q16" i="19" s="1"/>
  <c r="P16" i="19"/>
  <c r="R16" i="19"/>
  <c r="S16" i="19"/>
  <c r="U16" i="19" s="1"/>
  <c r="T16" i="19"/>
  <c r="V16" i="19"/>
  <c r="X16" i="19" s="1"/>
  <c r="W16" i="19"/>
  <c r="Y16" i="19"/>
  <c r="Z16" i="19"/>
  <c r="AB16" i="19" s="1"/>
  <c r="AA16" i="19"/>
  <c r="O17" i="19"/>
  <c r="Q17" i="19" s="1"/>
  <c r="P17" i="19"/>
  <c r="R17" i="19"/>
  <c r="S17" i="19"/>
  <c r="U17" i="19" s="1"/>
  <c r="T17" i="19"/>
  <c r="V17" i="19"/>
  <c r="X17" i="19" s="1"/>
  <c r="W17" i="19"/>
  <c r="Y17" i="19"/>
  <c r="Z17" i="19"/>
  <c r="AB17" i="19" s="1"/>
  <c r="AA17" i="19"/>
  <c r="O18" i="19"/>
  <c r="Q18" i="19" s="1"/>
  <c r="P18" i="19"/>
  <c r="R18" i="19"/>
  <c r="S18" i="19"/>
  <c r="U18" i="19" s="1"/>
  <c r="T18" i="19"/>
  <c r="V18" i="19"/>
  <c r="X18" i="19" s="1"/>
  <c r="W18" i="19"/>
  <c r="Y18" i="19"/>
  <c r="Z18" i="19"/>
  <c r="AB18" i="19" s="1"/>
  <c r="AA18" i="19"/>
  <c r="O19" i="19"/>
  <c r="Q19" i="19" s="1"/>
  <c r="P19" i="19"/>
  <c r="R19" i="19"/>
  <c r="S19" i="19"/>
  <c r="U19" i="19" s="1"/>
  <c r="T19" i="19"/>
  <c r="V19" i="19"/>
  <c r="X19" i="19" s="1"/>
  <c r="W19" i="19"/>
  <c r="Y19" i="19"/>
  <c r="Z19" i="19"/>
  <c r="AB19" i="19" s="1"/>
  <c r="AA19" i="19"/>
  <c r="O20" i="19"/>
  <c r="Q20" i="19" s="1"/>
  <c r="P20" i="19"/>
  <c r="R20" i="19"/>
  <c r="S20" i="19"/>
  <c r="U20" i="19" s="1"/>
  <c r="T20" i="19"/>
  <c r="V20" i="19"/>
  <c r="X20" i="19" s="1"/>
  <c r="W20" i="19"/>
  <c r="Y20" i="19"/>
  <c r="Z20" i="19"/>
  <c r="AB20" i="19" s="1"/>
  <c r="AA20" i="19"/>
  <c r="O21" i="19"/>
  <c r="Q21" i="19" s="1"/>
  <c r="P21" i="19"/>
  <c r="R21" i="19"/>
  <c r="S21" i="19"/>
  <c r="U21" i="19" s="1"/>
  <c r="T21" i="19"/>
  <c r="V21" i="19"/>
  <c r="X21" i="19" s="1"/>
  <c r="W21" i="19"/>
  <c r="Y21" i="19"/>
  <c r="Z21" i="19"/>
  <c r="AB21" i="19" s="1"/>
  <c r="AA21" i="19"/>
  <c r="I16" i="10" l="1"/>
  <c r="T26" i="20"/>
  <c r="U4" i="20" s="1"/>
  <c r="R27" i="20"/>
  <c r="S5" i="20" s="1"/>
  <c r="V10" i="20"/>
  <c r="W10" i="20" s="1"/>
  <c r="U14" i="20"/>
  <c r="S25" i="20"/>
  <c r="AG21" i="19"/>
  <c r="AI21" i="19" s="1"/>
  <c r="AH21" i="19"/>
  <c r="AJ21" i="19" s="1"/>
  <c r="AG20" i="19"/>
  <c r="AI20" i="19" s="1"/>
  <c r="AH20" i="19"/>
  <c r="AJ20" i="19" s="1"/>
  <c r="AG18" i="19"/>
  <c r="AI18" i="19" s="1"/>
  <c r="AH18" i="19"/>
  <c r="AJ18" i="19" s="1"/>
  <c r="AG17" i="19"/>
  <c r="AI17" i="19" s="1"/>
  <c r="AH17" i="19"/>
  <c r="AJ17" i="19" s="1"/>
  <c r="AG16" i="19"/>
  <c r="AI16" i="19" s="1"/>
  <c r="AH16" i="19"/>
  <c r="AJ16" i="19" s="1"/>
  <c r="AG15" i="19"/>
  <c r="AI15" i="19" s="1"/>
  <c r="AH15" i="19"/>
  <c r="AJ15" i="19" s="1"/>
  <c r="AG14" i="19"/>
  <c r="AI14" i="19" s="1"/>
  <c r="AH14" i="19"/>
  <c r="AJ14" i="19" s="1"/>
  <c r="AG13" i="19"/>
  <c r="AI13" i="19" s="1"/>
  <c r="AH13" i="19"/>
  <c r="AJ13" i="19" s="1"/>
  <c r="AG12" i="19"/>
  <c r="AI12" i="19" s="1"/>
  <c r="AH12" i="19"/>
  <c r="AJ12" i="19" s="1"/>
  <c r="AG11" i="19"/>
  <c r="AI11" i="19" s="1"/>
  <c r="AH11" i="19"/>
  <c r="AJ11" i="19" s="1"/>
  <c r="AG10" i="19"/>
  <c r="AI10" i="19" s="1"/>
  <c r="AH10" i="19"/>
  <c r="AJ10" i="19" s="1"/>
  <c r="AG9" i="19"/>
  <c r="AI9" i="19" s="1"/>
  <c r="AH9" i="19"/>
  <c r="AJ9" i="19" s="1"/>
  <c r="AG8" i="19"/>
  <c r="AI8" i="19" s="1"/>
  <c r="AH8" i="19"/>
  <c r="AJ8" i="19" s="1"/>
  <c r="AG7" i="19"/>
  <c r="AI7" i="19" s="1"/>
  <c r="AH7" i="19"/>
  <c r="AJ7" i="19" s="1"/>
  <c r="AG6" i="19"/>
  <c r="AI6" i="19" s="1"/>
  <c r="AH6" i="19"/>
  <c r="AJ6" i="19" s="1"/>
  <c r="AG5" i="19"/>
  <c r="AI5" i="19" s="1"/>
  <c r="AG4" i="19"/>
  <c r="AI4" i="19" s="1"/>
  <c r="AH4" i="19"/>
  <c r="AJ4" i="19" s="1"/>
  <c r="AG3" i="19"/>
  <c r="AI3" i="19" s="1"/>
  <c r="AH3" i="19"/>
  <c r="AJ3" i="19" s="1"/>
  <c r="J16" i="10" l="1"/>
  <c r="U26" i="20"/>
  <c r="V4" i="20" s="1"/>
  <c r="S27" i="20"/>
  <c r="T5" i="20" s="1"/>
  <c r="V14" i="20"/>
  <c r="T25" i="20"/>
  <c r="AH19" i="19"/>
  <c r="AJ19" i="19" s="1"/>
  <c r="AG19" i="19"/>
  <c r="AI19" i="19" s="1"/>
  <c r="AH5" i="19"/>
  <c r="AJ5" i="19" s="1"/>
  <c r="K16" i="10" l="1"/>
  <c r="V26" i="20"/>
  <c r="W4" i="20" s="1"/>
  <c r="T27" i="20"/>
  <c r="U5" i="20" s="1"/>
  <c r="U25" i="20"/>
  <c r="X10" i="20"/>
  <c r="W14" i="20"/>
  <c r="L16" i="10" l="1"/>
  <c r="W26" i="20"/>
  <c r="X4" i="20" s="1"/>
  <c r="U27" i="20"/>
  <c r="V5" i="20" s="1"/>
  <c r="X14" i="20"/>
  <c r="Y10" i="20"/>
  <c r="V25" i="20"/>
  <c r="M16" i="10" l="1"/>
  <c r="X26" i="20"/>
  <c r="Y4" i="20" s="1"/>
  <c r="V27" i="20"/>
  <c r="W5" i="20" s="1"/>
  <c r="Y14" i="20"/>
  <c r="Z10" i="20"/>
  <c r="W25" i="20"/>
  <c r="AS16" i="2"/>
  <c r="N16" i="10" l="1"/>
  <c r="Y26" i="20"/>
  <c r="Z4" i="20" s="1"/>
  <c r="W27" i="20"/>
  <c r="X5" i="20" s="1"/>
  <c r="X25" i="20"/>
  <c r="Z14" i="20"/>
  <c r="AA10" i="20"/>
  <c r="O16" i="10" l="1"/>
  <c r="Z26" i="20"/>
  <c r="AA4" i="20" s="1"/>
  <c r="X27" i="20"/>
  <c r="Y5" i="20" s="1"/>
  <c r="AB10" i="20"/>
  <c r="AA14" i="20"/>
  <c r="Y25" i="20"/>
  <c r="F10" i="10"/>
  <c r="F11" i="10"/>
  <c r="F12" i="10"/>
  <c r="F9" i="10"/>
  <c r="P16" i="10" l="1"/>
  <c r="AA26" i="20"/>
  <c r="AB4" i="20" s="1"/>
  <c r="AB26" i="20" s="1"/>
  <c r="Y27" i="20"/>
  <c r="Z5" i="20" s="1"/>
  <c r="Z25" i="20"/>
  <c r="AB14" i="20"/>
  <c r="L14" i="20" s="1"/>
  <c r="L10" i="20"/>
  <c r="C20" i="20" s="1"/>
  <c r="AC13" i="2"/>
  <c r="C15" i="20" l="1"/>
  <c r="Q16" i="10"/>
  <c r="Z27" i="20"/>
  <c r="AA5" i="20" s="1"/>
  <c r="AA25" i="20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R16" i="10" l="1"/>
  <c r="AA27" i="20"/>
  <c r="AB5" i="20" s="1"/>
  <c r="AB25" i="20"/>
  <c r="L25" i="20" s="1"/>
  <c r="L15" i="20"/>
  <c r="G17" i="20" s="1"/>
  <c r="G15" i="20" l="1"/>
  <c r="S16" i="10"/>
  <c r="AB27" i="20"/>
  <c r="T16" i="10" l="1"/>
  <c r="L27" i="20"/>
  <c r="C27" i="20" s="1"/>
  <c r="U20" i="2"/>
  <c r="C25" i="20" l="1"/>
  <c r="U16" i="10"/>
  <c r="AF18" i="15"/>
  <c r="AI18" i="15" s="1"/>
  <c r="AG18" i="15"/>
  <c r="AJ18" i="15" s="1"/>
  <c r="AH18" i="15"/>
  <c r="AK18" i="15" s="1"/>
  <c r="P18" i="15"/>
  <c r="Q18" i="15"/>
  <c r="R18" i="15"/>
  <c r="T18" i="15"/>
  <c r="V18" i="15" s="1"/>
  <c r="U18" i="15"/>
  <c r="X18" i="15"/>
  <c r="Z18" i="15" s="1"/>
  <c r="Y18" i="15"/>
  <c r="O18" i="15"/>
  <c r="S18" i="15"/>
  <c r="W18" i="15"/>
  <c r="C2" i="20" l="1"/>
  <c r="V16" i="10"/>
  <c r="AB12" i="2"/>
  <c r="AF12" i="15"/>
  <c r="AI12" i="15" s="1"/>
  <c r="AG12" i="15"/>
  <c r="AJ12" i="15" s="1"/>
  <c r="AH12" i="15"/>
  <c r="AK12" i="15" s="1"/>
  <c r="P12" i="15"/>
  <c r="Q12" i="15"/>
  <c r="R12" i="15"/>
  <c r="T12" i="15"/>
  <c r="V12" i="15" s="1"/>
  <c r="U12" i="15"/>
  <c r="X12" i="15"/>
  <c r="Z12" i="15" s="1"/>
  <c r="Y12" i="15"/>
  <c r="O12" i="15"/>
  <c r="S12" i="15"/>
  <c r="W12" i="15"/>
  <c r="D25" i="20" l="1"/>
  <c r="D9" i="20"/>
  <c r="D14" i="20"/>
  <c r="D23" i="20"/>
  <c r="D7" i="20"/>
  <c r="D24" i="20"/>
  <c r="D21" i="20"/>
  <c r="D19" i="20"/>
  <c r="D18" i="20"/>
  <c r="D17" i="20"/>
  <c r="D10" i="20"/>
  <c r="D22" i="20"/>
  <c r="D16" i="20"/>
  <c r="D20" i="20"/>
  <c r="D12" i="20"/>
  <c r="D15" i="20"/>
  <c r="D27" i="20"/>
  <c r="W16" i="10"/>
  <c r="AF16" i="15"/>
  <c r="AI16" i="15" s="1"/>
  <c r="AG16" i="15"/>
  <c r="AJ16" i="15" s="1"/>
  <c r="AH16" i="15"/>
  <c r="AK16" i="15" s="1"/>
  <c r="P16" i="15"/>
  <c r="Q16" i="15"/>
  <c r="R16" i="15"/>
  <c r="T16" i="15"/>
  <c r="V16" i="15" s="1"/>
  <c r="U16" i="15"/>
  <c r="X16" i="15"/>
  <c r="Z16" i="15" s="1"/>
  <c r="Y16" i="15"/>
  <c r="O16" i="15"/>
  <c r="S16" i="15"/>
  <c r="W16" i="15"/>
  <c r="AF3" i="15"/>
  <c r="AI3" i="15" s="1"/>
  <c r="AG3" i="15"/>
  <c r="AJ3" i="15" s="1"/>
  <c r="AH3" i="15"/>
  <c r="AK3" i="15" s="1"/>
  <c r="P3" i="15"/>
  <c r="Q3" i="15"/>
  <c r="R3" i="15"/>
  <c r="T3" i="15"/>
  <c r="V3" i="15" s="1"/>
  <c r="U3" i="15"/>
  <c r="X3" i="15"/>
  <c r="Z3" i="15" s="1"/>
  <c r="Y3" i="15"/>
  <c r="O3" i="15"/>
  <c r="S3" i="15"/>
  <c r="W3" i="15"/>
  <c r="AF4" i="15"/>
  <c r="AI4" i="15" s="1"/>
  <c r="AG4" i="15"/>
  <c r="AJ4" i="15" s="1"/>
  <c r="AH4" i="15"/>
  <c r="AK4" i="15" s="1"/>
  <c r="P4" i="15"/>
  <c r="Q4" i="15"/>
  <c r="R4" i="15"/>
  <c r="T4" i="15"/>
  <c r="V4" i="15" s="1"/>
  <c r="U4" i="15"/>
  <c r="X4" i="15"/>
  <c r="Z4" i="15" s="1"/>
  <c r="Y4" i="15"/>
  <c r="O4" i="15"/>
  <c r="S4" i="15"/>
  <c r="W4" i="15"/>
  <c r="AF20" i="15"/>
  <c r="AI20" i="15" s="1"/>
  <c r="AG20" i="15"/>
  <c r="AJ20" i="15" s="1"/>
  <c r="AH20" i="15"/>
  <c r="AK20" i="15" s="1"/>
  <c r="P20" i="15"/>
  <c r="Q20" i="15"/>
  <c r="R20" i="15"/>
  <c r="T20" i="15"/>
  <c r="V20" i="15" s="1"/>
  <c r="U20" i="15"/>
  <c r="X20" i="15"/>
  <c r="Z20" i="15" s="1"/>
  <c r="Y20" i="15"/>
  <c r="O20" i="15"/>
  <c r="S20" i="15"/>
  <c r="W20" i="15"/>
  <c r="X16" i="10" l="1"/>
  <c r="A4" i="13"/>
  <c r="B4" i="13"/>
  <c r="D4" i="13"/>
  <c r="E4" i="13"/>
  <c r="F4" i="13"/>
  <c r="G4" i="13" s="1"/>
  <c r="J4" i="13"/>
  <c r="K4" i="13"/>
  <c r="M4" i="13"/>
  <c r="N4" i="13"/>
  <c r="O4" i="13"/>
  <c r="P4" i="13"/>
  <c r="Q4" i="13"/>
  <c r="A5" i="13"/>
  <c r="B5" i="13"/>
  <c r="D5" i="13"/>
  <c r="E5" i="13"/>
  <c r="F5" i="13"/>
  <c r="G5" i="13" s="1"/>
  <c r="J5" i="13"/>
  <c r="K5" i="13"/>
  <c r="L5" i="13"/>
  <c r="M5" i="13"/>
  <c r="N5" i="13"/>
  <c r="O5" i="13"/>
  <c r="P5" i="13"/>
  <c r="A6" i="13"/>
  <c r="B6" i="13"/>
  <c r="D6" i="13"/>
  <c r="E6" i="13"/>
  <c r="F6" i="13"/>
  <c r="G6" i="13" s="1"/>
  <c r="J6" i="13"/>
  <c r="K6" i="13"/>
  <c r="L6" i="13"/>
  <c r="M6" i="13"/>
  <c r="N6" i="13"/>
  <c r="O6" i="13"/>
  <c r="P6" i="13"/>
  <c r="Q6" i="13"/>
  <c r="A7" i="13"/>
  <c r="B7" i="13"/>
  <c r="D7" i="13"/>
  <c r="E7" i="13"/>
  <c r="F7" i="13"/>
  <c r="G7" i="13" s="1"/>
  <c r="J7" i="13"/>
  <c r="K7" i="13"/>
  <c r="L7" i="13"/>
  <c r="M7" i="13"/>
  <c r="N7" i="13"/>
  <c r="O7" i="13"/>
  <c r="P7" i="13"/>
  <c r="Q7" i="13"/>
  <c r="A8" i="13"/>
  <c r="B8" i="13"/>
  <c r="D8" i="13"/>
  <c r="E8" i="13"/>
  <c r="F8" i="13"/>
  <c r="H8" i="13" s="1"/>
  <c r="J8" i="13"/>
  <c r="K8" i="13"/>
  <c r="M8" i="13"/>
  <c r="N8" i="13"/>
  <c r="O8" i="13"/>
  <c r="P8" i="13"/>
  <c r="A9" i="13"/>
  <c r="B9" i="13"/>
  <c r="D9" i="13"/>
  <c r="E9" i="13"/>
  <c r="F9" i="13"/>
  <c r="J9" i="13"/>
  <c r="K9" i="13"/>
  <c r="L9" i="13"/>
  <c r="R9" i="13" s="1"/>
  <c r="M9" i="13"/>
  <c r="N9" i="13"/>
  <c r="O9" i="13"/>
  <c r="P9" i="13"/>
  <c r="A10" i="13"/>
  <c r="B10" i="13"/>
  <c r="D10" i="13"/>
  <c r="E10" i="13"/>
  <c r="F10" i="13"/>
  <c r="G10" i="13" s="1"/>
  <c r="J10" i="13"/>
  <c r="K10" i="13"/>
  <c r="L10" i="13"/>
  <c r="M10" i="13"/>
  <c r="N10" i="13"/>
  <c r="O10" i="13"/>
  <c r="Q10" i="13"/>
  <c r="A11" i="13"/>
  <c r="B11" i="13"/>
  <c r="D11" i="13"/>
  <c r="E11" i="13"/>
  <c r="F11" i="13"/>
  <c r="H11" i="13" s="1"/>
  <c r="J11" i="13"/>
  <c r="K11" i="13"/>
  <c r="L11" i="13"/>
  <c r="M11" i="13"/>
  <c r="N11" i="13"/>
  <c r="O11" i="13"/>
  <c r="A12" i="13"/>
  <c r="B12" i="13"/>
  <c r="D12" i="13"/>
  <c r="E12" i="13"/>
  <c r="F12" i="13"/>
  <c r="H12" i="13" s="1"/>
  <c r="J12" i="13"/>
  <c r="K12" i="13"/>
  <c r="L12" i="13"/>
  <c r="M12" i="13"/>
  <c r="N12" i="13"/>
  <c r="O12" i="13"/>
  <c r="A13" i="13"/>
  <c r="B13" i="13"/>
  <c r="D13" i="13"/>
  <c r="E13" i="13"/>
  <c r="F13" i="13"/>
  <c r="G13" i="13" s="1"/>
  <c r="I13" i="13"/>
  <c r="J13" i="13"/>
  <c r="K13" i="13"/>
  <c r="L13" i="13"/>
  <c r="M13" i="13"/>
  <c r="N13" i="13"/>
  <c r="P13" i="13"/>
  <c r="Q13" i="13"/>
  <c r="A14" i="13"/>
  <c r="B14" i="13"/>
  <c r="D14" i="13"/>
  <c r="E14" i="13"/>
  <c r="F14" i="13"/>
  <c r="H14" i="13" s="1"/>
  <c r="J14" i="13"/>
  <c r="K14" i="13"/>
  <c r="L14" i="13"/>
  <c r="M14" i="13"/>
  <c r="N14" i="13"/>
  <c r="O14" i="13"/>
  <c r="P14" i="13"/>
  <c r="Q14" i="13"/>
  <c r="A15" i="13"/>
  <c r="B15" i="13"/>
  <c r="D15" i="13"/>
  <c r="E15" i="13"/>
  <c r="F15" i="13"/>
  <c r="H15" i="13" s="1"/>
  <c r="J15" i="13"/>
  <c r="K15" i="13"/>
  <c r="L15" i="13"/>
  <c r="M15" i="13"/>
  <c r="N15" i="13"/>
  <c r="O15" i="13"/>
  <c r="P15" i="13"/>
  <c r="Q15" i="13"/>
  <c r="A16" i="13"/>
  <c r="B16" i="13"/>
  <c r="D16" i="13"/>
  <c r="E16" i="13"/>
  <c r="F16" i="13"/>
  <c r="G16" i="13" s="1"/>
  <c r="J16" i="13"/>
  <c r="K16" i="13"/>
  <c r="L16" i="13"/>
  <c r="M16" i="13"/>
  <c r="N16" i="13"/>
  <c r="O16" i="13"/>
  <c r="P16" i="13"/>
  <c r="Q16" i="13"/>
  <c r="A17" i="13"/>
  <c r="B17" i="13"/>
  <c r="D17" i="13"/>
  <c r="E17" i="13"/>
  <c r="F17" i="13"/>
  <c r="J17" i="13"/>
  <c r="K17" i="13"/>
  <c r="L17" i="13"/>
  <c r="M17" i="13"/>
  <c r="N17" i="13"/>
  <c r="O17" i="13"/>
  <c r="P17" i="13"/>
  <c r="Q17" i="13"/>
  <c r="A18" i="13"/>
  <c r="B18" i="13"/>
  <c r="D18" i="13"/>
  <c r="E18" i="13"/>
  <c r="F18" i="13"/>
  <c r="G18" i="13" s="1"/>
  <c r="J18" i="13"/>
  <c r="K18" i="13"/>
  <c r="L18" i="13"/>
  <c r="M18" i="13"/>
  <c r="N18" i="13"/>
  <c r="O18" i="13"/>
  <c r="P18" i="13"/>
  <c r="Q18" i="13"/>
  <c r="A19" i="13"/>
  <c r="B19" i="13"/>
  <c r="D19" i="13"/>
  <c r="E19" i="13"/>
  <c r="F19" i="13"/>
  <c r="H19" i="13" s="1"/>
  <c r="J19" i="13"/>
  <c r="K19" i="13"/>
  <c r="L19" i="13"/>
  <c r="M19" i="13"/>
  <c r="N19" i="13"/>
  <c r="O19" i="13"/>
  <c r="P19" i="13"/>
  <c r="Q19" i="13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Y16" i="10" l="1"/>
  <c r="AN13" i="13"/>
  <c r="S17" i="13"/>
  <c r="R18" i="13"/>
  <c r="S4" i="13"/>
  <c r="R12" i="13"/>
  <c r="T17" i="13"/>
  <c r="H5" i="13"/>
  <c r="S19" i="13"/>
  <c r="S16" i="13"/>
  <c r="H6" i="13"/>
  <c r="H7" i="13"/>
  <c r="G19" i="13"/>
  <c r="T13" i="13"/>
  <c r="X13" i="13"/>
  <c r="V13" i="13"/>
  <c r="R7" i="13"/>
  <c r="S18" i="13"/>
  <c r="AM13" i="13"/>
  <c r="U13" i="13"/>
  <c r="BN13" i="13"/>
  <c r="BJ13" i="13"/>
  <c r="H16" i="13"/>
  <c r="G15" i="13"/>
  <c r="G14" i="13"/>
  <c r="H13" i="13"/>
  <c r="BI13" i="13"/>
  <c r="AK13" i="13"/>
  <c r="BE13" i="13"/>
  <c r="AH13" i="13"/>
  <c r="AE13" i="13"/>
  <c r="CE13" i="13"/>
  <c r="AW13" i="13"/>
  <c r="AY13" i="13" s="1"/>
  <c r="AD13" i="13"/>
  <c r="AF13" i="13" s="1"/>
  <c r="BT13" i="13"/>
  <c r="AQ13" i="13"/>
  <c r="AA13" i="13"/>
  <c r="BO13" i="13"/>
  <c r="AP13" i="13"/>
  <c r="AR13" i="13" s="1"/>
  <c r="G8" i="13"/>
  <c r="H18" i="13"/>
  <c r="S14" i="13"/>
  <c r="T18" i="13"/>
  <c r="R14" i="13"/>
  <c r="AJ13" i="13"/>
  <c r="AZ13" i="13"/>
  <c r="AS13" i="13"/>
  <c r="BK13" i="13"/>
  <c r="AC13" i="13"/>
  <c r="BU13" i="13"/>
  <c r="BP13" i="13"/>
  <c r="BX13" i="13"/>
  <c r="AG13" i="13"/>
  <c r="H9" i="13"/>
  <c r="G9" i="13"/>
  <c r="T15" i="13"/>
  <c r="R19" i="13"/>
  <c r="R16" i="13"/>
  <c r="BF13" i="13"/>
  <c r="G17" i="13"/>
  <c r="H17" i="13"/>
  <c r="T10" i="13"/>
  <c r="S15" i="13"/>
  <c r="R6" i="13"/>
  <c r="T6" i="13"/>
  <c r="T16" i="13"/>
  <c r="T19" i="13"/>
  <c r="R15" i="13"/>
  <c r="T14" i="13"/>
  <c r="R17" i="13"/>
  <c r="S13" i="13"/>
  <c r="T7" i="13"/>
  <c r="S7" i="13"/>
  <c r="G12" i="13"/>
  <c r="Z13" i="13"/>
  <c r="AB13" i="13" s="1"/>
  <c r="AI13" i="13"/>
  <c r="BS13" i="13"/>
  <c r="AL13" i="13"/>
  <c r="BD13" i="13"/>
  <c r="W13" i="13"/>
  <c r="Y13" i="13" s="1"/>
  <c r="AX13" i="13"/>
  <c r="H10" i="13"/>
  <c r="R10" i="13"/>
  <c r="R11" i="13"/>
  <c r="G11" i="13"/>
  <c r="S6" i="13"/>
  <c r="R5" i="13"/>
  <c r="H4" i="13"/>
  <c r="Z16" i="10" l="1"/>
  <c r="N12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N10" i="9"/>
  <c r="N11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N9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A3" i="8"/>
  <c r="A4" i="8"/>
  <c r="A5" i="8"/>
  <c r="A6" i="8"/>
  <c r="A7" i="8"/>
  <c r="A8" i="8"/>
  <c r="A9" i="8"/>
  <c r="A10" i="8"/>
  <c r="H4" i="8" s="1"/>
  <c r="A11" i="8"/>
  <c r="A12" i="8"/>
  <c r="A13" i="8"/>
  <c r="A14" i="8"/>
  <c r="A15" i="8"/>
  <c r="A16" i="8"/>
  <c r="A17" i="8"/>
  <c r="A18" i="8"/>
  <c r="A4" i="7"/>
  <c r="B4" i="7"/>
  <c r="C4" i="7"/>
  <c r="G4" i="7" s="1"/>
  <c r="D4" i="7"/>
  <c r="E4" i="7" s="1"/>
  <c r="F4" i="7" s="1"/>
  <c r="A5" i="7"/>
  <c r="B5" i="7"/>
  <c r="C5" i="7"/>
  <c r="G5" i="7" s="1"/>
  <c r="D5" i="7"/>
  <c r="E5" i="7" s="1"/>
  <c r="F5" i="7" s="1"/>
  <c r="A6" i="7"/>
  <c r="B6" i="7"/>
  <c r="C6" i="7"/>
  <c r="G6" i="7" s="1"/>
  <c r="H6" i="7" s="1"/>
  <c r="D6" i="7"/>
  <c r="E6" i="7" s="1"/>
  <c r="A7" i="7"/>
  <c r="O12" i="7" s="1"/>
  <c r="B7" i="7"/>
  <c r="C7" i="7"/>
  <c r="G7" i="7" s="1"/>
  <c r="D7" i="7"/>
  <c r="E7" i="7" s="1"/>
  <c r="A8" i="7"/>
  <c r="O11" i="7" s="1"/>
  <c r="B8" i="7"/>
  <c r="C8" i="7"/>
  <c r="G8" i="7" s="1"/>
  <c r="H8" i="7" s="1"/>
  <c r="S11" i="7" s="1"/>
  <c r="D8" i="7"/>
  <c r="E8" i="7" s="1"/>
  <c r="F8" i="7" s="1"/>
  <c r="Q11" i="7" s="1"/>
  <c r="A9" i="7"/>
  <c r="O13" i="7" s="1"/>
  <c r="B9" i="7"/>
  <c r="C9" i="7"/>
  <c r="G9" i="7" s="1"/>
  <c r="D9" i="7"/>
  <c r="E9" i="7" s="1"/>
  <c r="F9" i="7" s="1"/>
  <c r="Q13" i="7" s="1"/>
  <c r="A10" i="7"/>
  <c r="O8" i="7" s="1"/>
  <c r="B10" i="7"/>
  <c r="C10" i="7"/>
  <c r="G10" i="7" s="1"/>
  <c r="H10" i="7" s="1"/>
  <c r="S8" i="7" s="1"/>
  <c r="D10" i="7"/>
  <c r="E10" i="7" s="1"/>
  <c r="A11" i="7"/>
  <c r="O9" i="7" s="1"/>
  <c r="B11" i="7"/>
  <c r="C11" i="7"/>
  <c r="G11" i="7" s="1"/>
  <c r="H11" i="7" s="1"/>
  <c r="S9" i="7" s="1"/>
  <c r="D11" i="7"/>
  <c r="E11" i="7" s="1"/>
  <c r="F11" i="7" s="1"/>
  <c r="Q9" i="7" s="1"/>
  <c r="A12" i="7"/>
  <c r="O3" i="7" s="1"/>
  <c r="B12" i="7"/>
  <c r="C12" i="7"/>
  <c r="G12" i="7" s="1"/>
  <c r="D12" i="7"/>
  <c r="E12" i="7" s="1"/>
  <c r="A13" i="7"/>
  <c r="O7" i="7" s="1"/>
  <c r="B13" i="7"/>
  <c r="C13" i="7"/>
  <c r="G13" i="7" s="1"/>
  <c r="R7" i="7" s="1"/>
  <c r="D13" i="7"/>
  <c r="E13" i="7" s="1"/>
  <c r="A14" i="7"/>
  <c r="B14" i="7"/>
  <c r="C14" i="7"/>
  <c r="G14" i="7" s="1"/>
  <c r="E14" i="7"/>
  <c r="F14" i="7" s="1"/>
  <c r="A15" i="7"/>
  <c r="B15" i="7"/>
  <c r="C15" i="7"/>
  <c r="G15" i="7" s="1"/>
  <c r="H15" i="7" s="1"/>
  <c r="D15" i="7"/>
  <c r="E15" i="7" s="1"/>
  <c r="A16" i="7"/>
  <c r="O6" i="7" s="1"/>
  <c r="B16" i="7"/>
  <c r="C16" i="7"/>
  <c r="G16" i="7" s="1"/>
  <c r="D16" i="7"/>
  <c r="E16" i="7" s="1"/>
  <c r="F16" i="7" s="1"/>
  <c r="Q6" i="7" s="1"/>
  <c r="A17" i="7"/>
  <c r="O10" i="7" s="1"/>
  <c r="B17" i="7"/>
  <c r="C17" i="7"/>
  <c r="G17" i="7" s="1"/>
  <c r="R10" i="7" s="1"/>
  <c r="D17" i="7"/>
  <c r="E17" i="7" s="1"/>
  <c r="F17" i="7" s="1"/>
  <c r="Q10" i="7" s="1"/>
  <c r="A18" i="7"/>
  <c r="O4" i="7" s="1"/>
  <c r="B18" i="7"/>
  <c r="C18" i="7"/>
  <c r="G18" i="7" s="1"/>
  <c r="R4" i="7" s="1"/>
  <c r="D18" i="7"/>
  <c r="E18" i="7" s="1"/>
  <c r="A19" i="7"/>
  <c r="B19" i="7"/>
  <c r="C19" i="7"/>
  <c r="G19" i="7" s="1"/>
  <c r="H19" i="7" s="1"/>
  <c r="D19" i="7"/>
  <c r="E19" i="7" s="1"/>
  <c r="AA16" i="10" l="1"/>
  <c r="H9" i="7"/>
  <c r="S13" i="7" s="1"/>
  <c r="R13" i="7"/>
  <c r="H16" i="7"/>
  <c r="S6" i="7" s="1"/>
  <c r="R6" i="7"/>
  <c r="F12" i="7"/>
  <c r="Q3" i="7" s="1"/>
  <c r="P3" i="7"/>
  <c r="H12" i="7"/>
  <c r="S3" i="7" s="1"/>
  <c r="R3" i="7"/>
  <c r="H7" i="7"/>
  <c r="S12" i="7" s="1"/>
  <c r="R12" i="7"/>
  <c r="I8" i="7"/>
  <c r="R9" i="7"/>
  <c r="R11" i="7"/>
  <c r="R8" i="7"/>
  <c r="P10" i="7"/>
  <c r="F15" i="7"/>
  <c r="J15" i="7" s="1"/>
  <c r="I15" i="7"/>
  <c r="J8" i="7"/>
  <c r="P11" i="7"/>
  <c r="F6" i="7"/>
  <c r="J6" i="7" s="1"/>
  <c r="I6" i="7"/>
  <c r="P13" i="7"/>
  <c r="I9" i="7"/>
  <c r="P12" i="7"/>
  <c r="F7" i="7"/>
  <c r="Q12" i="7" s="1"/>
  <c r="F10" i="7"/>
  <c r="Q8" i="7" s="1"/>
  <c r="P8" i="7"/>
  <c r="I11" i="7"/>
  <c r="P9" i="7"/>
  <c r="J11" i="7"/>
  <c r="F19" i="7"/>
  <c r="J19" i="7" s="1"/>
  <c r="I19" i="7"/>
  <c r="P6" i="7"/>
  <c r="F13" i="7"/>
  <c r="Q7" i="7" s="1"/>
  <c r="P7" i="7"/>
  <c r="F18" i="7"/>
  <c r="Q4" i="7" s="1"/>
  <c r="P4" i="7"/>
  <c r="I17" i="7"/>
  <c r="H17" i="7"/>
  <c r="H14" i="7"/>
  <c r="J14" i="7" s="1"/>
  <c r="I14" i="7"/>
  <c r="I13" i="7"/>
  <c r="H13" i="7"/>
  <c r="S7" i="7" s="1"/>
  <c r="H4" i="7"/>
  <c r="J4" i="7" s="1"/>
  <c r="I4" i="7"/>
  <c r="H18" i="7"/>
  <c r="I18" i="7"/>
  <c r="H5" i="7"/>
  <c r="J5" i="7" s="1"/>
  <c r="I5" i="7"/>
  <c r="I16" i="7"/>
  <c r="I12" i="7"/>
  <c r="I7" i="7"/>
  <c r="I10" i="7"/>
  <c r="J10" i="7" l="1"/>
  <c r="AB16" i="10"/>
  <c r="J16" i="7"/>
  <c r="J9" i="7"/>
  <c r="J17" i="7"/>
  <c r="S10" i="7"/>
  <c r="J7" i="7"/>
  <c r="J12" i="7"/>
  <c r="J13" i="7"/>
  <c r="J18" i="7"/>
  <c r="S4" i="7"/>
  <c r="AC16" i="10" l="1"/>
  <c r="U10" i="17"/>
  <c r="T10" i="17"/>
  <c r="S10" i="17"/>
  <c r="T9" i="17"/>
  <c r="S9" i="17"/>
  <c r="T8" i="17"/>
  <c r="S8" i="17"/>
  <c r="T7" i="17"/>
  <c r="S7" i="17"/>
  <c r="T6" i="17"/>
  <c r="S6" i="17"/>
  <c r="T5" i="17"/>
  <c r="S5" i="17"/>
  <c r="R4" i="17"/>
  <c r="Q4" i="17"/>
  <c r="P4" i="17"/>
  <c r="O4" i="17"/>
  <c r="N4" i="17"/>
  <c r="L4" i="17"/>
  <c r="K4" i="17"/>
  <c r="F4" i="17"/>
  <c r="G4" i="17" s="1"/>
  <c r="A4" i="17"/>
  <c r="R3" i="17"/>
  <c r="Q3" i="17"/>
  <c r="P3" i="17"/>
  <c r="O3" i="17"/>
  <c r="N3" i="17"/>
  <c r="L3" i="17"/>
  <c r="K3" i="17"/>
  <c r="F3" i="17"/>
  <c r="G3" i="17" s="1"/>
  <c r="A3" i="17"/>
  <c r="V10" i="16"/>
  <c r="V9" i="16"/>
  <c r="V8" i="16"/>
  <c r="V7" i="16"/>
  <c r="G7" i="16"/>
  <c r="V6" i="16"/>
  <c r="V5" i="16"/>
  <c r="G5" i="16"/>
  <c r="V4" i="16"/>
  <c r="O4" i="16"/>
  <c r="N4" i="16"/>
  <c r="M4" i="16"/>
  <c r="L4" i="16"/>
  <c r="K4" i="16"/>
  <c r="I4" i="16"/>
  <c r="H4" i="16"/>
  <c r="G4" i="16"/>
  <c r="A4" i="16"/>
  <c r="V3" i="16"/>
  <c r="O3" i="16"/>
  <c r="N3" i="16"/>
  <c r="M3" i="16"/>
  <c r="L3" i="16"/>
  <c r="K3" i="16"/>
  <c r="I3" i="16"/>
  <c r="H3" i="16"/>
  <c r="G3" i="16"/>
  <c r="A3" i="16"/>
  <c r="AH17" i="15"/>
  <c r="AK17" i="15" s="1"/>
  <c r="AG17" i="15"/>
  <c r="AJ17" i="15" s="1"/>
  <c r="AF17" i="15"/>
  <c r="AI17" i="15" s="1"/>
  <c r="Y17" i="15"/>
  <c r="X17" i="15"/>
  <c r="Z17" i="15" s="1"/>
  <c r="W17" i="15"/>
  <c r="U17" i="15"/>
  <c r="T17" i="15"/>
  <c r="V17" i="15" s="1"/>
  <c r="S17" i="15"/>
  <c r="R17" i="15"/>
  <c r="Q17" i="15"/>
  <c r="P17" i="15"/>
  <c r="O17" i="15"/>
  <c r="AH24" i="15"/>
  <c r="AK24" i="15" s="1"/>
  <c r="AG24" i="15"/>
  <c r="AJ24" i="15" s="1"/>
  <c r="AF24" i="15"/>
  <c r="AI24" i="15" s="1"/>
  <c r="Y24" i="15"/>
  <c r="X24" i="15"/>
  <c r="Z24" i="15" s="1"/>
  <c r="W24" i="15"/>
  <c r="U24" i="15"/>
  <c r="T24" i="15"/>
  <c r="V24" i="15" s="1"/>
  <c r="S24" i="15"/>
  <c r="R24" i="15"/>
  <c r="Q24" i="15"/>
  <c r="P24" i="15"/>
  <c r="O24" i="15"/>
  <c r="AH10" i="15"/>
  <c r="AK10" i="15" s="1"/>
  <c r="AG10" i="15"/>
  <c r="AJ10" i="15" s="1"/>
  <c r="AF10" i="15"/>
  <c r="AI10" i="15" s="1"/>
  <c r="Y10" i="15"/>
  <c r="X10" i="15"/>
  <c r="Z10" i="15" s="1"/>
  <c r="W10" i="15"/>
  <c r="U10" i="15"/>
  <c r="T10" i="15"/>
  <c r="V10" i="15" s="1"/>
  <c r="S10" i="15"/>
  <c r="R10" i="15"/>
  <c r="Q10" i="15"/>
  <c r="P10" i="15"/>
  <c r="O10" i="15"/>
  <c r="AH11" i="15"/>
  <c r="AK11" i="15" s="1"/>
  <c r="AG11" i="15"/>
  <c r="AJ11" i="15" s="1"/>
  <c r="AF11" i="15"/>
  <c r="AI11" i="15" s="1"/>
  <c r="Y11" i="15"/>
  <c r="X11" i="15"/>
  <c r="Z11" i="15" s="1"/>
  <c r="W11" i="15"/>
  <c r="U11" i="15"/>
  <c r="T11" i="15"/>
  <c r="V11" i="15" s="1"/>
  <c r="S11" i="15"/>
  <c r="R11" i="15"/>
  <c r="Q11" i="15"/>
  <c r="P11" i="15"/>
  <c r="O11" i="15"/>
  <c r="AB19" i="15"/>
  <c r="AF19" i="15" s="1"/>
  <c r="AI19" i="15" s="1"/>
  <c r="Y19" i="15"/>
  <c r="X19" i="15"/>
  <c r="Z19" i="15" s="1"/>
  <c r="W19" i="15"/>
  <c r="U19" i="15"/>
  <c r="T19" i="15"/>
  <c r="V19" i="15" s="1"/>
  <c r="S19" i="15"/>
  <c r="R19" i="15"/>
  <c r="Q19" i="15"/>
  <c r="P19" i="15"/>
  <c r="O19" i="15"/>
  <c r="AH9" i="15"/>
  <c r="AK9" i="15" s="1"/>
  <c r="AG9" i="15"/>
  <c r="AJ9" i="15" s="1"/>
  <c r="AF9" i="15"/>
  <c r="AI9" i="15" s="1"/>
  <c r="Y9" i="15"/>
  <c r="X9" i="15"/>
  <c r="Z9" i="15" s="1"/>
  <c r="W9" i="15"/>
  <c r="U9" i="15"/>
  <c r="T9" i="15"/>
  <c r="V9" i="15" s="1"/>
  <c r="S9" i="15"/>
  <c r="R9" i="15"/>
  <c r="Q9" i="15"/>
  <c r="P9" i="15"/>
  <c r="O9" i="15"/>
  <c r="AB22" i="15"/>
  <c r="AH22" i="15" s="1"/>
  <c r="AK22" i="15" s="1"/>
  <c r="Y22" i="15"/>
  <c r="X22" i="15"/>
  <c r="Z22" i="15" s="1"/>
  <c r="W22" i="15"/>
  <c r="U22" i="15"/>
  <c r="T22" i="15"/>
  <c r="V22" i="15" s="1"/>
  <c r="S22" i="15"/>
  <c r="R22" i="15"/>
  <c r="Q22" i="15"/>
  <c r="P22" i="15"/>
  <c r="O22" i="15"/>
  <c r="AH13" i="15"/>
  <c r="AK13" i="15" s="1"/>
  <c r="AG13" i="15"/>
  <c r="AJ13" i="15" s="1"/>
  <c r="AF13" i="15"/>
  <c r="AI13" i="15" s="1"/>
  <c r="Y13" i="15"/>
  <c r="X13" i="15"/>
  <c r="Z13" i="15" s="1"/>
  <c r="W13" i="15"/>
  <c r="U13" i="15"/>
  <c r="T13" i="15"/>
  <c r="V13" i="15" s="1"/>
  <c r="S13" i="15"/>
  <c r="R13" i="15"/>
  <c r="Q13" i="15"/>
  <c r="P13" i="15"/>
  <c r="O13" i="15"/>
  <c r="AH15" i="15"/>
  <c r="AK15" i="15" s="1"/>
  <c r="AG15" i="15"/>
  <c r="AJ15" i="15" s="1"/>
  <c r="AF15" i="15"/>
  <c r="AI15" i="15" s="1"/>
  <c r="Y15" i="15"/>
  <c r="X15" i="15"/>
  <c r="Z15" i="15" s="1"/>
  <c r="W15" i="15"/>
  <c r="U15" i="15"/>
  <c r="T15" i="15"/>
  <c r="V15" i="15" s="1"/>
  <c r="S15" i="15"/>
  <c r="R15" i="15"/>
  <c r="Q15" i="15"/>
  <c r="P15" i="15"/>
  <c r="O15" i="15"/>
  <c r="AH5" i="15"/>
  <c r="AK5" i="15" s="1"/>
  <c r="Y5" i="15"/>
  <c r="X5" i="15"/>
  <c r="Z5" i="15" s="1"/>
  <c r="W5" i="15"/>
  <c r="U5" i="15"/>
  <c r="T5" i="15"/>
  <c r="V5" i="15" s="1"/>
  <c r="S5" i="15"/>
  <c r="R5" i="15"/>
  <c r="Q5" i="15"/>
  <c r="P5" i="15"/>
  <c r="O5" i="15"/>
  <c r="AH23" i="15"/>
  <c r="AK23" i="15" s="1"/>
  <c r="AG23" i="15"/>
  <c r="AJ23" i="15" s="1"/>
  <c r="AF23" i="15"/>
  <c r="AI23" i="15" s="1"/>
  <c r="Y23" i="15"/>
  <c r="X23" i="15"/>
  <c r="Z23" i="15" s="1"/>
  <c r="W23" i="15"/>
  <c r="U23" i="15"/>
  <c r="T23" i="15"/>
  <c r="V23" i="15" s="1"/>
  <c r="S23" i="15"/>
  <c r="R23" i="15"/>
  <c r="Q23" i="15"/>
  <c r="P23" i="15"/>
  <c r="O23" i="15"/>
  <c r="AH21" i="15"/>
  <c r="AK21" i="15" s="1"/>
  <c r="AG21" i="15"/>
  <c r="AJ21" i="15" s="1"/>
  <c r="AF21" i="15"/>
  <c r="AI21" i="15" s="1"/>
  <c r="Y21" i="15"/>
  <c r="X21" i="15"/>
  <c r="Z21" i="15" s="1"/>
  <c r="W21" i="15"/>
  <c r="U21" i="15"/>
  <c r="T21" i="15"/>
  <c r="V21" i="15" s="1"/>
  <c r="S21" i="15"/>
  <c r="R21" i="15"/>
  <c r="Q21" i="15"/>
  <c r="P21" i="15"/>
  <c r="O21" i="15"/>
  <c r="AH14" i="15"/>
  <c r="AK14" i="15" s="1"/>
  <c r="AG14" i="15"/>
  <c r="AJ14" i="15" s="1"/>
  <c r="AF14" i="15"/>
  <c r="AI14" i="15" s="1"/>
  <c r="Y14" i="15"/>
  <c r="X14" i="15"/>
  <c r="Z14" i="15" s="1"/>
  <c r="W14" i="15"/>
  <c r="U14" i="15"/>
  <c r="T14" i="15"/>
  <c r="V14" i="15" s="1"/>
  <c r="S14" i="15"/>
  <c r="R14" i="15"/>
  <c r="Q14" i="15"/>
  <c r="P14" i="15"/>
  <c r="O14" i="15"/>
  <c r="Y8" i="15"/>
  <c r="X8" i="15"/>
  <c r="Z8" i="15" s="1"/>
  <c r="W8" i="15"/>
  <c r="U8" i="15"/>
  <c r="T8" i="15"/>
  <c r="V8" i="15" s="1"/>
  <c r="S8" i="15"/>
  <c r="R8" i="15"/>
  <c r="Q8" i="15"/>
  <c r="P8" i="15"/>
  <c r="O8" i="15"/>
  <c r="AH6" i="15"/>
  <c r="AK6" i="15" s="1"/>
  <c r="AG6" i="15"/>
  <c r="AJ6" i="15" s="1"/>
  <c r="AF6" i="15"/>
  <c r="AI6" i="15" s="1"/>
  <c r="Y6" i="15"/>
  <c r="X6" i="15"/>
  <c r="Z6" i="15" s="1"/>
  <c r="W6" i="15"/>
  <c r="U6" i="15"/>
  <c r="T6" i="15"/>
  <c r="V6" i="15" s="1"/>
  <c r="S6" i="15"/>
  <c r="R6" i="15"/>
  <c r="Q6" i="15"/>
  <c r="P6" i="15"/>
  <c r="O6" i="15"/>
  <c r="AH7" i="15"/>
  <c r="AK7" i="15" s="1"/>
  <c r="Y7" i="15"/>
  <c r="X7" i="15"/>
  <c r="Z7" i="15" s="1"/>
  <c r="W7" i="15"/>
  <c r="U7" i="15"/>
  <c r="T7" i="15"/>
  <c r="V7" i="15" s="1"/>
  <c r="S7" i="15"/>
  <c r="R7" i="15"/>
  <c r="Q7" i="15"/>
  <c r="P7" i="15"/>
  <c r="O7" i="15"/>
  <c r="K19" i="14"/>
  <c r="J19" i="14"/>
  <c r="G19" i="14"/>
  <c r="F19" i="14"/>
  <c r="E19" i="14"/>
  <c r="C19" i="14"/>
  <c r="B19" i="14"/>
  <c r="A19" i="14"/>
  <c r="K18" i="14"/>
  <c r="J18" i="14"/>
  <c r="I18" i="14"/>
  <c r="H18" i="14"/>
  <c r="G18" i="14"/>
  <c r="F18" i="14"/>
  <c r="E18" i="14"/>
  <c r="C18" i="14"/>
  <c r="B18" i="14"/>
  <c r="A18" i="14"/>
  <c r="K17" i="14"/>
  <c r="J17" i="14"/>
  <c r="I17" i="14"/>
  <c r="H17" i="14"/>
  <c r="G17" i="14"/>
  <c r="F17" i="14"/>
  <c r="E17" i="14"/>
  <c r="C17" i="14"/>
  <c r="B17" i="14"/>
  <c r="A17" i="14"/>
  <c r="K16" i="14"/>
  <c r="J16" i="14"/>
  <c r="I16" i="14"/>
  <c r="H16" i="14"/>
  <c r="G16" i="14"/>
  <c r="F16" i="14"/>
  <c r="E16" i="14"/>
  <c r="C16" i="14"/>
  <c r="B16" i="14"/>
  <c r="A16" i="14"/>
  <c r="R15" i="14"/>
  <c r="Q15" i="14"/>
  <c r="P15" i="14"/>
  <c r="O15" i="14"/>
  <c r="N15" i="14"/>
  <c r="L15" i="14"/>
  <c r="T15" i="14" s="1"/>
  <c r="K15" i="14"/>
  <c r="J15" i="14"/>
  <c r="I15" i="14"/>
  <c r="G15" i="14"/>
  <c r="E15" i="14"/>
  <c r="C15" i="14"/>
  <c r="B15" i="14"/>
  <c r="A15" i="14"/>
  <c r="L14" i="14"/>
  <c r="R14" i="14" s="1"/>
  <c r="K14" i="14"/>
  <c r="G14" i="14"/>
  <c r="E14" i="14"/>
  <c r="C14" i="14"/>
  <c r="B14" i="14"/>
  <c r="A14" i="14"/>
  <c r="P13" i="14"/>
  <c r="L13" i="14"/>
  <c r="G13" i="14"/>
  <c r="E13" i="14"/>
  <c r="C13" i="14"/>
  <c r="B13" i="14"/>
  <c r="A13" i="14"/>
  <c r="L12" i="14"/>
  <c r="S12" i="14" s="1"/>
  <c r="G12" i="14"/>
  <c r="E12" i="14"/>
  <c r="C12" i="14"/>
  <c r="B12" i="14"/>
  <c r="A12" i="14"/>
  <c r="T11" i="14"/>
  <c r="S11" i="14"/>
  <c r="R11" i="14"/>
  <c r="M11" i="14"/>
  <c r="L11" i="14"/>
  <c r="P11" i="14" s="1"/>
  <c r="K11" i="14"/>
  <c r="G11" i="14"/>
  <c r="E11" i="14"/>
  <c r="C11" i="14"/>
  <c r="B11" i="14"/>
  <c r="A11" i="14"/>
  <c r="J10" i="14"/>
  <c r="H10" i="14"/>
  <c r="G10" i="14"/>
  <c r="E10" i="14"/>
  <c r="C10" i="14"/>
  <c r="B10" i="14"/>
  <c r="A10" i="14"/>
  <c r="U9" i="14"/>
  <c r="L9" i="14"/>
  <c r="N9" i="14" s="1"/>
  <c r="J9" i="14"/>
  <c r="H9" i="14"/>
  <c r="G9" i="14"/>
  <c r="E9" i="14"/>
  <c r="C9" i="14"/>
  <c r="B9" i="14"/>
  <c r="A9" i="14"/>
  <c r="L8" i="14"/>
  <c r="O8" i="14" s="1"/>
  <c r="U8" i="14" s="1"/>
  <c r="K8" i="14"/>
  <c r="J8" i="14"/>
  <c r="G8" i="14"/>
  <c r="E8" i="14"/>
  <c r="C8" i="14"/>
  <c r="B8" i="14"/>
  <c r="A8" i="14"/>
  <c r="O7" i="14"/>
  <c r="U7" i="14" s="1"/>
  <c r="L7" i="14"/>
  <c r="N7" i="14" s="1"/>
  <c r="K7" i="14"/>
  <c r="J7" i="14"/>
  <c r="G7" i="14"/>
  <c r="E7" i="14"/>
  <c r="C7" i="14"/>
  <c r="B7" i="14"/>
  <c r="A7" i="14"/>
  <c r="L6" i="14"/>
  <c r="O6" i="14" s="1"/>
  <c r="U6" i="14" s="1"/>
  <c r="J6" i="14"/>
  <c r="G6" i="14"/>
  <c r="E6" i="14"/>
  <c r="C6" i="14"/>
  <c r="B6" i="14"/>
  <c r="A6" i="14"/>
  <c r="K5" i="14"/>
  <c r="J5" i="14"/>
  <c r="I5" i="14"/>
  <c r="H5" i="14"/>
  <c r="G5" i="14"/>
  <c r="E5" i="14"/>
  <c r="C5" i="14"/>
  <c r="B5" i="14"/>
  <c r="A5" i="14"/>
  <c r="K4" i="14"/>
  <c r="J4" i="14"/>
  <c r="I4" i="14"/>
  <c r="H4" i="14"/>
  <c r="G4" i="14"/>
  <c r="E4" i="14"/>
  <c r="C4" i="14"/>
  <c r="B4" i="14"/>
  <c r="A4" i="14"/>
  <c r="K3" i="14"/>
  <c r="J3" i="14"/>
  <c r="I3" i="14"/>
  <c r="H3" i="14"/>
  <c r="G3" i="14"/>
  <c r="F3" i="14"/>
  <c r="E3" i="14"/>
  <c r="Q3" i="13"/>
  <c r="P3" i="13"/>
  <c r="O3" i="13"/>
  <c r="N3" i="13"/>
  <c r="M3" i="13"/>
  <c r="K3" i="13"/>
  <c r="J3" i="13"/>
  <c r="F3" i="13"/>
  <c r="H3" i="13" s="1"/>
  <c r="E3" i="13"/>
  <c r="D3" i="13"/>
  <c r="B3" i="13"/>
  <c r="A3" i="13"/>
  <c r="T76" i="11"/>
  <c r="S76" i="11"/>
  <c r="O76" i="11"/>
  <c r="Q76" i="11" s="1"/>
  <c r="T75" i="11"/>
  <c r="S75" i="11"/>
  <c r="O75" i="11"/>
  <c r="Q75" i="11" s="1"/>
  <c r="T74" i="11"/>
  <c r="S74" i="11"/>
  <c r="U74" i="11" s="1"/>
  <c r="O74" i="11"/>
  <c r="Q74" i="11" s="1"/>
  <c r="T73" i="11"/>
  <c r="S73" i="11"/>
  <c r="O73" i="11"/>
  <c r="Q73" i="11" s="1"/>
  <c r="T72" i="11"/>
  <c r="S72" i="11"/>
  <c r="O72" i="11"/>
  <c r="Q72" i="11" s="1"/>
  <c r="T71" i="11"/>
  <c r="S71" i="11"/>
  <c r="U71" i="11" s="1"/>
  <c r="O71" i="11"/>
  <c r="Q71" i="11" s="1"/>
  <c r="T70" i="11"/>
  <c r="S70" i="11"/>
  <c r="O70" i="11"/>
  <c r="Q70" i="11" s="1"/>
  <c r="T69" i="11"/>
  <c r="S69" i="11"/>
  <c r="U69" i="11" s="1"/>
  <c r="O69" i="11"/>
  <c r="Q69" i="11" s="1"/>
  <c r="T68" i="11"/>
  <c r="U68" i="11" s="1"/>
  <c r="S68" i="11"/>
  <c r="O68" i="11"/>
  <c r="Q68" i="11" s="1"/>
  <c r="T67" i="11"/>
  <c r="S67" i="11"/>
  <c r="O67" i="11"/>
  <c r="Q67" i="11" s="1"/>
  <c r="T66" i="11"/>
  <c r="U66" i="11" s="1"/>
  <c r="S66" i="11"/>
  <c r="O66" i="11"/>
  <c r="Q66" i="11" s="1"/>
  <c r="T65" i="11"/>
  <c r="S65" i="11"/>
  <c r="Q65" i="11"/>
  <c r="O65" i="11"/>
  <c r="T64" i="11"/>
  <c r="S64" i="11"/>
  <c r="U64" i="11" s="1"/>
  <c r="O64" i="11"/>
  <c r="Q64" i="11" s="1"/>
  <c r="T63" i="11"/>
  <c r="S63" i="11"/>
  <c r="U63" i="11" s="1"/>
  <c r="O63" i="11"/>
  <c r="Q63" i="11" s="1"/>
  <c r="T62" i="11"/>
  <c r="S62" i="11"/>
  <c r="U62" i="11" s="1"/>
  <c r="Q62" i="11"/>
  <c r="O62" i="11"/>
  <c r="T61" i="11"/>
  <c r="S61" i="11"/>
  <c r="U61" i="11" s="1"/>
  <c r="O61" i="11"/>
  <c r="Q61" i="11" s="1"/>
  <c r="T60" i="11"/>
  <c r="S60" i="11"/>
  <c r="Q60" i="11"/>
  <c r="O60" i="11"/>
  <c r="T59" i="11"/>
  <c r="S59" i="11"/>
  <c r="U59" i="11" s="1"/>
  <c r="O59" i="11"/>
  <c r="Q59" i="11" s="1"/>
  <c r="T58" i="11"/>
  <c r="S58" i="11"/>
  <c r="U58" i="11" s="1"/>
  <c r="O58" i="11"/>
  <c r="Q58" i="11" s="1"/>
  <c r="T57" i="11"/>
  <c r="S57" i="11"/>
  <c r="Q57" i="11"/>
  <c r="O57" i="11"/>
  <c r="T56" i="11"/>
  <c r="S56" i="11"/>
  <c r="O56" i="11"/>
  <c r="Q56" i="11" s="1"/>
  <c r="U55" i="11"/>
  <c r="T55" i="11"/>
  <c r="S55" i="11"/>
  <c r="O55" i="11"/>
  <c r="Q55" i="11" s="1"/>
  <c r="T54" i="11"/>
  <c r="S54" i="11"/>
  <c r="U54" i="11" s="1"/>
  <c r="O54" i="11"/>
  <c r="Q54" i="11" s="1"/>
  <c r="T53" i="11"/>
  <c r="S53" i="11"/>
  <c r="Q53" i="11"/>
  <c r="O53" i="11"/>
  <c r="T52" i="11"/>
  <c r="S52" i="11"/>
  <c r="U52" i="11" s="1"/>
  <c r="Q52" i="11"/>
  <c r="O52" i="11"/>
  <c r="T51" i="11"/>
  <c r="S51" i="11"/>
  <c r="U51" i="11" s="1"/>
  <c r="O51" i="11"/>
  <c r="Q51" i="11" s="1"/>
  <c r="T50" i="11"/>
  <c r="S50" i="11"/>
  <c r="U50" i="11" s="1"/>
  <c r="O50" i="11"/>
  <c r="Q50" i="11" s="1"/>
  <c r="T49" i="11"/>
  <c r="S49" i="11"/>
  <c r="Q49" i="11"/>
  <c r="O49" i="11"/>
  <c r="T48" i="11"/>
  <c r="S48" i="11"/>
  <c r="O48" i="11"/>
  <c r="Q48" i="11" s="1"/>
  <c r="U47" i="11"/>
  <c r="T47" i="11"/>
  <c r="S47" i="11"/>
  <c r="O47" i="11"/>
  <c r="Q47" i="11" s="1"/>
  <c r="T46" i="11"/>
  <c r="S46" i="11"/>
  <c r="U46" i="11" s="1"/>
  <c r="O46" i="11"/>
  <c r="Q46" i="11" s="1"/>
  <c r="T45" i="11"/>
  <c r="S45" i="11"/>
  <c r="Q45" i="11"/>
  <c r="O45" i="11"/>
  <c r="T44" i="11"/>
  <c r="U44" i="11" s="1"/>
  <c r="S44" i="11"/>
  <c r="O44" i="11"/>
  <c r="Q44" i="11" s="1"/>
  <c r="T43" i="11"/>
  <c r="S43" i="11"/>
  <c r="Q43" i="11"/>
  <c r="O43" i="11"/>
  <c r="T42" i="11"/>
  <c r="S42" i="11"/>
  <c r="U42" i="11" s="1"/>
  <c r="O42" i="11"/>
  <c r="Q42" i="11" s="1"/>
  <c r="T41" i="11"/>
  <c r="S41" i="11"/>
  <c r="Q41" i="11"/>
  <c r="O41" i="11"/>
  <c r="T40" i="11"/>
  <c r="S40" i="11"/>
  <c r="O40" i="11"/>
  <c r="Q40" i="11" s="1"/>
  <c r="U39" i="11"/>
  <c r="T39" i="11"/>
  <c r="S39" i="11"/>
  <c r="O39" i="11"/>
  <c r="Q39" i="11" s="1"/>
  <c r="T38" i="11"/>
  <c r="S38" i="11"/>
  <c r="U38" i="11" s="1"/>
  <c r="O38" i="11"/>
  <c r="Q38" i="11" s="1"/>
  <c r="T37" i="11"/>
  <c r="S37" i="11"/>
  <c r="O37" i="11"/>
  <c r="Q37" i="11" s="1"/>
  <c r="T36" i="11"/>
  <c r="S36" i="11"/>
  <c r="U36" i="11" s="1"/>
  <c r="O36" i="11"/>
  <c r="Q36" i="11" s="1"/>
  <c r="T35" i="11"/>
  <c r="S35" i="11"/>
  <c r="O35" i="11"/>
  <c r="Q35" i="11" s="1"/>
  <c r="T34" i="11"/>
  <c r="S34" i="11"/>
  <c r="U34" i="11" s="1"/>
  <c r="O34" i="11"/>
  <c r="Q34" i="11" s="1"/>
  <c r="T33" i="11"/>
  <c r="S33" i="11"/>
  <c r="O33" i="11"/>
  <c r="Q33" i="11" s="1"/>
  <c r="B33" i="11"/>
  <c r="T32" i="11"/>
  <c r="S32" i="11"/>
  <c r="O32" i="11"/>
  <c r="Q32" i="11" s="1"/>
  <c r="T31" i="11"/>
  <c r="S31" i="11"/>
  <c r="Q31" i="11"/>
  <c r="O31" i="11"/>
  <c r="B31" i="11"/>
  <c r="B32" i="11" s="1"/>
  <c r="T30" i="11"/>
  <c r="S30" i="11"/>
  <c r="U30" i="11" s="1"/>
  <c r="O30" i="11"/>
  <c r="Q30" i="11" s="1"/>
  <c r="T29" i="11"/>
  <c r="S29" i="11"/>
  <c r="U29" i="11" s="1"/>
  <c r="O29" i="11"/>
  <c r="Q29" i="11" s="1"/>
  <c r="T28" i="11"/>
  <c r="S28" i="11"/>
  <c r="U28" i="11" s="1"/>
  <c r="Q28" i="11"/>
  <c r="O28" i="11"/>
  <c r="T27" i="11"/>
  <c r="U27" i="11" s="1"/>
  <c r="S27" i="11"/>
  <c r="Q27" i="11"/>
  <c r="O27" i="11"/>
  <c r="T26" i="11"/>
  <c r="S26" i="11"/>
  <c r="O26" i="11"/>
  <c r="Q26" i="11" s="1"/>
  <c r="T25" i="11"/>
  <c r="U25" i="11" s="1"/>
  <c r="S25" i="11"/>
  <c r="O25" i="11"/>
  <c r="Q25" i="11" s="1"/>
  <c r="T24" i="11"/>
  <c r="S24" i="11"/>
  <c r="Q24" i="11"/>
  <c r="O24" i="11"/>
  <c r="T23" i="11"/>
  <c r="S23" i="11"/>
  <c r="U23" i="11" s="1"/>
  <c r="O23" i="11"/>
  <c r="Q23" i="11" s="1"/>
  <c r="T22" i="11"/>
  <c r="S22" i="11"/>
  <c r="U22" i="11" s="1"/>
  <c r="O22" i="11"/>
  <c r="Q22" i="11" s="1"/>
  <c r="T21" i="11"/>
  <c r="S21" i="11"/>
  <c r="U21" i="11" s="1"/>
  <c r="O21" i="11"/>
  <c r="Q21" i="11" s="1"/>
  <c r="T20" i="11"/>
  <c r="S20" i="11"/>
  <c r="U20" i="11" s="1"/>
  <c r="O20" i="11"/>
  <c r="Q20" i="11" s="1"/>
  <c r="T19" i="11"/>
  <c r="U19" i="11" s="1"/>
  <c r="S19" i="11"/>
  <c r="O19" i="11"/>
  <c r="Q19" i="11" s="1"/>
  <c r="T18" i="11"/>
  <c r="S18" i="11"/>
  <c r="U18" i="11" s="1"/>
  <c r="O18" i="11"/>
  <c r="Q18" i="11" s="1"/>
  <c r="T17" i="11"/>
  <c r="S17" i="11"/>
  <c r="U17" i="11" s="1"/>
  <c r="O17" i="11"/>
  <c r="Q17" i="11" s="1"/>
  <c r="T16" i="11"/>
  <c r="S16" i="11"/>
  <c r="U16" i="11" s="1"/>
  <c r="Q16" i="11"/>
  <c r="O16" i="11"/>
  <c r="T15" i="11"/>
  <c r="S15" i="11"/>
  <c r="U15" i="11" s="1"/>
  <c r="O15" i="11"/>
  <c r="Q15" i="11" s="1"/>
  <c r="T14" i="11"/>
  <c r="S14" i="11"/>
  <c r="U14" i="11" s="1"/>
  <c r="O14" i="11"/>
  <c r="Q14" i="11" s="1"/>
  <c r="T13" i="11"/>
  <c r="S13" i="11"/>
  <c r="Q13" i="11"/>
  <c r="O13" i="11"/>
  <c r="T12" i="11"/>
  <c r="S12" i="11"/>
  <c r="U12" i="11" s="1"/>
  <c r="Q12" i="11"/>
  <c r="O12" i="11"/>
  <c r="T11" i="11"/>
  <c r="S11" i="11"/>
  <c r="O11" i="11"/>
  <c r="Q11" i="11" s="1"/>
  <c r="T10" i="11"/>
  <c r="S10" i="11"/>
  <c r="U10" i="11" s="1"/>
  <c r="O10" i="11"/>
  <c r="Q10" i="11" s="1"/>
  <c r="T9" i="11"/>
  <c r="S9" i="11"/>
  <c r="U9" i="11" s="1"/>
  <c r="O9" i="11"/>
  <c r="Q9" i="11" s="1"/>
  <c r="K9" i="11"/>
  <c r="T8" i="11"/>
  <c r="S8" i="11"/>
  <c r="Q8" i="11"/>
  <c r="O8" i="11"/>
  <c r="T7" i="11"/>
  <c r="S7" i="11"/>
  <c r="U7" i="11" s="1"/>
  <c r="O7" i="11"/>
  <c r="Q7" i="11" s="1"/>
  <c r="T6" i="11"/>
  <c r="S6" i="11"/>
  <c r="U6" i="11" s="1"/>
  <c r="O6" i="11"/>
  <c r="Q6" i="11" s="1"/>
  <c r="T5" i="11"/>
  <c r="S5" i="11"/>
  <c r="Q5" i="11"/>
  <c r="O5" i="11"/>
  <c r="T4" i="11"/>
  <c r="S4" i="11"/>
  <c r="O4" i="11"/>
  <c r="Q4" i="11" s="1"/>
  <c r="U3" i="11"/>
  <c r="T3" i="11"/>
  <c r="S3" i="11"/>
  <c r="O3" i="11"/>
  <c r="Q3" i="11" s="1"/>
  <c r="T2" i="11"/>
  <c r="S2" i="11"/>
  <c r="U2" i="11" s="1"/>
  <c r="O2" i="11"/>
  <c r="Q2" i="11" s="1"/>
  <c r="AJ29" i="10"/>
  <c r="AH29" i="10"/>
  <c r="AF29" i="10"/>
  <c r="AJ28" i="10"/>
  <c r="AH28" i="10"/>
  <c r="AF28" i="10"/>
  <c r="AJ27" i="10"/>
  <c r="AH27" i="10"/>
  <c r="AF27" i="10"/>
  <c r="AJ26" i="10"/>
  <c r="AH26" i="10"/>
  <c r="AF26" i="10"/>
  <c r="B25" i="10"/>
  <c r="B29" i="10" s="1"/>
  <c r="B23" i="10"/>
  <c r="B27" i="10" s="1"/>
  <c r="C23" i="10"/>
  <c r="Q13" i="10"/>
  <c r="L7" i="10" s="1"/>
  <c r="O13" i="10"/>
  <c r="N13" i="10"/>
  <c r="P12" i="10"/>
  <c r="E12" i="10"/>
  <c r="P11" i="10"/>
  <c r="E11" i="10"/>
  <c r="P10" i="10"/>
  <c r="E10" i="10"/>
  <c r="P9" i="10"/>
  <c r="H9" i="10"/>
  <c r="I11" i="10" s="1"/>
  <c r="E9" i="10"/>
  <c r="P8" i="10"/>
  <c r="P7" i="10"/>
  <c r="K7" i="10"/>
  <c r="J7" i="10"/>
  <c r="I7" i="10"/>
  <c r="G7" i="10"/>
  <c r="E7" i="10"/>
  <c r="P6" i="10"/>
  <c r="K6" i="10"/>
  <c r="J6" i="10"/>
  <c r="I6" i="10"/>
  <c r="G6" i="10"/>
  <c r="E6" i="10"/>
  <c r="P5" i="10"/>
  <c r="L5" i="10"/>
  <c r="K5" i="10"/>
  <c r="J5" i="10"/>
  <c r="I5" i="10"/>
  <c r="G5" i="10"/>
  <c r="E5" i="10"/>
  <c r="P4" i="10"/>
  <c r="L4" i="10"/>
  <c r="K4" i="10"/>
  <c r="J4" i="10"/>
  <c r="I4" i="10"/>
  <c r="G4" i="10"/>
  <c r="E4" i="10"/>
  <c r="P3" i="10"/>
  <c r="C3" i="10"/>
  <c r="C8" i="10" s="1"/>
  <c r="B3" i="10"/>
  <c r="P2" i="10"/>
  <c r="P13" i="10" s="1"/>
  <c r="L6" i="10" s="1"/>
  <c r="H86" i="9"/>
  <c r="E86" i="9"/>
  <c r="H85" i="9"/>
  <c r="E85" i="9"/>
  <c r="H84" i="9"/>
  <c r="E84" i="9"/>
  <c r="H83" i="9"/>
  <c r="E83" i="9"/>
  <c r="H82" i="9"/>
  <c r="E82" i="9"/>
  <c r="H81" i="9"/>
  <c r="E81" i="9"/>
  <c r="H80" i="9"/>
  <c r="E80" i="9"/>
  <c r="H79" i="9"/>
  <c r="E79" i="9"/>
  <c r="H78" i="9"/>
  <c r="E78" i="9"/>
  <c r="H77" i="9"/>
  <c r="E77" i="9"/>
  <c r="H76" i="9"/>
  <c r="E76" i="9"/>
  <c r="H75" i="9"/>
  <c r="E75" i="9"/>
  <c r="H74" i="9"/>
  <c r="E74" i="9"/>
  <c r="H73" i="9"/>
  <c r="E73" i="9"/>
  <c r="H72" i="9"/>
  <c r="E72" i="9"/>
  <c r="H71" i="9"/>
  <c r="E71" i="9"/>
  <c r="H70" i="9"/>
  <c r="E70" i="9"/>
  <c r="H69" i="9"/>
  <c r="E69" i="9"/>
  <c r="H68" i="9"/>
  <c r="E68" i="9"/>
  <c r="H67" i="9"/>
  <c r="E67" i="9"/>
  <c r="H66" i="9"/>
  <c r="E66" i="9"/>
  <c r="H65" i="9"/>
  <c r="E65" i="9"/>
  <c r="H64" i="9"/>
  <c r="E64" i="9"/>
  <c r="H63" i="9"/>
  <c r="E63" i="9"/>
  <c r="H62" i="9"/>
  <c r="E62" i="9"/>
  <c r="H61" i="9"/>
  <c r="E61" i="9"/>
  <c r="H60" i="9"/>
  <c r="E60" i="9"/>
  <c r="H59" i="9"/>
  <c r="E59" i="9"/>
  <c r="H58" i="9"/>
  <c r="E58" i="9"/>
  <c r="H57" i="9"/>
  <c r="E57" i="9"/>
  <c r="H56" i="9"/>
  <c r="E56" i="9"/>
  <c r="H55" i="9"/>
  <c r="E55" i="9"/>
  <c r="H54" i="9"/>
  <c r="E54" i="9"/>
  <c r="H53" i="9"/>
  <c r="E53" i="9"/>
  <c r="H52" i="9"/>
  <c r="E52" i="9"/>
  <c r="H51" i="9"/>
  <c r="E51" i="9"/>
  <c r="H50" i="9"/>
  <c r="E50" i="9"/>
  <c r="H49" i="9"/>
  <c r="E49" i="9"/>
  <c r="H48" i="9"/>
  <c r="E48" i="9"/>
  <c r="H47" i="9"/>
  <c r="E47" i="9"/>
  <c r="H46" i="9"/>
  <c r="E46" i="9"/>
  <c r="H45" i="9"/>
  <c r="E45" i="9"/>
  <c r="H44" i="9"/>
  <c r="E44" i="9"/>
  <c r="H43" i="9"/>
  <c r="E43" i="9"/>
  <c r="H42" i="9"/>
  <c r="E42" i="9"/>
  <c r="H41" i="9"/>
  <c r="E41" i="9"/>
  <c r="H40" i="9"/>
  <c r="E40" i="9"/>
  <c r="H39" i="9"/>
  <c r="E39" i="9"/>
  <c r="H38" i="9"/>
  <c r="E38" i="9"/>
  <c r="H37" i="9"/>
  <c r="E37" i="9"/>
  <c r="H36" i="9"/>
  <c r="E36" i="9"/>
  <c r="H35" i="9"/>
  <c r="E35" i="9"/>
  <c r="H34" i="9"/>
  <c r="E34" i="9"/>
  <c r="H33" i="9"/>
  <c r="E33" i="9"/>
  <c r="H32" i="9"/>
  <c r="E32" i="9"/>
  <c r="H31" i="9"/>
  <c r="E31" i="9"/>
  <c r="H30" i="9"/>
  <c r="E30" i="9"/>
  <c r="H29" i="9"/>
  <c r="E29" i="9"/>
  <c r="H28" i="9"/>
  <c r="E28" i="9"/>
  <c r="H27" i="9"/>
  <c r="E27" i="9"/>
  <c r="H26" i="9"/>
  <c r="E26" i="9"/>
  <c r="H25" i="9"/>
  <c r="E25" i="9"/>
  <c r="H24" i="9"/>
  <c r="E24" i="9"/>
  <c r="H23" i="9"/>
  <c r="E23" i="9"/>
  <c r="H22" i="9"/>
  <c r="E22" i="9"/>
  <c r="H21" i="9"/>
  <c r="E21" i="9"/>
  <c r="H20" i="9"/>
  <c r="E20" i="9"/>
  <c r="H19" i="9"/>
  <c r="E19" i="9"/>
  <c r="H18" i="9"/>
  <c r="E18" i="9"/>
  <c r="H17" i="9"/>
  <c r="E17" i="9"/>
  <c r="H16" i="9"/>
  <c r="E16" i="9"/>
  <c r="H15" i="9"/>
  <c r="E15" i="9"/>
  <c r="H14" i="9"/>
  <c r="E14" i="9"/>
  <c r="H13" i="9"/>
  <c r="E13" i="9"/>
  <c r="H12" i="9"/>
  <c r="E12" i="9"/>
  <c r="H11" i="9"/>
  <c r="E11" i="9"/>
  <c r="H10" i="9"/>
  <c r="E10" i="9"/>
  <c r="H9" i="9"/>
  <c r="E9" i="9"/>
  <c r="N8" i="9"/>
  <c r="H8" i="9"/>
  <c r="E8" i="9"/>
  <c r="N7" i="9"/>
  <c r="H7" i="9"/>
  <c r="E7" i="9"/>
  <c r="N6" i="9"/>
  <c r="H6" i="9"/>
  <c r="E6" i="9"/>
  <c r="N5" i="9"/>
  <c r="H5" i="9"/>
  <c r="E5" i="9"/>
  <c r="N4" i="9"/>
  <c r="H4" i="9"/>
  <c r="E4" i="9"/>
  <c r="N3" i="9"/>
  <c r="H3" i="9"/>
  <c r="E3" i="9"/>
  <c r="N2" i="9"/>
  <c r="H2" i="9"/>
  <c r="E2" i="9"/>
  <c r="R12" i="8"/>
  <c r="H15" i="8"/>
  <c r="O15" i="8" s="1"/>
  <c r="H3" i="8"/>
  <c r="H14" i="8" s="1"/>
  <c r="O14" i="8" s="1"/>
  <c r="H6" i="8"/>
  <c r="H17" i="8" s="1"/>
  <c r="H5" i="8"/>
  <c r="O5" i="8" s="1"/>
  <c r="O4" i="8"/>
  <c r="H2" i="8"/>
  <c r="H13" i="8" s="1"/>
  <c r="O13" i="8" s="1"/>
  <c r="A2" i="8"/>
  <c r="O2" i="8" s="1"/>
  <c r="K1" i="8"/>
  <c r="R1" i="8" s="1"/>
  <c r="P18" i="7"/>
  <c r="D3" i="7"/>
  <c r="E3" i="7" s="1"/>
  <c r="C3" i="7"/>
  <c r="G3" i="7" s="1"/>
  <c r="R5" i="7" s="1"/>
  <c r="B3" i="7"/>
  <c r="A3" i="7"/>
  <c r="O5" i="7" s="1"/>
  <c r="AH30" i="5"/>
  <c r="AE30" i="5"/>
  <c r="J30" i="5"/>
  <c r="AD30" i="5" s="1"/>
  <c r="AH29" i="5"/>
  <c r="AE29" i="5"/>
  <c r="AD29" i="5"/>
  <c r="AH28" i="5"/>
  <c r="AE28" i="5"/>
  <c r="O28" i="5"/>
  <c r="J28" i="5"/>
  <c r="AD28" i="5" s="1"/>
  <c r="H28" i="5"/>
  <c r="AB28" i="5" s="1"/>
  <c r="AN27" i="5"/>
  <c r="AM27" i="5"/>
  <c r="AL27" i="5"/>
  <c r="AK27" i="5"/>
  <c r="AJ27" i="5"/>
  <c r="AH27" i="5"/>
  <c r="AF27" i="5"/>
  <c r="AE27" i="5"/>
  <c r="AD27" i="5"/>
  <c r="AC27" i="5"/>
  <c r="AB27" i="5"/>
  <c r="Z27" i="5"/>
  <c r="Y27" i="5"/>
  <c r="N27" i="5"/>
  <c r="AO26" i="5"/>
  <c r="AH26" i="5"/>
  <c r="AG26" i="5"/>
  <c r="AE26" i="5"/>
  <c r="D26" i="5"/>
  <c r="AH25" i="5"/>
  <c r="AE25" i="5"/>
  <c r="J25" i="5"/>
  <c r="AD25" i="5" s="1"/>
  <c r="H25" i="5"/>
  <c r="AB25" i="5" s="1"/>
  <c r="AH24" i="5"/>
  <c r="AE24" i="5"/>
  <c r="AD24" i="5"/>
  <c r="J24" i="5"/>
  <c r="AS23" i="5"/>
  <c r="AH23" i="5"/>
  <c r="AE23" i="5"/>
  <c r="N23" i="5"/>
  <c r="AS22" i="5"/>
  <c r="AH22" i="5"/>
  <c r="AE22" i="5"/>
  <c r="D22" i="5"/>
  <c r="AH21" i="5"/>
  <c r="AE21" i="5"/>
  <c r="D21" i="5"/>
  <c r="AH20" i="5"/>
  <c r="N20" i="5"/>
  <c r="D20" i="5"/>
  <c r="AH19" i="5"/>
  <c r="AE19" i="5"/>
  <c r="D19" i="5"/>
  <c r="AN18" i="5"/>
  <c r="AH18" i="5"/>
  <c r="D18" i="5"/>
  <c r="Z17" i="5"/>
  <c r="Y17" i="5"/>
  <c r="F17" i="5"/>
  <c r="E17" i="5"/>
  <c r="D17" i="5"/>
  <c r="AO15" i="5"/>
  <c r="U30" i="5" s="1"/>
  <c r="AO30" i="5" s="1"/>
  <c r="AN15" i="5"/>
  <c r="T30" i="5" s="1"/>
  <c r="AN30" i="5" s="1"/>
  <c r="AM15" i="5"/>
  <c r="S30" i="5" s="1"/>
  <c r="AM30" i="5" s="1"/>
  <c r="AL15" i="5"/>
  <c r="R30" i="5" s="1"/>
  <c r="AL30" i="5" s="1"/>
  <c r="AK15" i="5"/>
  <c r="Q30" i="5" s="1"/>
  <c r="AK30" i="5" s="1"/>
  <c r="AJ15" i="5"/>
  <c r="P30" i="5" s="1"/>
  <c r="AJ30" i="5" s="1"/>
  <c r="AI15" i="5"/>
  <c r="AH15" i="5"/>
  <c r="N30" i="5" s="1"/>
  <c r="AD15" i="5"/>
  <c r="AB15" i="5"/>
  <c r="H30" i="5" s="1"/>
  <c r="AB30" i="5" s="1"/>
  <c r="V15" i="5"/>
  <c r="N15" i="5"/>
  <c r="M15" i="5"/>
  <c r="AG15" i="5" s="1"/>
  <c r="M30" i="5" s="1"/>
  <c r="L15" i="5"/>
  <c r="AF15" i="5" s="1"/>
  <c r="L30" i="5" s="1"/>
  <c r="AF30" i="5" s="1"/>
  <c r="K15" i="5"/>
  <c r="AE15" i="5" s="1"/>
  <c r="K30" i="5" s="1"/>
  <c r="J15" i="5"/>
  <c r="I15" i="5"/>
  <c r="AC15" i="5" s="1"/>
  <c r="I30" i="5" s="1"/>
  <c r="AC30" i="5" s="1"/>
  <c r="G15" i="5"/>
  <c r="AA15" i="5" s="1"/>
  <c r="G30" i="5" s="1"/>
  <c r="AA30" i="5" s="1"/>
  <c r="E15" i="5"/>
  <c r="Y15" i="5" s="1"/>
  <c r="E30" i="5" s="1"/>
  <c r="Y30" i="5" s="1"/>
  <c r="AO14" i="5"/>
  <c r="U29" i="5" s="1"/>
  <c r="AO29" i="5" s="1"/>
  <c r="AN14" i="5"/>
  <c r="T29" i="5" s="1"/>
  <c r="AN29" i="5" s="1"/>
  <c r="AK14" i="5"/>
  <c r="Q29" i="5" s="1"/>
  <c r="AK29" i="5" s="1"/>
  <c r="AJ14" i="5"/>
  <c r="P29" i="5" s="1"/>
  <c r="AJ29" i="5" s="1"/>
  <c r="AI14" i="5"/>
  <c r="O29" i="5" s="1"/>
  <c r="AH14" i="5"/>
  <c r="N29" i="5" s="1"/>
  <c r="AD14" i="5"/>
  <c r="J29" i="5" s="1"/>
  <c r="AB14" i="5"/>
  <c r="H29" i="5" s="1"/>
  <c r="AB29" i="5" s="1"/>
  <c r="V14" i="5"/>
  <c r="AM14" i="5"/>
  <c r="S29" i="5" s="1"/>
  <c r="AM29" i="5" s="1"/>
  <c r="AL14" i="5"/>
  <c r="R29" i="5" s="1"/>
  <c r="AL29" i="5" s="1"/>
  <c r="N14" i="5"/>
  <c r="I14" i="5"/>
  <c r="AC14" i="5" s="1"/>
  <c r="I29" i="5" s="1"/>
  <c r="AC29" i="5" s="1"/>
  <c r="G14" i="5"/>
  <c r="AA14" i="5" s="1"/>
  <c r="G29" i="5" s="1"/>
  <c r="AA29" i="5" s="1"/>
  <c r="E14" i="5"/>
  <c r="Y14" i="5" s="1"/>
  <c r="E29" i="5" s="1"/>
  <c r="Y29" i="5" s="1"/>
  <c r="AO13" i="5"/>
  <c r="U28" i="5" s="1"/>
  <c r="AO28" i="5" s="1"/>
  <c r="AN13" i="5"/>
  <c r="T28" i="5" s="1"/>
  <c r="AN28" i="5" s="1"/>
  <c r="AM13" i="5"/>
  <c r="S28" i="5" s="1"/>
  <c r="AM28" i="5" s="1"/>
  <c r="AL13" i="5"/>
  <c r="R28" i="5" s="1"/>
  <c r="AL28" i="5" s="1"/>
  <c r="AK13" i="5"/>
  <c r="Q28" i="5" s="1"/>
  <c r="AK28" i="5" s="1"/>
  <c r="AJ13" i="5"/>
  <c r="P28" i="5" s="1"/>
  <c r="AJ28" i="5" s="1"/>
  <c r="AI13" i="5"/>
  <c r="AH13" i="5"/>
  <c r="N28" i="5" s="1"/>
  <c r="AB13" i="5"/>
  <c r="V13" i="5"/>
  <c r="N13" i="5"/>
  <c r="M13" i="5"/>
  <c r="AG13" i="5" s="1"/>
  <c r="M28" i="5" s="1"/>
  <c r="I13" i="5"/>
  <c r="AC13" i="5" s="1"/>
  <c r="I28" i="5" s="1"/>
  <c r="AC28" i="5" s="1"/>
  <c r="G13" i="5"/>
  <c r="AA13" i="5" s="1"/>
  <c r="G28" i="5" s="1"/>
  <c r="AA28" i="5" s="1"/>
  <c r="E13" i="5"/>
  <c r="Y13" i="5" s="1"/>
  <c r="E28" i="5" s="1"/>
  <c r="Y28" i="5" s="1"/>
  <c r="AO12" i="5"/>
  <c r="AN12" i="5"/>
  <c r="AM12" i="5"/>
  <c r="AL12" i="5"/>
  <c r="AK12" i="5"/>
  <c r="AI12" i="5"/>
  <c r="AG12" i="5"/>
  <c r="AF12" i="5"/>
  <c r="AE12" i="5"/>
  <c r="AD12" i="5"/>
  <c r="AC12" i="5"/>
  <c r="AB12" i="5"/>
  <c r="AA12" i="5"/>
  <c r="G27" i="5" s="1"/>
  <c r="AA27" i="5" s="1"/>
  <c r="V12" i="5"/>
  <c r="AP11" i="5"/>
  <c r="AO11" i="5"/>
  <c r="U26" i="5" s="1"/>
  <c r="AN11" i="5"/>
  <c r="T26" i="5" s="1"/>
  <c r="AN26" i="5" s="1"/>
  <c r="AM11" i="5"/>
  <c r="S26" i="5" s="1"/>
  <c r="AM26" i="5" s="1"/>
  <c r="AL11" i="5"/>
  <c r="R26" i="5" s="1"/>
  <c r="AL26" i="5" s="1"/>
  <c r="AK11" i="5"/>
  <c r="Q26" i="5" s="1"/>
  <c r="AK26" i="5" s="1"/>
  <c r="AJ11" i="5"/>
  <c r="P26" i="5" s="1"/>
  <c r="AJ26" i="5" s="1"/>
  <c r="AI11" i="5"/>
  <c r="O26" i="5" s="1"/>
  <c r="V11" i="5"/>
  <c r="N11" i="5"/>
  <c r="AH11" i="5" s="1"/>
  <c r="M11" i="5"/>
  <c r="AG11" i="5" s="1"/>
  <c r="M26" i="5" s="1"/>
  <c r="L11" i="5"/>
  <c r="AF11" i="5" s="1"/>
  <c r="L26" i="5" s="1"/>
  <c r="AF26" i="5" s="1"/>
  <c r="J11" i="5"/>
  <c r="AD11" i="5" s="1"/>
  <c r="J26" i="5" s="1"/>
  <c r="AD26" i="5" s="1"/>
  <c r="I11" i="5"/>
  <c r="AC11" i="5" s="1"/>
  <c r="I26" i="5" s="1"/>
  <c r="AC26" i="5" s="1"/>
  <c r="G11" i="5"/>
  <c r="AA11" i="5" s="1"/>
  <c r="G26" i="5" s="1"/>
  <c r="AA26" i="5" s="1"/>
  <c r="E11" i="5"/>
  <c r="Y11" i="5" s="1"/>
  <c r="E26" i="5" s="1"/>
  <c r="Y26" i="5" s="1"/>
  <c r="AO10" i="5"/>
  <c r="U25" i="5" s="1"/>
  <c r="AO25" i="5" s="1"/>
  <c r="AN10" i="5"/>
  <c r="T25" i="5" s="1"/>
  <c r="AN25" i="5" s="1"/>
  <c r="AM10" i="5"/>
  <c r="S25" i="5" s="1"/>
  <c r="AM25" i="5" s="1"/>
  <c r="AK10" i="5"/>
  <c r="Q25" i="5" s="1"/>
  <c r="AK25" i="5" s="1"/>
  <c r="AJ10" i="5"/>
  <c r="P25" i="5" s="1"/>
  <c r="AJ25" i="5" s="1"/>
  <c r="AI10" i="5"/>
  <c r="O25" i="5" s="1"/>
  <c r="AH10" i="5"/>
  <c r="N25" i="5" s="1"/>
  <c r="V10" i="5"/>
  <c r="AL10" i="5"/>
  <c r="R25" i="5" s="1"/>
  <c r="AL25" i="5" s="1"/>
  <c r="N10" i="5"/>
  <c r="I10" i="5"/>
  <c r="AC10" i="5" s="1"/>
  <c r="I25" i="5" s="1"/>
  <c r="AC25" i="5" s="1"/>
  <c r="G10" i="5"/>
  <c r="AA10" i="5" s="1"/>
  <c r="G25" i="5" s="1"/>
  <c r="AA25" i="5" s="1"/>
  <c r="E10" i="5"/>
  <c r="Y10" i="5" s="1"/>
  <c r="E25" i="5" s="1"/>
  <c r="Y25" i="5" s="1"/>
  <c r="AO9" i="5"/>
  <c r="U24" i="5" s="1"/>
  <c r="AO24" i="5" s="1"/>
  <c r="AN9" i="5"/>
  <c r="T24" i="5" s="1"/>
  <c r="AN24" i="5" s="1"/>
  <c r="AM9" i="5"/>
  <c r="S24" i="5" s="1"/>
  <c r="AM24" i="5" s="1"/>
  <c r="AL9" i="5"/>
  <c r="R24" i="5" s="1"/>
  <c r="AL24" i="5" s="1"/>
  <c r="AK9" i="5"/>
  <c r="Q24" i="5" s="1"/>
  <c r="AK24" i="5" s="1"/>
  <c r="AJ9" i="5"/>
  <c r="P24" i="5" s="1"/>
  <c r="AJ24" i="5" s="1"/>
  <c r="AI9" i="5"/>
  <c r="AH9" i="5"/>
  <c r="N24" i="5" s="1"/>
  <c r="AB9" i="5"/>
  <c r="H24" i="5" s="1"/>
  <c r="AB24" i="5" s="1"/>
  <c r="V9" i="5"/>
  <c r="N9" i="5"/>
  <c r="M9" i="5"/>
  <c r="AG9" i="5" s="1"/>
  <c r="M24" i="5" s="1"/>
  <c r="I9" i="5"/>
  <c r="AC9" i="5" s="1"/>
  <c r="I24" i="5" s="1"/>
  <c r="AC24" i="5" s="1"/>
  <c r="G9" i="5"/>
  <c r="AA9" i="5" s="1"/>
  <c r="G24" i="5" s="1"/>
  <c r="AA24" i="5" s="1"/>
  <c r="E9" i="5"/>
  <c r="Y9" i="5" s="1"/>
  <c r="E24" i="5" s="1"/>
  <c r="Y24" i="5" s="1"/>
  <c r="AS8" i="5"/>
  <c r="AO8" i="5"/>
  <c r="U23" i="5" s="1"/>
  <c r="AO23" i="5" s="1"/>
  <c r="AN8" i="5"/>
  <c r="T23" i="5" s="1"/>
  <c r="AN23" i="5" s="1"/>
  <c r="AM8" i="5"/>
  <c r="S23" i="5" s="1"/>
  <c r="AM23" i="5" s="1"/>
  <c r="AL8" i="5"/>
  <c r="R23" i="5" s="1"/>
  <c r="AL23" i="5" s="1"/>
  <c r="AK8" i="5"/>
  <c r="Q23" i="5" s="1"/>
  <c r="AK23" i="5" s="1"/>
  <c r="AJ8" i="5"/>
  <c r="P23" i="5" s="1"/>
  <c r="AJ23" i="5" s="1"/>
  <c r="AI8" i="5"/>
  <c r="O23" i="5" s="1"/>
  <c r="V8" i="5"/>
  <c r="N8" i="5"/>
  <c r="L8" i="5"/>
  <c r="AF8" i="5" s="1"/>
  <c r="L23" i="5" s="1"/>
  <c r="AF23" i="5" s="1"/>
  <c r="J8" i="5"/>
  <c r="AD8" i="5" s="1"/>
  <c r="J23" i="5" s="1"/>
  <c r="AD23" i="5" s="1"/>
  <c r="I8" i="5"/>
  <c r="AC8" i="5" s="1"/>
  <c r="I23" i="5" s="1"/>
  <c r="AC23" i="5" s="1"/>
  <c r="H8" i="5"/>
  <c r="AB8" i="5" s="1"/>
  <c r="H23" i="5" s="1"/>
  <c r="AB23" i="5" s="1"/>
  <c r="G8" i="5"/>
  <c r="AA8" i="5" s="1"/>
  <c r="G23" i="5" s="1"/>
  <c r="AA23" i="5" s="1"/>
  <c r="E8" i="5"/>
  <c r="Y8" i="5" s="1"/>
  <c r="E23" i="5" s="1"/>
  <c r="Y23" i="5" s="1"/>
  <c r="AO7" i="5"/>
  <c r="U22" i="5" s="1"/>
  <c r="AO22" i="5" s="1"/>
  <c r="AN7" i="5"/>
  <c r="T22" i="5" s="1"/>
  <c r="AN22" i="5" s="1"/>
  <c r="AM7" i="5"/>
  <c r="S22" i="5" s="1"/>
  <c r="AM22" i="5" s="1"/>
  <c r="AL7" i="5"/>
  <c r="R22" i="5" s="1"/>
  <c r="AL22" i="5" s="1"/>
  <c r="AK7" i="5"/>
  <c r="Q22" i="5" s="1"/>
  <c r="AK22" i="5" s="1"/>
  <c r="AJ7" i="5"/>
  <c r="P22" i="5" s="1"/>
  <c r="AJ22" i="5" s="1"/>
  <c r="AI7" i="5"/>
  <c r="O22" i="5" s="1"/>
  <c r="AI22" i="5" s="1"/>
  <c r="AH7" i="5"/>
  <c r="N22" i="5" s="1"/>
  <c r="AB7" i="5"/>
  <c r="H22" i="5" s="1"/>
  <c r="AB22" i="5" s="1"/>
  <c r="V7" i="5"/>
  <c r="N7" i="5"/>
  <c r="L7" i="5"/>
  <c r="AF7" i="5" s="1"/>
  <c r="L22" i="5" s="1"/>
  <c r="AF22" i="5" s="1"/>
  <c r="J7" i="5"/>
  <c r="AD7" i="5" s="1"/>
  <c r="J22" i="5" s="1"/>
  <c r="AD22" i="5" s="1"/>
  <c r="I7" i="5"/>
  <c r="AC7" i="5" s="1"/>
  <c r="I22" i="5" s="1"/>
  <c r="AC22" i="5" s="1"/>
  <c r="G7" i="5"/>
  <c r="AA7" i="5" s="1"/>
  <c r="G22" i="5" s="1"/>
  <c r="AA22" i="5" s="1"/>
  <c r="E7" i="5"/>
  <c r="Y7" i="5" s="1"/>
  <c r="E22" i="5" s="1"/>
  <c r="Y22" i="5" s="1"/>
  <c r="AO6" i="5"/>
  <c r="U21" i="5" s="1"/>
  <c r="AO21" i="5" s="1"/>
  <c r="AN6" i="5"/>
  <c r="T21" i="5" s="1"/>
  <c r="AN21" i="5" s="1"/>
  <c r="AM6" i="5"/>
  <c r="S21" i="5" s="1"/>
  <c r="AM21" i="5" s="1"/>
  <c r="AL6" i="5"/>
  <c r="R21" i="5" s="1"/>
  <c r="AL21" i="5" s="1"/>
  <c r="AK6" i="5"/>
  <c r="Q21" i="5" s="1"/>
  <c r="AK21" i="5" s="1"/>
  <c r="AJ6" i="5"/>
  <c r="P21" i="5" s="1"/>
  <c r="AJ21" i="5" s="1"/>
  <c r="AI6" i="5"/>
  <c r="AH6" i="5"/>
  <c r="N21" i="5" s="1"/>
  <c r="AB6" i="5"/>
  <c r="H21" i="5" s="1"/>
  <c r="AB21" i="5" s="1"/>
  <c r="V6" i="5"/>
  <c r="N6" i="5"/>
  <c r="M6" i="5"/>
  <c r="AG6" i="5" s="1"/>
  <c r="M21" i="5" s="1"/>
  <c r="L6" i="5"/>
  <c r="AF6" i="5" s="1"/>
  <c r="L21" i="5" s="1"/>
  <c r="AF21" i="5" s="1"/>
  <c r="J6" i="5"/>
  <c r="AD6" i="5" s="1"/>
  <c r="J21" i="5" s="1"/>
  <c r="AD21" i="5" s="1"/>
  <c r="I6" i="5"/>
  <c r="AC6" i="5" s="1"/>
  <c r="I21" i="5" s="1"/>
  <c r="AC21" i="5" s="1"/>
  <c r="G6" i="5"/>
  <c r="AA6" i="5" s="1"/>
  <c r="G21" i="5" s="1"/>
  <c r="AA21" i="5" s="1"/>
  <c r="E6" i="5"/>
  <c r="Y6" i="5" s="1"/>
  <c r="E21" i="5" s="1"/>
  <c r="Y21" i="5" s="1"/>
  <c r="AO5" i="5"/>
  <c r="U20" i="5" s="1"/>
  <c r="AO20" i="5" s="1"/>
  <c r="AN5" i="5"/>
  <c r="T20" i="5" s="1"/>
  <c r="AN20" i="5" s="1"/>
  <c r="AL5" i="5"/>
  <c r="AK5" i="5"/>
  <c r="Q20" i="5" s="1"/>
  <c r="AK20" i="5" s="1"/>
  <c r="AJ5" i="5"/>
  <c r="P20" i="5" s="1"/>
  <c r="AJ20" i="5" s="1"/>
  <c r="AI5" i="5"/>
  <c r="O20" i="5" s="1"/>
  <c r="AI20" i="5" s="1"/>
  <c r="AH5" i="5"/>
  <c r="AD5" i="5"/>
  <c r="J20" i="5" s="1"/>
  <c r="AD20" i="5" s="1"/>
  <c r="AB5" i="5"/>
  <c r="H20" i="5" s="1"/>
  <c r="AB20" i="5" s="1"/>
  <c r="V5" i="5"/>
  <c r="AM5" i="5"/>
  <c r="S20" i="5" s="1"/>
  <c r="AM20" i="5" s="1"/>
  <c r="N5" i="5"/>
  <c r="M5" i="5"/>
  <c r="AG5" i="5" s="1"/>
  <c r="M20" i="5" s="1"/>
  <c r="L5" i="5"/>
  <c r="AF5" i="5" s="1"/>
  <c r="L20" i="5" s="1"/>
  <c r="AF20" i="5" s="1"/>
  <c r="I5" i="5"/>
  <c r="AC5" i="5" s="1"/>
  <c r="I20" i="5" s="1"/>
  <c r="AC20" i="5" s="1"/>
  <c r="H5" i="5"/>
  <c r="G5" i="5"/>
  <c r="AA5" i="5" s="1"/>
  <c r="G20" i="5" s="1"/>
  <c r="AA20" i="5" s="1"/>
  <c r="E5" i="5"/>
  <c r="Y5" i="5" s="1"/>
  <c r="E20" i="5" s="1"/>
  <c r="Y20" i="5" s="1"/>
  <c r="AO4" i="5"/>
  <c r="U19" i="5" s="1"/>
  <c r="AO19" i="5" s="1"/>
  <c r="AN4" i="5"/>
  <c r="T19" i="5" s="1"/>
  <c r="AN19" i="5" s="1"/>
  <c r="AM4" i="5"/>
  <c r="S19" i="5" s="1"/>
  <c r="AM19" i="5" s="1"/>
  <c r="AL4" i="5"/>
  <c r="R19" i="5" s="1"/>
  <c r="AL19" i="5" s="1"/>
  <c r="AK4" i="5"/>
  <c r="Q19" i="5" s="1"/>
  <c r="AK19" i="5" s="1"/>
  <c r="AI4" i="5"/>
  <c r="O19" i="5" s="1"/>
  <c r="AI19" i="5" s="1"/>
  <c r="AH4" i="5"/>
  <c r="N19" i="5" s="1"/>
  <c r="AD4" i="5"/>
  <c r="J19" i="5" s="1"/>
  <c r="AD19" i="5" s="1"/>
  <c r="AB4" i="5"/>
  <c r="H19" i="5" s="1"/>
  <c r="AB19" i="5" s="1"/>
  <c r="P4" i="5"/>
  <c r="AJ4" i="5" s="1"/>
  <c r="P19" i="5" s="1"/>
  <c r="N4" i="5"/>
  <c r="L4" i="5"/>
  <c r="AF4" i="5" s="1"/>
  <c r="L19" i="5" s="1"/>
  <c r="AF19" i="5" s="1"/>
  <c r="I4" i="5"/>
  <c r="AC4" i="5" s="1"/>
  <c r="I19" i="5" s="1"/>
  <c r="AC19" i="5" s="1"/>
  <c r="G4" i="5"/>
  <c r="AA4" i="5" s="1"/>
  <c r="G19" i="5" s="1"/>
  <c r="AA19" i="5" s="1"/>
  <c r="E4" i="5"/>
  <c r="Y4" i="5" s="1"/>
  <c r="E19" i="5" s="1"/>
  <c r="Y19" i="5" s="1"/>
  <c r="AO3" i="5"/>
  <c r="U18" i="5" s="1"/>
  <c r="AO18" i="5" s="1"/>
  <c r="AN3" i="5"/>
  <c r="T18" i="5" s="1"/>
  <c r="AM3" i="5"/>
  <c r="S18" i="5" s="1"/>
  <c r="AM18" i="5" s="1"/>
  <c r="AL3" i="5"/>
  <c r="R18" i="5" s="1"/>
  <c r="AL18" i="5" s="1"/>
  <c r="AK3" i="5"/>
  <c r="Q18" i="5" s="1"/>
  <c r="AK18" i="5" s="1"/>
  <c r="AJ3" i="5"/>
  <c r="P18" i="5" s="1"/>
  <c r="AJ18" i="5" s="1"/>
  <c r="AI3" i="5"/>
  <c r="O18" i="5" s="1"/>
  <c r="AI18" i="5" s="1"/>
  <c r="AH3" i="5"/>
  <c r="N18" i="5" s="1"/>
  <c r="AB3" i="5"/>
  <c r="H18" i="5" s="1"/>
  <c r="AB18" i="5" s="1"/>
  <c r="V3" i="5"/>
  <c r="N3" i="5"/>
  <c r="M3" i="5"/>
  <c r="AG3" i="5" s="1"/>
  <c r="M18" i="5" s="1"/>
  <c r="L3" i="5"/>
  <c r="AF3" i="5" s="1"/>
  <c r="L18" i="5" s="1"/>
  <c r="AF18" i="5" s="1"/>
  <c r="K3" i="5"/>
  <c r="AE3" i="5" s="1"/>
  <c r="K18" i="5" s="1"/>
  <c r="AE18" i="5" s="1"/>
  <c r="J3" i="5"/>
  <c r="AD3" i="5" s="1"/>
  <c r="J18" i="5" s="1"/>
  <c r="AD18" i="5" s="1"/>
  <c r="I3" i="5"/>
  <c r="AC3" i="5" s="1"/>
  <c r="I18" i="5" s="1"/>
  <c r="AC18" i="5" s="1"/>
  <c r="G3" i="5"/>
  <c r="AA3" i="5" s="1"/>
  <c r="G18" i="5" s="1"/>
  <c r="AA18" i="5" s="1"/>
  <c r="E3" i="5"/>
  <c r="Y3" i="5" s="1"/>
  <c r="E18" i="5" s="1"/>
  <c r="Y18" i="5" s="1"/>
  <c r="U29" i="4"/>
  <c r="U28" i="4"/>
  <c r="U27" i="4"/>
  <c r="U26" i="4"/>
  <c r="U25" i="4"/>
  <c r="U24" i="4"/>
  <c r="U23" i="4"/>
  <c r="U22" i="4"/>
  <c r="U19" i="4"/>
  <c r="U18" i="4"/>
  <c r="U17" i="4"/>
  <c r="U16" i="4"/>
  <c r="U15" i="4"/>
  <c r="U14" i="4"/>
  <c r="U13" i="4"/>
  <c r="U12" i="4"/>
  <c r="A32" i="3"/>
  <c r="A36" i="3" s="1"/>
  <c r="A33" i="3" s="1"/>
  <c r="C10" i="3" s="1"/>
  <c r="X15" i="3"/>
  <c r="W15" i="3"/>
  <c r="X14" i="3"/>
  <c r="W14" i="3"/>
  <c r="E14" i="3"/>
  <c r="X25" i="3"/>
  <c r="W25" i="3"/>
  <c r="E25" i="3"/>
  <c r="X23" i="3"/>
  <c r="W23" i="3"/>
  <c r="E23" i="3"/>
  <c r="X26" i="3"/>
  <c r="W26" i="3"/>
  <c r="E26" i="3"/>
  <c r="X28" i="3"/>
  <c r="W28" i="3"/>
  <c r="E28" i="3"/>
  <c r="X27" i="3"/>
  <c r="W27" i="3"/>
  <c r="E27" i="3"/>
  <c r="X10" i="3"/>
  <c r="W10" i="3"/>
  <c r="E10" i="3"/>
  <c r="X17" i="3"/>
  <c r="W17" i="3"/>
  <c r="E17" i="3"/>
  <c r="X16" i="3"/>
  <c r="W16" i="3"/>
  <c r="E16" i="3"/>
  <c r="X9" i="3"/>
  <c r="W9" i="3"/>
  <c r="E9" i="3"/>
  <c r="X24" i="3"/>
  <c r="W24" i="3"/>
  <c r="E24" i="3"/>
  <c r="X8" i="3"/>
  <c r="W8" i="3"/>
  <c r="E8" i="3"/>
  <c r="X18" i="3"/>
  <c r="W18" i="3"/>
  <c r="E18" i="3"/>
  <c r="X4" i="3"/>
  <c r="W4" i="3"/>
  <c r="E4" i="3"/>
  <c r="AG7" i="3"/>
  <c r="AG13" i="3" s="1"/>
  <c r="AG22" i="3" s="1"/>
  <c r="AF7" i="3"/>
  <c r="AF13" i="3" s="1"/>
  <c r="AF22" i="3" s="1"/>
  <c r="AE7" i="3"/>
  <c r="AE13" i="3" s="1"/>
  <c r="AE22" i="3" s="1"/>
  <c r="AD7" i="3"/>
  <c r="AD13" i="3" s="1"/>
  <c r="AD22" i="3" s="1"/>
  <c r="AC7" i="3"/>
  <c r="AC13" i="3" s="1"/>
  <c r="AC22" i="3" s="1"/>
  <c r="AB7" i="3"/>
  <c r="AB13" i="3" s="1"/>
  <c r="AB22" i="3" s="1"/>
  <c r="AA7" i="3"/>
  <c r="AA13" i="3" s="1"/>
  <c r="AA22" i="3" s="1"/>
  <c r="Y7" i="3"/>
  <c r="Y13" i="3" s="1"/>
  <c r="Y22" i="3" s="1"/>
  <c r="X7" i="3"/>
  <c r="X13" i="3" s="1"/>
  <c r="X22" i="3" s="1"/>
  <c r="W7" i="3"/>
  <c r="W13" i="3" s="1"/>
  <c r="W22" i="3" s="1"/>
  <c r="V7" i="3"/>
  <c r="V13" i="3" s="1"/>
  <c r="V22" i="3" s="1"/>
  <c r="U7" i="3"/>
  <c r="U13" i="3" s="1"/>
  <c r="U22" i="3" s="1"/>
  <c r="T7" i="3"/>
  <c r="T13" i="3" s="1"/>
  <c r="T22" i="3" s="1"/>
  <c r="S7" i="3"/>
  <c r="S13" i="3" s="1"/>
  <c r="S22" i="3" s="1"/>
  <c r="R7" i="3"/>
  <c r="R13" i="3" s="1"/>
  <c r="R22" i="3" s="1"/>
  <c r="Q7" i="3"/>
  <c r="Q13" i="3" s="1"/>
  <c r="Q22" i="3" s="1"/>
  <c r="P7" i="3"/>
  <c r="P13" i="3" s="1"/>
  <c r="P22" i="3" s="1"/>
  <c r="O7" i="3"/>
  <c r="O13" i="3" s="1"/>
  <c r="O22" i="3" s="1"/>
  <c r="N7" i="3"/>
  <c r="N13" i="3" s="1"/>
  <c r="N22" i="3" s="1"/>
  <c r="M7" i="3"/>
  <c r="M13" i="3" s="1"/>
  <c r="M22" i="3" s="1"/>
  <c r="L7" i="3"/>
  <c r="L13" i="3" s="1"/>
  <c r="L22" i="3" s="1"/>
  <c r="K7" i="3"/>
  <c r="K13" i="3" s="1"/>
  <c r="K22" i="3" s="1"/>
  <c r="J7" i="3"/>
  <c r="J13" i="3" s="1"/>
  <c r="J22" i="3" s="1"/>
  <c r="H7" i="3"/>
  <c r="H13" i="3" s="1"/>
  <c r="H22" i="3" s="1"/>
  <c r="G7" i="3"/>
  <c r="G13" i="3" s="1"/>
  <c r="G22" i="3" s="1"/>
  <c r="F7" i="3"/>
  <c r="F13" i="3" s="1"/>
  <c r="F22" i="3" s="1"/>
  <c r="X3" i="3"/>
  <c r="W3" i="3"/>
  <c r="E3" i="3"/>
  <c r="AQ21" i="2"/>
  <c r="W21" i="2"/>
  <c r="U21" i="2"/>
  <c r="S21" i="2"/>
  <c r="R21" i="2"/>
  <c r="P21" i="2"/>
  <c r="N21" i="2"/>
  <c r="I19" i="13" s="1"/>
  <c r="L21" i="2"/>
  <c r="K21" i="2"/>
  <c r="J21" i="2"/>
  <c r="AQ20" i="2"/>
  <c r="W20" i="2"/>
  <c r="S20" i="2"/>
  <c r="R20" i="2"/>
  <c r="P20" i="2"/>
  <c r="N20" i="2"/>
  <c r="I18" i="13" s="1"/>
  <c r="L20" i="2"/>
  <c r="K20" i="2"/>
  <c r="J20" i="2"/>
  <c r="AQ19" i="2"/>
  <c r="W19" i="2"/>
  <c r="U19" i="2"/>
  <c r="S19" i="2"/>
  <c r="R19" i="2"/>
  <c r="P19" i="2"/>
  <c r="N19" i="2"/>
  <c r="I17" i="13" s="1"/>
  <c r="L19" i="2"/>
  <c r="K19" i="2"/>
  <c r="J19" i="2"/>
  <c r="AQ16" i="2"/>
  <c r="W16" i="2"/>
  <c r="U16" i="2"/>
  <c r="S16" i="2"/>
  <c r="R16" i="2"/>
  <c r="P16" i="2"/>
  <c r="N16" i="2"/>
  <c r="I16" i="13" s="1"/>
  <c r="L16" i="2"/>
  <c r="K16" i="2"/>
  <c r="J16" i="2"/>
  <c r="AQ15" i="2"/>
  <c r="K11" i="5"/>
  <c r="AE11" i="5" s="1"/>
  <c r="K26" i="5" s="1"/>
  <c r="H11" i="5"/>
  <c r="AB11" i="5" s="1"/>
  <c r="H26" i="5" s="1"/>
  <c r="AB26" i="5" s="1"/>
  <c r="W15" i="2"/>
  <c r="U15" i="2"/>
  <c r="S15" i="2"/>
  <c r="R15" i="2"/>
  <c r="P15" i="2"/>
  <c r="N15" i="2"/>
  <c r="I15" i="13" s="1"/>
  <c r="L15" i="2"/>
  <c r="K15" i="2"/>
  <c r="J15" i="2"/>
  <c r="AQ14" i="2"/>
  <c r="W14" i="2"/>
  <c r="U14" i="2"/>
  <c r="S14" i="2"/>
  <c r="R14" i="2"/>
  <c r="P14" i="2"/>
  <c r="N14" i="2"/>
  <c r="I14" i="13" s="1"/>
  <c r="L14" i="2"/>
  <c r="K14" i="2"/>
  <c r="J14" i="2"/>
  <c r="AQ13" i="2"/>
  <c r="AM13" i="2"/>
  <c r="AL13" i="2"/>
  <c r="AK13" i="2"/>
  <c r="AJ13" i="2"/>
  <c r="AI13" i="2"/>
  <c r="O13" i="13"/>
  <c r="J13" i="5"/>
  <c r="W13" i="2"/>
  <c r="U13" i="2"/>
  <c r="S13" i="2"/>
  <c r="R13" i="2"/>
  <c r="P13" i="2"/>
  <c r="L13" i="2"/>
  <c r="K13" i="2"/>
  <c r="J13" i="2"/>
  <c r="AG13" i="2" s="1"/>
  <c r="AQ12" i="2"/>
  <c r="Q12" i="13"/>
  <c r="T12" i="13" s="1"/>
  <c r="AC12" i="2"/>
  <c r="P12" i="13" s="1"/>
  <c r="K10" i="5"/>
  <c r="AE10" i="5" s="1"/>
  <c r="K25" i="5" s="1"/>
  <c r="J10" i="5"/>
  <c r="W12" i="2"/>
  <c r="U12" i="2"/>
  <c r="S12" i="2"/>
  <c r="R12" i="2"/>
  <c r="P12" i="2"/>
  <c r="N12" i="2"/>
  <c r="I12" i="13" s="1"/>
  <c r="L12" i="2"/>
  <c r="K12" i="2"/>
  <c r="J12" i="2"/>
  <c r="AQ11" i="2"/>
  <c r="Q11" i="13"/>
  <c r="T11" i="13" s="1"/>
  <c r="AC11" i="2"/>
  <c r="P11" i="13" s="1"/>
  <c r="J14" i="5"/>
  <c r="W11" i="2"/>
  <c r="U11" i="2"/>
  <c r="S11" i="2"/>
  <c r="R11" i="2"/>
  <c r="P11" i="2"/>
  <c r="N11" i="2"/>
  <c r="I11" i="13" s="1"/>
  <c r="L11" i="2"/>
  <c r="K11" i="2"/>
  <c r="J11" i="2"/>
  <c r="AQ10" i="2"/>
  <c r="AC10" i="2"/>
  <c r="P10" i="13" s="1"/>
  <c r="S10" i="13" s="1"/>
  <c r="K9" i="5"/>
  <c r="AE9" i="5" s="1"/>
  <c r="K24" i="5" s="1"/>
  <c r="H9" i="5"/>
  <c r="W10" i="2"/>
  <c r="U10" i="2"/>
  <c r="S10" i="2"/>
  <c r="R10" i="2"/>
  <c r="P10" i="2"/>
  <c r="N10" i="2"/>
  <c r="I10" i="13" s="1"/>
  <c r="L10" i="2"/>
  <c r="K10" i="2"/>
  <c r="J10" i="2"/>
  <c r="AQ9" i="2"/>
  <c r="Q9" i="13"/>
  <c r="K8" i="5"/>
  <c r="AE8" i="5" s="1"/>
  <c r="K23" i="5" s="1"/>
  <c r="W9" i="2"/>
  <c r="U9" i="2"/>
  <c r="S9" i="2"/>
  <c r="R9" i="2"/>
  <c r="P9" i="2"/>
  <c r="N9" i="2"/>
  <c r="I9" i="13" s="1"/>
  <c r="L9" i="2"/>
  <c r="K9" i="2"/>
  <c r="J9" i="2"/>
  <c r="AQ8" i="2"/>
  <c r="Q8" i="13"/>
  <c r="S8" i="13" s="1"/>
  <c r="K7" i="5"/>
  <c r="AE7" i="5" s="1"/>
  <c r="K22" i="5" s="1"/>
  <c r="L8" i="13"/>
  <c r="W8" i="2"/>
  <c r="U8" i="2"/>
  <c r="S8" i="2"/>
  <c r="R8" i="2"/>
  <c r="P8" i="2"/>
  <c r="N8" i="2"/>
  <c r="I8" i="13" s="1"/>
  <c r="L8" i="2"/>
  <c r="K8" i="2"/>
  <c r="J8" i="2"/>
  <c r="AQ7" i="2"/>
  <c r="J5" i="5"/>
  <c r="W7" i="2"/>
  <c r="U7" i="2"/>
  <c r="S7" i="2"/>
  <c r="R7" i="2"/>
  <c r="P7" i="2"/>
  <c r="N7" i="2"/>
  <c r="I7" i="13" s="1"/>
  <c r="L7" i="2"/>
  <c r="K7" i="2"/>
  <c r="J7" i="2"/>
  <c r="AQ6" i="2"/>
  <c r="H6" i="5"/>
  <c r="W6" i="2"/>
  <c r="U6" i="2"/>
  <c r="S6" i="2"/>
  <c r="R6" i="2"/>
  <c r="P6" i="2"/>
  <c r="N6" i="2"/>
  <c r="I6" i="13" s="1"/>
  <c r="L6" i="2"/>
  <c r="K6" i="2"/>
  <c r="J6" i="2"/>
  <c r="AQ17" i="2"/>
  <c r="K4" i="5"/>
  <c r="AE4" i="5" s="1"/>
  <c r="K19" i="5" s="1"/>
  <c r="J4" i="5"/>
  <c r="W17" i="2"/>
  <c r="U17" i="2"/>
  <c r="S17" i="2"/>
  <c r="R17" i="2"/>
  <c r="P17" i="2"/>
  <c r="N17" i="2"/>
  <c r="I5" i="13" s="1"/>
  <c r="L17" i="2"/>
  <c r="K17" i="2"/>
  <c r="J17" i="2"/>
  <c r="AQ5" i="2"/>
  <c r="L4" i="13"/>
  <c r="W5" i="2"/>
  <c r="U5" i="2"/>
  <c r="S5" i="2"/>
  <c r="R5" i="2"/>
  <c r="P5" i="2"/>
  <c r="N5" i="2"/>
  <c r="I4" i="13" s="1"/>
  <c r="L5" i="2"/>
  <c r="K5" i="2"/>
  <c r="J5" i="2"/>
  <c r="AQ4" i="2"/>
  <c r="W4" i="2"/>
  <c r="U4" i="2"/>
  <c r="S4" i="2"/>
  <c r="R4" i="2"/>
  <c r="P4" i="2"/>
  <c r="N4" i="2"/>
  <c r="AK4" i="2" s="1"/>
  <c r="L4" i="2"/>
  <c r="K4" i="2"/>
  <c r="J4" i="2"/>
  <c r="V2" i="2"/>
  <c r="T2" i="2"/>
  <c r="Q2" i="2"/>
  <c r="O2" i="2"/>
  <c r="I2" i="2"/>
  <c r="D2" i="2"/>
  <c r="F18" i="2" s="1"/>
  <c r="C18" i="2" s="1"/>
  <c r="F15" i="2" l="1"/>
  <c r="C15" i="13" s="1"/>
  <c r="M6" i="14"/>
  <c r="P14" i="14"/>
  <c r="F21" i="2"/>
  <c r="C19" i="13" s="1"/>
  <c r="F6" i="2"/>
  <c r="C6" i="13" s="1"/>
  <c r="F17" i="2"/>
  <c r="F16" i="2"/>
  <c r="C16" i="13" s="1"/>
  <c r="F10" i="2"/>
  <c r="C10" i="13" s="1"/>
  <c r="F14" i="2"/>
  <c r="C14" i="13" s="1"/>
  <c r="F12" i="2"/>
  <c r="C12" i="13" s="1"/>
  <c r="F13" i="2"/>
  <c r="C13" i="13" s="1"/>
  <c r="F4" i="2"/>
  <c r="F8" i="2"/>
  <c r="C8" i="13" s="1"/>
  <c r="F19" i="2"/>
  <c r="C17" i="13" s="1"/>
  <c r="F5" i="2"/>
  <c r="C4" i="13" s="1"/>
  <c r="F7" i="2"/>
  <c r="C7" i="13" s="1"/>
  <c r="F20" i="2"/>
  <c r="C18" i="13" s="1"/>
  <c r="AD16" i="10"/>
  <c r="C15" i="3"/>
  <c r="C14" i="3"/>
  <c r="F9" i="2"/>
  <c r="C9" i="13" s="1"/>
  <c r="C25" i="3"/>
  <c r="C26" i="3"/>
  <c r="C23" i="3"/>
  <c r="C28" i="3"/>
  <c r="C27" i="3"/>
  <c r="C3" i="3"/>
  <c r="C20" i="3"/>
  <c r="C19" i="3"/>
  <c r="C16" i="3"/>
  <c r="C17" i="3"/>
  <c r="C9" i="3"/>
  <c r="C24" i="3"/>
  <c r="C4" i="3"/>
  <c r="C18" i="3"/>
  <c r="C8" i="3"/>
  <c r="F11" i="2"/>
  <c r="C11" i="13" s="1"/>
  <c r="U5" i="11"/>
  <c r="U11" i="11"/>
  <c r="U13" i="11"/>
  <c r="U31" i="11"/>
  <c r="U35" i="11"/>
  <c r="U41" i="11"/>
  <c r="U43" i="11"/>
  <c r="U45" i="11"/>
  <c r="U49" i="11"/>
  <c r="U53" i="11"/>
  <c r="U57" i="11"/>
  <c r="U72" i="11"/>
  <c r="U76" i="11"/>
  <c r="M7" i="14"/>
  <c r="N11" i="14"/>
  <c r="M15" i="14"/>
  <c r="S11" i="13"/>
  <c r="U37" i="11"/>
  <c r="U70" i="11"/>
  <c r="O11" i="14"/>
  <c r="M8" i="14"/>
  <c r="N12" i="14"/>
  <c r="AH16" i="5"/>
  <c r="I13" i="10"/>
  <c r="U4" i="11"/>
  <c r="U8" i="11"/>
  <c r="U32" i="11"/>
  <c r="U40" i="11"/>
  <c r="U48" i="11"/>
  <c r="U56" i="11"/>
  <c r="U60" i="11"/>
  <c r="N8" i="14"/>
  <c r="O12" i="14"/>
  <c r="P12" i="14"/>
  <c r="N6" i="14"/>
  <c r="M9" i="14"/>
  <c r="R12" i="14"/>
  <c r="S15" i="14"/>
  <c r="T4" i="13"/>
  <c r="R4" i="13"/>
  <c r="AO4" i="13" s="1"/>
  <c r="T8" i="13"/>
  <c r="R8" i="13"/>
  <c r="AO8" i="13" s="1"/>
  <c r="BH13" i="13"/>
  <c r="BQ13" i="13"/>
  <c r="BW13" i="13"/>
  <c r="BL13" i="13"/>
  <c r="BM13" i="13"/>
  <c r="BA13" i="13"/>
  <c r="BC13" i="13" s="1"/>
  <c r="AU13" i="13"/>
  <c r="AT13" i="13"/>
  <c r="AV13" i="13" s="1"/>
  <c r="BR13" i="13"/>
  <c r="CC13" i="13"/>
  <c r="BV13" i="13"/>
  <c r="BZ13" i="13"/>
  <c r="BG13" i="13"/>
  <c r="R13" i="13"/>
  <c r="AO13" i="13" s="1"/>
  <c r="BY13" i="13"/>
  <c r="CA13" i="13" s="1"/>
  <c r="CB13" i="13"/>
  <c r="CD13" i="13" s="1"/>
  <c r="BB13" i="13"/>
  <c r="AD2" i="2"/>
  <c r="Q5" i="13"/>
  <c r="S9" i="13"/>
  <c r="T9" i="13"/>
  <c r="S12" i="13"/>
  <c r="AG19" i="15"/>
  <c r="AJ19" i="15" s="1"/>
  <c r="AH19" i="15"/>
  <c r="AK19" i="15" s="1"/>
  <c r="J8" i="10"/>
  <c r="C10" i="10"/>
  <c r="B30" i="10"/>
  <c r="C30" i="10" s="1"/>
  <c r="D30" i="10" s="1"/>
  <c r="E30" i="10" s="1"/>
  <c r="K8" i="10"/>
  <c r="B12" i="10"/>
  <c r="C25" i="10"/>
  <c r="AP6" i="5"/>
  <c r="G3" i="13"/>
  <c r="AH13" i="2"/>
  <c r="B12" i="8"/>
  <c r="C12" i="8"/>
  <c r="AP7" i="5"/>
  <c r="AP5" i="5"/>
  <c r="R20" i="5"/>
  <c r="AL20" i="5" s="1"/>
  <c r="AP20" i="5" s="1"/>
  <c r="AP10" i="5"/>
  <c r="AF5" i="15"/>
  <c r="AI5" i="15" s="1"/>
  <c r="AF22" i="15"/>
  <c r="AI22" i="15" s="1"/>
  <c r="AG5" i="15"/>
  <c r="AJ5" i="15" s="1"/>
  <c r="AG22" i="15"/>
  <c r="AJ22" i="15" s="1"/>
  <c r="AC10" i="13"/>
  <c r="AS10" i="13"/>
  <c r="AZ10" i="13"/>
  <c r="CB10" i="13"/>
  <c r="CD10" i="13" s="1"/>
  <c r="BB10" i="13"/>
  <c r="BK10" i="13"/>
  <c r="CC10" i="13"/>
  <c r="AJ10" i="13"/>
  <c r="BU10" i="13"/>
  <c r="BF10" i="13"/>
  <c r="BX10" i="13"/>
  <c r="BP10" i="13"/>
  <c r="AG10" i="13"/>
  <c r="BR10" i="13"/>
  <c r="BM10" i="13"/>
  <c r="AU10" i="13"/>
  <c r="CE10" i="13"/>
  <c r="AM10" i="13"/>
  <c r="W10" i="13"/>
  <c r="Y10" i="13" s="1"/>
  <c r="X10" i="13"/>
  <c r="BH10" i="13"/>
  <c r="BW10" i="13"/>
  <c r="Z10" i="13"/>
  <c r="AB10" i="13" s="1"/>
  <c r="BN10" i="13"/>
  <c r="AK10" i="13"/>
  <c r="BZ10" i="13"/>
  <c r="AT10" i="13"/>
  <c r="AV10" i="13" s="1"/>
  <c r="AI10" i="13"/>
  <c r="AX10" i="13"/>
  <c r="BQ10" i="13"/>
  <c r="BA10" i="13"/>
  <c r="BC10" i="13" s="1"/>
  <c r="BS10" i="13"/>
  <c r="BT10" i="13"/>
  <c r="AL10" i="13"/>
  <c r="BL10" i="13"/>
  <c r="BG10" i="13"/>
  <c r="BI10" i="13"/>
  <c r="AA10" i="13"/>
  <c r="BD10" i="13"/>
  <c r="BV10" i="13"/>
  <c r="BE10" i="13"/>
  <c r="V10" i="13"/>
  <c r="AH10" i="13"/>
  <c r="AE10" i="13"/>
  <c r="BO10" i="13"/>
  <c r="AD10" i="13"/>
  <c r="AF10" i="13" s="1"/>
  <c r="AP10" i="13"/>
  <c r="AR10" i="13" s="1"/>
  <c r="AQ10" i="13"/>
  <c r="AW10" i="13"/>
  <c r="AY10" i="13" s="1"/>
  <c r="BY10" i="13"/>
  <c r="CA10" i="13" s="1"/>
  <c r="AN10" i="13"/>
  <c r="U10" i="13"/>
  <c r="BJ10" i="13"/>
  <c r="AO10" i="13"/>
  <c r="AJ18" i="13"/>
  <c r="AZ18" i="13"/>
  <c r="BP18" i="13"/>
  <c r="BX18" i="13"/>
  <c r="AC18" i="13"/>
  <c r="AS18" i="13"/>
  <c r="AP18" i="13"/>
  <c r="AR18" i="13" s="1"/>
  <c r="BL18" i="13"/>
  <c r="BV18" i="13"/>
  <c r="CC18" i="13"/>
  <c r="AD18" i="13"/>
  <c r="AF18" i="13" s="1"/>
  <c r="CE18" i="13"/>
  <c r="AG18" i="13"/>
  <c r="AQ18" i="13"/>
  <c r="BD18" i="13"/>
  <c r="BZ18" i="13"/>
  <c r="AW18" i="13"/>
  <c r="AY18" i="13" s="1"/>
  <c r="BJ18" i="13"/>
  <c r="AH18" i="13"/>
  <c r="BN18" i="13"/>
  <c r="BG18" i="13"/>
  <c r="AN18" i="13"/>
  <c r="BK18" i="13"/>
  <c r="AI18" i="13"/>
  <c r="AU18" i="13"/>
  <c r="BE18" i="13"/>
  <c r="BO18" i="13"/>
  <c r="AM18" i="13"/>
  <c r="AO18" i="13"/>
  <c r="Z18" i="13"/>
  <c r="AB18" i="13" s="1"/>
  <c r="AL18" i="13"/>
  <c r="BF18" i="13"/>
  <c r="BR18" i="13"/>
  <c r="CB18" i="13"/>
  <c r="CD18" i="13" s="1"/>
  <c r="AX18" i="13"/>
  <c r="AE18" i="13"/>
  <c r="AA18" i="13"/>
  <c r="BS18" i="13"/>
  <c r="BT18" i="13"/>
  <c r="BU18" i="13"/>
  <c r="BB18" i="13"/>
  <c r="BH18" i="13"/>
  <c r="AK18" i="13"/>
  <c r="BM18" i="13"/>
  <c r="BW18" i="13"/>
  <c r="BA18" i="13"/>
  <c r="BC18" i="13" s="1"/>
  <c r="BQ18" i="13"/>
  <c r="V18" i="13"/>
  <c r="AT18" i="13"/>
  <c r="AV18" i="13" s="1"/>
  <c r="U18" i="13"/>
  <c r="X18" i="13"/>
  <c r="BI18" i="13"/>
  <c r="BY18" i="13"/>
  <c r="CA18" i="13" s="1"/>
  <c r="W18" i="13"/>
  <c r="Y18" i="13" s="1"/>
  <c r="AX14" i="13"/>
  <c r="BI14" i="13"/>
  <c r="BT14" i="13"/>
  <c r="AE14" i="13"/>
  <c r="AP14" i="13"/>
  <c r="AR14" i="13" s="1"/>
  <c r="BL14" i="13"/>
  <c r="BV14" i="13"/>
  <c r="W14" i="13"/>
  <c r="Y14" i="13" s="1"/>
  <c r="AK14" i="13"/>
  <c r="BD14" i="13"/>
  <c r="BS14" i="13"/>
  <c r="X14" i="13"/>
  <c r="AM14" i="13"/>
  <c r="BE14" i="13"/>
  <c r="AH14" i="13"/>
  <c r="AQ14" i="13"/>
  <c r="BY14" i="13"/>
  <c r="CA14" i="13" s="1"/>
  <c r="Z14" i="13"/>
  <c r="AB14" i="13" s="1"/>
  <c r="AS14" i="13"/>
  <c r="BG14" i="13"/>
  <c r="AW14" i="13"/>
  <c r="AY14" i="13" s="1"/>
  <c r="AI14" i="13"/>
  <c r="AA14" i="13"/>
  <c r="BQ14" i="13"/>
  <c r="AG14" i="13"/>
  <c r="BN14" i="13"/>
  <c r="BO14" i="13"/>
  <c r="AU14" i="13"/>
  <c r="CE14" i="13"/>
  <c r="BW14" i="13"/>
  <c r="BM14" i="13"/>
  <c r="BU14" i="13"/>
  <c r="BA14" i="13"/>
  <c r="BC14" i="13" s="1"/>
  <c r="AJ14" i="13"/>
  <c r="BJ14" i="13"/>
  <c r="AL14" i="13"/>
  <c r="CB14" i="13"/>
  <c r="CD14" i="13" s="1"/>
  <c r="AZ14" i="13"/>
  <c r="CC14" i="13"/>
  <c r="BP14" i="13"/>
  <c r="AN14" i="13"/>
  <c r="BR14" i="13"/>
  <c r="BB14" i="13"/>
  <c r="BH14" i="13"/>
  <c r="BX14" i="13"/>
  <c r="BF14" i="13"/>
  <c r="U14" i="13"/>
  <c r="V14" i="13" s="1"/>
  <c r="AD14" i="13"/>
  <c r="AF14" i="13" s="1"/>
  <c r="AT14" i="13"/>
  <c r="AV14" i="13" s="1"/>
  <c r="AC14" i="13"/>
  <c r="BK14" i="13"/>
  <c r="BZ14" i="13"/>
  <c r="AO14" i="13"/>
  <c r="BW6" i="13"/>
  <c r="BM6" i="13"/>
  <c r="BH6" i="13"/>
  <c r="BY6" i="13"/>
  <c r="CA6" i="13" s="1"/>
  <c r="AT6" i="13"/>
  <c r="AV6" i="13" s="1"/>
  <c r="BZ6" i="13"/>
  <c r="U6" i="13"/>
  <c r="V6" i="13" s="1"/>
  <c r="AK6" i="13"/>
  <c r="BA6" i="13"/>
  <c r="BC6" i="13" s="1"/>
  <c r="BQ6" i="13"/>
  <c r="BR6" i="13"/>
  <c r="AN6" i="13"/>
  <c r="CB6" i="13"/>
  <c r="CD6" i="13" s="1"/>
  <c r="X6" i="13"/>
  <c r="BB6" i="13"/>
  <c r="BD6" i="13"/>
  <c r="BL6" i="13"/>
  <c r="BU6" i="13"/>
  <c r="AA6" i="13"/>
  <c r="BE6" i="13"/>
  <c r="AD6" i="13"/>
  <c r="AF6" i="13" s="1"/>
  <c r="W6" i="13"/>
  <c r="Y6" i="13" s="1"/>
  <c r="BP6" i="13"/>
  <c r="BN6" i="13"/>
  <c r="AW6" i="13"/>
  <c r="AY6" i="13" s="1"/>
  <c r="BF6" i="13"/>
  <c r="AI6" i="13"/>
  <c r="BJ6" i="13"/>
  <c r="BS6" i="13"/>
  <c r="AZ6" i="13"/>
  <c r="BX6" i="13"/>
  <c r="AQ6" i="13"/>
  <c r="Z6" i="13"/>
  <c r="AB6" i="13" s="1"/>
  <c r="AL6" i="13"/>
  <c r="AC6" i="13"/>
  <c r="BO6" i="13"/>
  <c r="AH6" i="13"/>
  <c r="BT6" i="13"/>
  <c r="AU6" i="13"/>
  <c r="BV6" i="13"/>
  <c r="AS6" i="13"/>
  <c r="AE6" i="13"/>
  <c r="AP6" i="13"/>
  <c r="AR6" i="13" s="1"/>
  <c r="CC6" i="13"/>
  <c r="BG6" i="13"/>
  <c r="BK6" i="13"/>
  <c r="BI6" i="13"/>
  <c r="CE6" i="13"/>
  <c r="AJ6" i="13"/>
  <c r="AM6" i="13"/>
  <c r="AX6" i="13"/>
  <c r="AG6" i="13"/>
  <c r="AO6" i="13"/>
  <c r="CB9" i="13"/>
  <c r="CD9" i="13" s="1"/>
  <c r="AL9" i="13"/>
  <c r="AU9" i="13"/>
  <c r="BE9" i="13"/>
  <c r="BN9" i="13"/>
  <c r="AD9" i="13"/>
  <c r="AF9" i="13" s="1"/>
  <c r="AM9" i="13"/>
  <c r="AW9" i="13"/>
  <c r="AY9" i="13" s="1"/>
  <c r="BF9" i="13"/>
  <c r="BO9" i="13"/>
  <c r="BX9" i="13"/>
  <c r="AH9" i="13"/>
  <c r="AQ9" i="13"/>
  <c r="AZ9" i="13"/>
  <c r="BI9" i="13"/>
  <c r="W9" i="13"/>
  <c r="Y9" i="13" s="1"/>
  <c r="AP9" i="13"/>
  <c r="AR9" i="13" s="1"/>
  <c r="Z9" i="13"/>
  <c r="AB9" i="13" s="1"/>
  <c r="BJ9" i="13"/>
  <c r="CC9" i="13"/>
  <c r="AA9" i="13"/>
  <c r="AS9" i="13"/>
  <c r="BK9" i="13"/>
  <c r="AE9" i="13"/>
  <c r="BP9" i="13"/>
  <c r="AG9" i="13"/>
  <c r="BQ9" i="13"/>
  <c r="AI9" i="13"/>
  <c r="BS9" i="13"/>
  <c r="AJ9" i="13"/>
  <c r="BU9" i="13"/>
  <c r="AX9" i="13"/>
  <c r="BA9" i="13"/>
  <c r="BC9" i="13" s="1"/>
  <c r="BB9" i="13"/>
  <c r="BH9" i="13"/>
  <c r="BV9" i="13"/>
  <c r="BT9" i="13"/>
  <c r="BG9" i="13"/>
  <c r="BW9" i="13"/>
  <c r="BL9" i="13"/>
  <c r="AC9" i="13"/>
  <c r="BR9" i="13"/>
  <c r="BD9" i="13"/>
  <c r="BZ9" i="13"/>
  <c r="U9" i="13"/>
  <c r="BY9" i="13"/>
  <c r="CA9" i="13" s="1"/>
  <c r="X9" i="13"/>
  <c r="CE9" i="13"/>
  <c r="AN9" i="13"/>
  <c r="AK9" i="13"/>
  <c r="V9" i="13"/>
  <c r="AT9" i="13"/>
  <c r="AV9" i="13" s="1"/>
  <c r="BM9" i="13"/>
  <c r="AO9" i="13"/>
  <c r="BF16" i="13"/>
  <c r="BV16" i="13"/>
  <c r="BG16" i="13"/>
  <c r="AG16" i="13"/>
  <c r="BH16" i="13"/>
  <c r="BP16" i="13"/>
  <c r="BX16" i="13"/>
  <c r="BQ16" i="13"/>
  <c r="CB16" i="13"/>
  <c r="CD16" i="13" s="1"/>
  <c r="BM16" i="13"/>
  <c r="BR16" i="13"/>
  <c r="BZ16" i="13"/>
  <c r="AC16" i="13"/>
  <c r="AS16" i="13"/>
  <c r="BL16" i="13"/>
  <c r="AU16" i="13"/>
  <c r="BU16" i="13"/>
  <c r="AJ16" i="13"/>
  <c r="AK16" i="13"/>
  <c r="BK16" i="13"/>
  <c r="AZ16" i="13"/>
  <c r="BA16" i="13"/>
  <c r="BC16" i="13" s="1"/>
  <c r="BY16" i="13"/>
  <c r="CA16" i="13" s="1"/>
  <c r="AI16" i="13"/>
  <c r="AE16" i="13"/>
  <c r="BD16" i="13"/>
  <c r="CE16" i="13"/>
  <c r="AL16" i="13"/>
  <c r="W16" i="13"/>
  <c r="Y16" i="13" s="1"/>
  <c r="AW16" i="13"/>
  <c r="AY16" i="13" s="1"/>
  <c r="AQ16" i="13"/>
  <c r="BW16" i="13"/>
  <c r="AN16" i="13"/>
  <c r="AD16" i="13"/>
  <c r="AF16" i="13" s="1"/>
  <c r="AM16" i="13"/>
  <c r="AT16" i="13"/>
  <c r="AV16" i="13" s="1"/>
  <c r="BI16" i="13"/>
  <c r="X16" i="13"/>
  <c r="BN16" i="13"/>
  <c r="AA16" i="13"/>
  <c r="BJ16" i="13"/>
  <c r="AX16" i="13"/>
  <c r="AH16" i="13"/>
  <c r="BT16" i="13"/>
  <c r="BO16" i="13"/>
  <c r="BS16" i="13"/>
  <c r="BB16" i="13"/>
  <c r="Z16" i="13"/>
  <c r="AB16" i="13" s="1"/>
  <c r="U16" i="13"/>
  <c r="V16" i="13" s="1"/>
  <c r="AP16" i="13"/>
  <c r="AR16" i="13" s="1"/>
  <c r="BE16" i="13"/>
  <c r="CC16" i="13"/>
  <c r="AO16" i="13"/>
  <c r="AG4" i="13"/>
  <c r="AW4" i="13"/>
  <c r="AY4" i="13" s="1"/>
  <c r="BE4" i="13"/>
  <c r="BM4" i="13"/>
  <c r="BU4" i="13"/>
  <c r="CC4" i="13"/>
  <c r="AC4" i="13"/>
  <c r="AK4" i="13"/>
  <c r="AS4" i="13"/>
  <c r="BA4" i="13"/>
  <c r="BC4" i="13" s="1"/>
  <c r="BI4" i="13"/>
  <c r="BQ4" i="13"/>
  <c r="BY4" i="13"/>
  <c r="CA4" i="13" s="1"/>
  <c r="AE4" i="13"/>
  <c r="AM4" i="13"/>
  <c r="BK4" i="13"/>
  <c r="BS4" i="13"/>
  <c r="BD4" i="13"/>
  <c r="BL4" i="13"/>
  <c r="BT4" i="13"/>
  <c r="CB4" i="13"/>
  <c r="CD4" i="13" s="1"/>
  <c r="BH4" i="13"/>
  <c r="BX4" i="13"/>
  <c r="AD4" i="13"/>
  <c r="AF4" i="13" s="1"/>
  <c r="AT4" i="13"/>
  <c r="AV4" i="13" s="1"/>
  <c r="BJ4" i="13"/>
  <c r="BZ4" i="13"/>
  <c r="AH4" i="13"/>
  <c r="AX4" i="13"/>
  <c r="BN4" i="13"/>
  <c r="AL4" i="13"/>
  <c r="BB4" i="13"/>
  <c r="BR4" i="13"/>
  <c r="AI4" i="13"/>
  <c r="BO4" i="13"/>
  <c r="AJ4" i="13"/>
  <c r="BP4" i="13"/>
  <c r="AP4" i="13"/>
  <c r="AR4" i="13" s="1"/>
  <c r="BV4" i="13"/>
  <c r="AQ4" i="13"/>
  <c r="BW4" i="13"/>
  <c r="CE4" i="13"/>
  <c r="AZ4" i="13"/>
  <c r="AA4" i="13"/>
  <c r="BF4" i="13"/>
  <c r="BG4" i="13"/>
  <c r="Z4" i="13"/>
  <c r="AB4" i="13" s="1"/>
  <c r="U4" i="13"/>
  <c r="V4" i="13" s="1"/>
  <c r="W4" i="13"/>
  <c r="Y4" i="13" s="1"/>
  <c r="X4" i="13"/>
  <c r="AN4" i="13"/>
  <c r="AU4" i="13"/>
  <c r="AD5" i="13"/>
  <c r="AF5" i="13" s="1"/>
  <c r="AL5" i="13"/>
  <c r="BJ5" i="13"/>
  <c r="Z5" i="13"/>
  <c r="AB5" i="13" s="1"/>
  <c r="AH5" i="13"/>
  <c r="AP5" i="13"/>
  <c r="AR5" i="13" s="1"/>
  <c r="AX5" i="13"/>
  <c r="BN5" i="13"/>
  <c r="AC5" i="13"/>
  <c r="AS5" i="13"/>
  <c r="BI5" i="13"/>
  <c r="BE5" i="13"/>
  <c r="BU5" i="13"/>
  <c r="AA5" i="13"/>
  <c r="AQ5" i="13"/>
  <c r="BG5" i="13"/>
  <c r="AE5" i="13"/>
  <c r="BK5" i="13"/>
  <c r="AI5" i="13"/>
  <c r="BO5" i="13"/>
  <c r="CE5" i="13"/>
  <c r="BL5" i="13"/>
  <c r="AG5" i="13"/>
  <c r="BM5" i="13"/>
  <c r="AM5" i="13"/>
  <c r="BS5" i="13"/>
  <c r="BT5" i="13"/>
  <c r="CB5" i="13"/>
  <c r="CD5" i="13" s="1"/>
  <c r="BD5" i="13"/>
  <c r="CC5" i="13"/>
  <c r="AW5" i="13"/>
  <c r="AY5" i="13" s="1"/>
  <c r="W5" i="13"/>
  <c r="Y5" i="13" s="1"/>
  <c r="X5" i="13"/>
  <c r="AT5" i="13"/>
  <c r="AV5" i="13" s="1"/>
  <c r="BH5" i="13"/>
  <c r="BX5" i="13"/>
  <c r="BA5" i="13"/>
  <c r="BC5" i="13" s="1"/>
  <c r="BP5" i="13"/>
  <c r="AJ5" i="13"/>
  <c r="BV5" i="13"/>
  <c r="BR5" i="13"/>
  <c r="BB5" i="13"/>
  <c r="AZ5" i="13"/>
  <c r="BZ5" i="13"/>
  <c r="AU5" i="13"/>
  <c r="BW5" i="13"/>
  <c r="BY5" i="13"/>
  <c r="CA5" i="13" s="1"/>
  <c r="BQ5" i="13"/>
  <c r="AK5" i="13"/>
  <c r="BF5" i="13"/>
  <c r="AO5" i="13"/>
  <c r="BS19" i="13"/>
  <c r="BP19" i="13"/>
  <c r="AK19" i="13"/>
  <c r="CB19" i="13"/>
  <c r="CD19" i="13" s="1"/>
  <c r="AN19" i="13"/>
  <c r="U19" i="13"/>
  <c r="V19" i="13" s="1"/>
  <c r="AQ19" i="13"/>
  <c r="AJ19" i="13"/>
  <c r="BH19" i="13"/>
  <c r="AE19" i="13"/>
  <c r="BX19" i="13"/>
  <c r="AU19" i="13"/>
  <c r="BR19" i="13"/>
  <c r="BL19" i="13"/>
  <c r="X19" i="13"/>
  <c r="BQ19" i="13"/>
  <c r="AL19" i="13"/>
  <c r="W19" i="13"/>
  <c r="Y19" i="13" s="1"/>
  <c r="AI19" i="13"/>
  <c r="AS19" i="13"/>
  <c r="BO19" i="13"/>
  <c r="BY19" i="13"/>
  <c r="CA19" i="13" s="1"/>
  <c r="BG19" i="13"/>
  <c r="BD19" i="13"/>
  <c r="BZ19" i="13"/>
  <c r="AA19" i="13"/>
  <c r="BE19" i="13"/>
  <c r="BK19" i="13"/>
  <c r="AC19" i="13"/>
  <c r="BU19" i="13"/>
  <c r="BA19" i="13"/>
  <c r="BC19" i="13" s="1"/>
  <c r="BI19" i="13"/>
  <c r="AM19" i="13"/>
  <c r="BV19" i="13"/>
  <c r="Z19" i="13"/>
  <c r="AB19" i="13" s="1"/>
  <c r="CE19" i="13"/>
  <c r="BW19" i="13"/>
  <c r="AH19" i="13"/>
  <c r="BT19" i="13"/>
  <c r="AP19" i="13"/>
  <c r="AR19" i="13" s="1"/>
  <c r="BJ19" i="13"/>
  <c r="BB19" i="13"/>
  <c r="AX19" i="13"/>
  <c r="AZ19" i="13"/>
  <c r="AT19" i="13"/>
  <c r="AV19" i="13" s="1"/>
  <c r="BM19" i="13"/>
  <c r="BF19" i="13"/>
  <c r="AW19" i="13"/>
  <c r="AY19" i="13" s="1"/>
  <c r="AG19" i="13"/>
  <c r="BN19" i="13"/>
  <c r="AD19" i="13"/>
  <c r="AF19" i="13" s="1"/>
  <c r="CC19" i="13"/>
  <c r="AO19" i="13"/>
  <c r="BD7" i="13"/>
  <c r="BL7" i="13"/>
  <c r="BT7" i="13"/>
  <c r="CB7" i="13"/>
  <c r="CD7" i="13" s="1"/>
  <c r="AD7" i="13"/>
  <c r="AF7" i="13" s="1"/>
  <c r="AL7" i="13"/>
  <c r="AT7" i="13"/>
  <c r="AV7" i="13" s="1"/>
  <c r="BJ7" i="13"/>
  <c r="BR7" i="13"/>
  <c r="BZ7" i="13"/>
  <c r="AE7" i="13"/>
  <c r="AM7" i="13"/>
  <c r="BS7" i="13"/>
  <c r="Z7" i="13"/>
  <c r="AB7" i="13" s="1"/>
  <c r="AP7" i="13"/>
  <c r="AR7" i="13" s="1"/>
  <c r="BV7" i="13"/>
  <c r="AA7" i="13"/>
  <c r="AQ7" i="13"/>
  <c r="BG7" i="13"/>
  <c r="BW7" i="13"/>
  <c r="BI7" i="13"/>
  <c r="BY7" i="13"/>
  <c r="CA7" i="13" s="1"/>
  <c r="AI7" i="13"/>
  <c r="BO7" i="13"/>
  <c r="AH7" i="13"/>
  <c r="BN7" i="13"/>
  <c r="AK7" i="13"/>
  <c r="BQ7" i="13"/>
  <c r="AW7" i="13"/>
  <c r="AY7" i="13" s="1"/>
  <c r="CC7" i="13"/>
  <c r="AG7" i="13"/>
  <c r="AX7" i="13"/>
  <c r="BA7" i="13"/>
  <c r="BC7" i="13" s="1"/>
  <c r="BE7" i="13"/>
  <c r="BM7" i="13"/>
  <c r="U7" i="13"/>
  <c r="AS7" i="13"/>
  <c r="AU7" i="13"/>
  <c r="AO7" i="13"/>
  <c r="W7" i="13"/>
  <c r="Y7" i="13" s="1"/>
  <c r="AJ7" i="13"/>
  <c r="CE7" i="13"/>
  <c r="AN7" i="13"/>
  <c r="BB7" i="13"/>
  <c r="AC7" i="13"/>
  <c r="AZ7" i="13"/>
  <c r="BU7" i="13"/>
  <c r="BP7" i="13"/>
  <c r="V7" i="13"/>
  <c r="BH7" i="13"/>
  <c r="BX7" i="13"/>
  <c r="BK7" i="13"/>
  <c r="BF7" i="13"/>
  <c r="X7" i="13"/>
  <c r="AC8" i="13"/>
  <c r="AS8" i="13"/>
  <c r="BI8" i="13"/>
  <c r="AA8" i="13"/>
  <c r="AI8" i="13"/>
  <c r="AQ8" i="13"/>
  <c r="BO8" i="13"/>
  <c r="W8" i="13"/>
  <c r="Y8" i="13" s="1"/>
  <c r="AH8" i="13"/>
  <c r="BJ8" i="13"/>
  <c r="BU8" i="13"/>
  <c r="X8" i="13"/>
  <c r="AL8" i="13"/>
  <c r="AW8" i="13"/>
  <c r="AY8" i="13" s="1"/>
  <c r="BK8" i="13"/>
  <c r="AM8" i="13"/>
  <c r="AX8" i="13"/>
  <c r="BL8" i="13"/>
  <c r="AE8" i="13"/>
  <c r="AP8" i="13"/>
  <c r="AR8" i="13" s="1"/>
  <c r="BD8" i="13"/>
  <c r="BE8" i="13"/>
  <c r="AG8" i="13"/>
  <c r="BF8" i="13"/>
  <c r="AN8" i="13"/>
  <c r="BM8" i="13"/>
  <c r="BN8" i="13"/>
  <c r="AD8" i="13"/>
  <c r="AF8" i="13" s="1"/>
  <c r="CB8" i="13"/>
  <c r="CD8" i="13" s="1"/>
  <c r="BT8" i="13"/>
  <c r="AT8" i="13"/>
  <c r="AV8" i="13" s="1"/>
  <c r="AU8" i="13"/>
  <c r="BB8" i="13"/>
  <c r="Z8" i="13"/>
  <c r="AB8" i="13" s="1"/>
  <c r="BS8" i="13"/>
  <c r="CC8" i="13"/>
  <c r="BA8" i="13"/>
  <c r="BC8" i="13" s="1"/>
  <c r="BG8" i="13"/>
  <c r="BP8" i="13"/>
  <c r="AJ8" i="13"/>
  <c r="BX8" i="13"/>
  <c r="BW8" i="13"/>
  <c r="BV8" i="13"/>
  <c r="AZ8" i="13"/>
  <c r="BH8" i="13"/>
  <c r="CE8" i="13"/>
  <c r="BQ8" i="13"/>
  <c r="BY8" i="13"/>
  <c r="CA8" i="13" s="1"/>
  <c r="BZ8" i="13"/>
  <c r="BR8" i="13"/>
  <c r="U8" i="13"/>
  <c r="V8" i="13" s="1"/>
  <c r="AK8" i="13"/>
  <c r="BP11" i="13"/>
  <c r="BH11" i="13"/>
  <c r="AG11" i="13"/>
  <c r="AZ11" i="13"/>
  <c r="BR11" i="13"/>
  <c r="AT11" i="13"/>
  <c r="AV11" i="13" s="1"/>
  <c r="BU11" i="13"/>
  <c r="CE11" i="13"/>
  <c r="AL11" i="13"/>
  <c r="BD11" i="13"/>
  <c r="BT11" i="13"/>
  <c r="BW11" i="13"/>
  <c r="BJ11" i="13"/>
  <c r="BX11" i="13"/>
  <c r="AU11" i="13"/>
  <c r="BS11" i="13"/>
  <c r="BZ11" i="13"/>
  <c r="AS11" i="13"/>
  <c r="AA11" i="13"/>
  <c r="BA11" i="13"/>
  <c r="BC11" i="13" s="1"/>
  <c r="AJ11" i="13"/>
  <c r="AC11" i="13"/>
  <c r="BB11" i="13"/>
  <c r="CC11" i="13"/>
  <c r="BQ11" i="13"/>
  <c r="AD11" i="13"/>
  <c r="AF11" i="13" s="1"/>
  <c r="BK11" i="13"/>
  <c r="AI11" i="13"/>
  <c r="BM11" i="13"/>
  <c r="BO11" i="13"/>
  <c r="BN11" i="13"/>
  <c r="BE11" i="13"/>
  <c r="AK11" i="13"/>
  <c r="AP11" i="13"/>
  <c r="AR11" i="13" s="1"/>
  <c r="BY11" i="13"/>
  <c r="CA11" i="13" s="1"/>
  <c r="AE11" i="13"/>
  <c r="BG11" i="13"/>
  <c r="BF11" i="13"/>
  <c r="U11" i="13"/>
  <c r="V11" i="13" s="1"/>
  <c r="CB11" i="13"/>
  <c r="CD11" i="13" s="1"/>
  <c r="AW11" i="13"/>
  <c r="AY11" i="13" s="1"/>
  <c r="AQ11" i="13"/>
  <c r="AM11" i="13"/>
  <c r="BL11" i="13"/>
  <c r="AN11" i="13"/>
  <c r="Z11" i="13"/>
  <c r="AB11" i="13" s="1"/>
  <c r="BI11" i="13"/>
  <c r="W11" i="13"/>
  <c r="Y11" i="13" s="1"/>
  <c r="BV11" i="13"/>
  <c r="AH11" i="13"/>
  <c r="X11" i="13"/>
  <c r="AX11" i="13"/>
  <c r="AO11" i="13"/>
  <c r="AL12" i="13"/>
  <c r="BE12" i="13"/>
  <c r="BN12" i="13"/>
  <c r="BW12" i="13"/>
  <c r="AX12" i="13"/>
  <c r="BG12" i="13"/>
  <c r="Z12" i="13"/>
  <c r="AB12" i="13" s="1"/>
  <c r="AI12" i="13"/>
  <c r="BA12" i="13"/>
  <c r="BC12" i="13" s="1"/>
  <c r="BJ12" i="13"/>
  <c r="BT12" i="13"/>
  <c r="AN12" i="13"/>
  <c r="BB12" i="13"/>
  <c r="BQ12" i="13"/>
  <c r="AA12" i="13"/>
  <c r="AP12" i="13"/>
  <c r="AR12" i="13" s="1"/>
  <c r="BD12" i="13"/>
  <c r="BR12" i="13"/>
  <c r="AQ12" i="13"/>
  <c r="AH12" i="13"/>
  <c r="BH12" i="13"/>
  <c r="CB12" i="13"/>
  <c r="CD12" i="13" s="1"/>
  <c r="AD12" i="13"/>
  <c r="AF12" i="13" s="1"/>
  <c r="BI12" i="13"/>
  <c r="BZ12" i="13"/>
  <c r="AK12" i="13"/>
  <c r="BL12" i="13"/>
  <c r="AZ12" i="13"/>
  <c r="BM12" i="13"/>
  <c r="AG12" i="13"/>
  <c r="U12" i="13"/>
  <c r="V12" i="13" s="1"/>
  <c r="AT12" i="13"/>
  <c r="AV12" i="13" s="1"/>
  <c r="BO12" i="13"/>
  <c r="X12" i="13"/>
  <c r="AW12" i="13"/>
  <c r="AY12" i="13" s="1"/>
  <c r="BV12" i="13"/>
  <c r="BX12" i="13"/>
  <c r="BU12" i="13"/>
  <c r="AU12" i="13"/>
  <c r="BS12" i="13"/>
  <c r="AO12" i="13"/>
  <c r="AS12" i="13"/>
  <c r="CC12" i="13"/>
  <c r="AE12" i="13"/>
  <c r="AM12" i="13"/>
  <c r="W12" i="13"/>
  <c r="Y12" i="13" s="1"/>
  <c r="BK12" i="13"/>
  <c r="AJ12" i="13"/>
  <c r="AC12" i="13"/>
  <c r="BF12" i="13"/>
  <c r="BP12" i="13"/>
  <c r="BY12" i="13"/>
  <c r="CA12" i="13" s="1"/>
  <c r="CE12" i="13"/>
  <c r="AN15" i="13"/>
  <c r="BY15" i="13"/>
  <c r="CA15" i="13" s="1"/>
  <c r="AT15" i="13"/>
  <c r="AV15" i="13" s="1"/>
  <c r="BZ15" i="13"/>
  <c r="BF15" i="13"/>
  <c r="AU15" i="13"/>
  <c r="BX15" i="13"/>
  <c r="BA15" i="13"/>
  <c r="BC15" i="13" s="1"/>
  <c r="W15" i="13"/>
  <c r="Y15" i="13" s="1"/>
  <c r="BW15" i="13"/>
  <c r="U15" i="13"/>
  <c r="V15" i="13" s="1"/>
  <c r="BB15" i="13"/>
  <c r="BQ15" i="13"/>
  <c r="AK15" i="13"/>
  <c r="BV15" i="13"/>
  <c r="X15" i="13"/>
  <c r="BE15" i="13"/>
  <c r="BI15" i="13"/>
  <c r="AH15" i="13"/>
  <c r="BN15" i="13"/>
  <c r="BK15" i="13"/>
  <c r="AM15" i="13"/>
  <c r="BR15" i="13"/>
  <c r="AW15" i="13"/>
  <c r="AY15" i="13" s="1"/>
  <c r="AX15" i="13"/>
  <c r="BD15" i="13"/>
  <c r="AA15" i="13"/>
  <c r="BS15" i="13"/>
  <c r="CC15" i="13"/>
  <c r="AS15" i="13"/>
  <c r="AJ15" i="13"/>
  <c r="AC15" i="13"/>
  <c r="AP15" i="13"/>
  <c r="AR15" i="13" s="1"/>
  <c r="AZ15" i="13"/>
  <c r="BL15" i="13"/>
  <c r="AI15" i="13"/>
  <c r="Z15" i="13"/>
  <c r="AB15" i="13" s="1"/>
  <c r="AQ15" i="13"/>
  <c r="AD15" i="13"/>
  <c r="AF15" i="13" s="1"/>
  <c r="CB15" i="13"/>
  <c r="CD15" i="13" s="1"/>
  <c r="AE15" i="13"/>
  <c r="BG15" i="13"/>
  <c r="BP15" i="13"/>
  <c r="CE15" i="13"/>
  <c r="BO15" i="13"/>
  <c r="BJ15" i="13"/>
  <c r="AG15" i="13"/>
  <c r="BM15" i="13"/>
  <c r="AL15" i="13"/>
  <c r="BT15" i="13"/>
  <c r="BU15" i="13"/>
  <c r="BH15" i="13"/>
  <c r="AO15" i="13"/>
  <c r="AU17" i="13"/>
  <c r="CB17" i="13"/>
  <c r="CD17" i="13" s="1"/>
  <c r="AQ17" i="13"/>
  <c r="BB17" i="13"/>
  <c r="BO17" i="13"/>
  <c r="AL17" i="13"/>
  <c r="BA17" i="13"/>
  <c r="BC17" i="13" s="1"/>
  <c r="AH17" i="13"/>
  <c r="CC17" i="13"/>
  <c r="U17" i="13"/>
  <c r="AI17" i="13"/>
  <c r="AT17" i="13"/>
  <c r="AV17" i="13" s="1"/>
  <c r="BH17" i="13"/>
  <c r="BR17" i="13"/>
  <c r="AZ17" i="13"/>
  <c r="BW17" i="13"/>
  <c r="BX17" i="13"/>
  <c r="AJ17" i="13"/>
  <c r="AX17" i="13"/>
  <c r="BI17" i="13"/>
  <c r="BU17" i="13"/>
  <c r="CE17" i="13"/>
  <c r="BN17" i="13"/>
  <c r="Z17" i="13"/>
  <c r="AB17" i="13" s="1"/>
  <c r="AK17" i="13"/>
  <c r="BJ17" i="13"/>
  <c r="BV17" i="13"/>
  <c r="AA17" i="13"/>
  <c r="BM17" i="13"/>
  <c r="AP17" i="13"/>
  <c r="AR17" i="13" s="1"/>
  <c r="BD17" i="13"/>
  <c r="BS17" i="13"/>
  <c r="V17" i="13"/>
  <c r="BT17" i="13"/>
  <c r="BZ17" i="13"/>
  <c r="BL17" i="13"/>
  <c r="BK17" i="13"/>
  <c r="BQ17" i="13"/>
  <c r="AW17" i="13"/>
  <c r="AY17" i="13" s="1"/>
  <c r="BP17" i="13"/>
  <c r="AG17" i="13"/>
  <c r="BG17" i="13"/>
  <c r="BE17" i="13"/>
  <c r="BF17" i="13"/>
  <c r="AN17" i="13"/>
  <c r="AS17" i="13"/>
  <c r="AD17" i="13"/>
  <c r="AF17" i="13" s="1"/>
  <c r="AC17" i="13"/>
  <c r="X17" i="13"/>
  <c r="BY17" i="13"/>
  <c r="CA17" i="13" s="1"/>
  <c r="AE17" i="13"/>
  <c r="W17" i="13"/>
  <c r="Y17" i="13" s="1"/>
  <c r="AM17" i="13"/>
  <c r="AO17" i="13"/>
  <c r="B7" i="8"/>
  <c r="I3" i="8" s="1"/>
  <c r="C7" i="8"/>
  <c r="AL21" i="2"/>
  <c r="C18" i="8"/>
  <c r="B18" i="8"/>
  <c r="AM15" i="2"/>
  <c r="B14" i="8"/>
  <c r="C14" i="8"/>
  <c r="AF5" i="2"/>
  <c r="C3" i="8"/>
  <c r="B3" i="8"/>
  <c r="AI11" i="2"/>
  <c r="C10" i="8"/>
  <c r="J4" i="8" s="1"/>
  <c r="B10" i="8"/>
  <c r="I4" i="8" s="1"/>
  <c r="C11" i="8"/>
  <c r="B11" i="8"/>
  <c r="AM7" i="2"/>
  <c r="B6" i="8"/>
  <c r="I2" i="8" s="1"/>
  <c r="C6" i="8"/>
  <c r="B16" i="8"/>
  <c r="C16" i="8"/>
  <c r="B5" i="8"/>
  <c r="C5" i="8"/>
  <c r="B9" i="8"/>
  <c r="C9" i="8"/>
  <c r="AF20" i="2"/>
  <c r="B17" i="8"/>
  <c r="C17" i="8"/>
  <c r="AL14" i="2"/>
  <c r="B13" i="8"/>
  <c r="C13" i="8"/>
  <c r="C4" i="8"/>
  <c r="B4" i="8"/>
  <c r="I6" i="8" s="1"/>
  <c r="I17" i="8" s="1"/>
  <c r="C8" i="8"/>
  <c r="B8" i="8"/>
  <c r="I5" i="8" s="1"/>
  <c r="AI16" i="2"/>
  <c r="C15" i="8"/>
  <c r="B15" i="8"/>
  <c r="N1" i="5"/>
  <c r="P19" i="7"/>
  <c r="P20" i="7" s="1"/>
  <c r="W2" i="2"/>
  <c r="U2" i="2"/>
  <c r="H4" i="17"/>
  <c r="R2" i="2"/>
  <c r="H3" i="17"/>
  <c r="S2" i="2"/>
  <c r="AJ14" i="2"/>
  <c r="AF14" i="2"/>
  <c r="AH8" i="2"/>
  <c r="AL15" i="2"/>
  <c r="AJ20" i="2"/>
  <c r="AK12" i="2"/>
  <c r="AM20" i="2"/>
  <c r="AH14" i="2"/>
  <c r="AI15" i="2"/>
  <c r="AI14" i="2"/>
  <c r="AJ15" i="2"/>
  <c r="AL16" i="2"/>
  <c r="AH9" i="2"/>
  <c r="AM16" i="2"/>
  <c r="AK20" i="2"/>
  <c r="AK21" i="2"/>
  <c r="AF17" i="2"/>
  <c r="AM11" i="2"/>
  <c r="AK14" i="2"/>
  <c r="AK15" i="2"/>
  <c r="AL20" i="2"/>
  <c r="AK11" i="2"/>
  <c r="AM8" i="2"/>
  <c r="AG11" i="2"/>
  <c r="AI12" i="2"/>
  <c r="AG16" i="2"/>
  <c r="AH21" i="2"/>
  <c r="AM5" i="2"/>
  <c r="AG17" i="2"/>
  <c r="AL9" i="2"/>
  <c r="AJ17" i="2"/>
  <c r="AL4" i="2"/>
  <c r="AH7" i="2"/>
  <c r="AM4" i="2"/>
  <c r="AH17" i="2"/>
  <c r="AG12" i="2"/>
  <c r="AH20" i="2"/>
  <c r="AF16" i="2"/>
  <c r="V19" i="5"/>
  <c r="AJ19" i="5"/>
  <c r="AP19" i="5" s="1"/>
  <c r="N26" i="5"/>
  <c r="N16" i="5" s="1"/>
  <c r="AH1" i="5"/>
  <c r="AI23" i="5"/>
  <c r="AP23" i="5" s="1"/>
  <c r="V23" i="5"/>
  <c r="AP22" i="5"/>
  <c r="M7" i="5"/>
  <c r="AG7" i="5" s="1"/>
  <c r="M22" i="5" s="1"/>
  <c r="AP8" i="5"/>
  <c r="V22" i="5"/>
  <c r="I3" i="7"/>
  <c r="H3" i="7"/>
  <c r="S5" i="7" s="1"/>
  <c r="AL17" i="2"/>
  <c r="I7" i="14"/>
  <c r="AL6" i="2"/>
  <c r="AL7" i="2"/>
  <c r="H19" i="14"/>
  <c r="M3" i="17"/>
  <c r="J3" i="16"/>
  <c r="F4" i="14"/>
  <c r="L3" i="13"/>
  <c r="B2" i="8"/>
  <c r="AM17" i="2"/>
  <c r="AM6" i="2"/>
  <c r="AM9" i="2"/>
  <c r="J11" i="14"/>
  <c r="AL10" i="2"/>
  <c r="I12" i="14"/>
  <c r="K14" i="5"/>
  <c r="AE14" i="5" s="1"/>
  <c r="K29" i="5" s="1"/>
  <c r="AJ11" i="2"/>
  <c r="F13" i="14"/>
  <c r="AH12" i="2"/>
  <c r="AH19" i="2"/>
  <c r="I19" i="14"/>
  <c r="K6" i="5"/>
  <c r="AE6" i="5" s="1"/>
  <c r="K21" i="5" s="1"/>
  <c r="L9" i="5"/>
  <c r="AF9" i="5" s="1"/>
  <c r="L24" i="5" s="1"/>
  <c r="AF24" i="5" s="1"/>
  <c r="AI29" i="5"/>
  <c r="AP29" i="5" s="1"/>
  <c r="V29" i="5"/>
  <c r="H4" i="5"/>
  <c r="V4" i="5"/>
  <c r="P5" i="7"/>
  <c r="F3" i="7"/>
  <c r="Q5" i="7" s="1"/>
  <c r="B13" i="10"/>
  <c r="B10" i="10" s="1"/>
  <c r="I8" i="14"/>
  <c r="K9" i="14"/>
  <c r="J4" i="17"/>
  <c r="F4" i="16"/>
  <c r="AF6" i="2"/>
  <c r="AF8" i="2"/>
  <c r="AM10" i="2"/>
  <c r="K5" i="5"/>
  <c r="AE5" i="5" s="1"/>
  <c r="K20" i="5" s="1"/>
  <c r="H7" i="5"/>
  <c r="M10" i="5"/>
  <c r="AG10" i="5" s="1"/>
  <c r="M25" i="5" s="1"/>
  <c r="V25" i="5"/>
  <c r="AP13" i="5"/>
  <c r="V18" i="5"/>
  <c r="B24" i="10"/>
  <c r="B28" i="10" s="1"/>
  <c r="AG4" i="2"/>
  <c r="AI5" i="2"/>
  <c r="AH6" i="2"/>
  <c r="AG10" i="2"/>
  <c r="J13" i="14"/>
  <c r="L10" i="5"/>
  <c r="AF10" i="5" s="1"/>
  <c r="L25" i="5" s="1"/>
  <c r="AF25" i="5" s="1"/>
  <c r="I14" i="14"/>
  <c r="K13" i="5"/>
  <c r="AE13" i="5" s="1"/>
  <c r="K28" i="5" s="1"/>
  <c r="H15" i="14"/>
  <c r="AH16" i="2"/>
  <c r="AK19" i="2"/>
  <c r="AG21" i="2"/>
  <c r="AP4" i="5"/>
  <c r="H13" i="14"/>
  <c r="AM21" i="2"/>
  <c r="AF4" i="2"/>
  <c r="AG7" i="2"/>
  <c r="AG8" i="2"/>
  <c r="AG9" i="2"/>
  <c r="K12" i="14"/>
  <c r="M14" i="5"/>
  <c r="AG14" i="5" s="1"/>
  <c r="M29" i="5" s="1"/>
  <c r="I13" i="14"/>
  <c r="AJ12" i="2"/>
  <c r="H14" i="14"/>
  <c r="AF21" i="2"/>
  <c r="AH4" i="2"/>
  <c r="AJ5" i="2"/>
  <c r="F6" i="14"/>
  <c r="AI17" i="2"/>
  <c r="AI6" i="2"/>
  <c r="AI7" i="2"/>
  <c r="AI8" i="2"/>
  <c r="AI9" i="2"/>
  <c r="AH10" i="2"/>
  <c r="AF11" i="2"/>
  <c r="K13" i="14"/>
  <c r="AL12" i="2"/>
  <c r="J14" i="14"/>
  <c r="L13" i="5"/>
  <c r="AF13" i="5" s="1"/>
  <c r="L28" i="5" s="1"/>
  <c r="AF28" i="5" s="1"/>
  <c r="AM14" i="2"/>
  <c r="AF15" i="2"/>
  <c r="AL19" i="2"/>
  <c r="AG20" i="2"/>
  <c r="H3" i="5"/>
  <c r="M8" i="5"/>
  <c r="AG8" i="5" s="1"/>
  <c r="M23" i="5" s="1"/>
  <c r="AP9" i="5"/>
  <c r="AP15" i="5"/>
  <c r="O30" i="5"/>
  <c r="I11" i="14"/>
  <c r="AK10" i="2"/>
  <c r="H12" i="14"/>
  <c r="AG5" i="2"/>
  <c r="F14" i="14"/>
  <c r="H13" i="5"/>
  <c r="AI19" i="2"/>
  <c r="J3" i="17"/>
  <c r="F3" i="16"/>
  <c r="I3" i="13"/>
  <c r="BB3" i="13" s="1"/>
  <c r="C2" i="8"/>
  <c r="AJ19" i="2"/>
  <c r="AJ6" i="2"/>
  <c r="F8" i="14"/>
  <c r="AJ7" i="2"/>
  <c r="F9" i="14"/>
  <c r="AJ8" i="2"/>
  <c r="F10" i="14"/>
  <c r="AJ9" i="2"/>
  <c r="F11" i="14"/>
  <c r="AI10" i="2"/>
  <c r="AM12" i="2"/>
  <c r="AG15" i="2"/>
  <c r="AJ16" i="2"/>
  <c r="AM19" i="2"/>
  <c r="AI21" i="2"/>
  <c r="AP3" i="5"/>
  <c r="O21" i="5"/>
  <c r="V26" i="5"/>
  <c r="AI26" i="5"/>
  <c r="AP26" i="5" s="1"/>
  <c r="K6" i="14"/>
  <c r="AL8" i="2"/>
  <c r="K10" i="14"/>
  <c r="AG19" i="2"/>
  <c r="N2" i="2"/>
  <c r="AF7" i="2"/>
  <c r="AF9" i="2"/>
  <c r="J12" i="14"/>
  <c r="L14" i="5"/>
  <c r="AF14" i="5" s="1"/>
  <c r="L29" i="5" s="1"/>
  <c r="AF29" i="5" s="1"/>
  <c r="AH5" i="2"/>
  <c r="AG6" i="2"/>
  <c r="AF10" i="2"/>
  <c r="AL11" i="2"/>
  <c r="F15" i="14"/>
  <c r="H15" i="5"/>
  <c r="AI4" i="2"/>
  <c r="AK5" i="2"/>
  <c r="H6" i="14"/>
  <c r="F7" i="14"/>
  <c r="AJ4" i="2"/>
  <c r="M4" i="17"/>
  <c r="J4" i="16"/>
  <c r="F5" i="14"/>
  <c r="AL5" i="2"/>
  <c r="I6" i="14"/>
  <c r="AK17" i="2"/>
  <c r="H7" i="14"/>
  <c r="AK6" i="2"/>
  <c r="H8" i="14"/>
  <c r="AK7" i="2"/>
  <c r="I9" i="14"/>
  <c r="AK8" i="2"/>
  <c r="I10" i="14"/>
  <c r="AK9" i="2"/>
  <c r="H11" i="14"/>
  <c r="AJ10" i="2"/>
  <c r="F12" i="14"/>
  <c r="H14" i="5"/>
  <c r="AH11" i="2"/>
  <c r="AF12" i="2"/>
  <c r="AF13" i="2"/>
  <c r="AG14" i="2"/>
  <c r="AH15" i="2"/>
  <c r="AK16" i="2"/>
  <c r="AF19" i="2"/>
  <c r="AI20" i="2"/>
  <c r="AJ21" i="2"/>
  <c r="AP18" i="5"/>
  <c r="M4" i="5"/>
  <c r="AG4" i="5" s="1"/>
  <c r="M19" i="5" s="1"/>
  <c r="J9" i="5"/>
  <c r="H10" i="5"/>
  <c r="AP12" i="5"/>
  <c r="O27" i="5"/>
  <c r="O24" i="5"/>
  <c r="AI25" i="5"/>
  <c r="AP25" i="5" s="1"/>
  <c r="V28" i="5"/>
  <c r="AI28" i="5"/>
  <c r="AP28" i="5" s="1"/>
  <c r="AP14" i="5"/>
  <c r="C11" i="10"/>
  <c r="C9" i="10"/>
  <c r="U33" i="11"/>
  <c r="O3" i="8"/>
  <c r="U26" i="11"/>
  <c r="S3" i="13"/>
  <c r="I12" i="10"/>
  <c r="I10" i="10"/>
  <c r="L8" i="10"/>
  <c r="U24" i="11"/>
  <c r="C24" i="10"/>
  <c r="H16" i="8"/>
  <c r="O16" i="8" s="1"/>
  <c r="B22" i="10"/>
  <c r="B26" i="10" s="1"/>
  <c r="U65" i="11"/>
  <c r="U67" i="11"/>
  <c r="U73" i="11"/>
  <c r="U75" i="11"/>
  <c r="N13" i="14"/>
  <c r="S13" i="14"/>
  <c r="R13" i="14"/>
  <c r="Q13" i="14"/>
  <c r="O13" i="14"/>
  <c r="M13" i="14"/>
  <c r="T13" i="14"/>
  <c r="Q14" i="14"/>
  <c r="O14" i="14"/>
  <c r="N14" i="14"/>
  <c r="M14" i="14"/>
  <c r="T14" i="14"/>
  <c r="S14" i="14"/>
  <c r="U15" i="14"/>
  <c r="Q12" i="14"/>
  <c r="U12" i="14" s="1"/>
  <c r="T12" i="14"/>
  <c r="Q11" i="14"/>
  <c r="M12" i="14"/>
  <c r="C5" i="13" l="1"/>
  <c r="C31" i="10"/>
  <c r="U13" i="14"/>
  <c r="D24" i="10"/>
  <c r="D28" i="10" s="1"/>
  <c r="U11" i="14"/>
  <c r="T3" i="17"/>
  <c r="AN5" i="13"/>
  <c r="U5" i="13"/>
  <c r="V5" i="13" s="1"/>
  <c r="S4" i="17"/>
  <c r="T5" i="13"/>
  <c r="S5" i="13"/>
  <c r="D12" i="8"/>
  <c r="E12" i="8" s="1"/>
  <c r="V20" i="5"/>
  <c r="B31" i="10"/>
  <c r="B32" i="10" s="1"/>
  <c r="C32" i="10" s="1"/>
  <c r="D23" i="10"/>
  <c r="D27" i="10" s="1"/>
  <c r="D25" i="10"/>
  <c r="D29" i="10" s="1"/>
  <c r="D9" i="8"/>
  <c r="E9" i="8" s="1"/>
  <c r="D15" i="8"/>
  <c r="E15" i="8" s="1"/>
  <c r="D6" i="8"/>
  <c r="E6" i="8" s="1"/>
  <c r="D10" i="8"/>
  <c r="F10" i="8" s="1"/>
  <c r="M4" i="8" s="1"/>
  <c r="D13" i="8"/>
  <c r="E13" i="8" s="1"/>
  <c r="D5" i="8"/>
  <c r="E5" i="8" s="1"/>
  <c r="D8" i="8"/>
  <c r="D17" i="8"/>
  <c r="D16" i="8"/>
  <c r="D18" i="8"/>
  <c r="D4" i="8"/>
  <c r="D3" i="8"/>
  <c r="D7" i="8"/>
  <c r="D11" i="8"/>
  <c r="D14" i="8"/>
  <c r="C16" i="2"/>
  <c r="D16" i="14"/>
  <c r="Q4" i="16"/>
  <c r="T4" i="17"/>
  <c r="BG3" i="13"/>
  <c r="BQ3" i="13"/>
  <c r="BM3" i="13"/>
  <c r="BW3" i="13"/>
  <c r="D2" i="8"/>
  <c r="F2" i="8" s="1"/>
  <c r="T2" i="8" s="1"/>
  <c r="BH3" i="13"/>
  <c r="BY3" i="13"/>
  <c r="CA3" i="13" s="1"/>
  <c r="AS3" i="13"/>
  <c r="BX3" i="13"/>
  <c r="BA3" i="13"/>
  <c r="BC3" i="13" s="1"/>
  <c r="BP3" i="13"/>
  <c r="AT3" i="13"/>
  <c r="AV3" i="13" s="1"/>
  <c r="AU3" i="13"/>
  <c r="AZ3" i="13"/>
  <c r="BR3" i="13"/>
  <c r="U3" i="13"/>
  <c r="V3" i="13" s="1"/>
  <c r="CC3" i="13"/>
  <c r="AK3" i="13"/>
  <c r="AJ3" i="13"/>
  <c r="BZ3" i="13"/>
  <c r="AC3" i="13"/>
  <c r="P3" i="16"/>
  <c r="Q14" i="7"/>
  <c r="Q16" i="7"/>
  <c r="Q17" i="7" s="1"/>
  <c r="D17" i="14"/>
  <c r="C19" i="2"/>
  <c r="Q3" i="16"/>
  <c r="Q18" i="7"/>
  <c r="Q19" i="7" s="1"/>
  <c r="Q20" i="7" s="1"/>
  <c r="D6" i="14"/>
  <c r="C17" i="2"/>
  <c r="F4" i="5"/>
  <c r="Z4" i="5" s="1"/>
  <c r="F19" i="5" s="1"/>
  <c r="Z19" i="5" s="1"/>
  <c r="AI21" i="5"/>
  <c r="AP21" i="5" s="1"/>
  <c r="V21" i="5"/>
  <c r="J6" i="8"/>
  <c r="D18" i="14"/>
  <c r="C20" i="2"/>
  <c r="B17" i="10"/>
  <c r="D13" i="14"/>
  <c r="C12" i="2"/>
  <c r="F10" i="5"/>
  <c r="Z10" i="5" s="1"/>
  <c r="F25" i="5" s="1"/>
  <c r="Z25" i="5" s="1"/>
  <c r="D4" i="14"/>
  <c r="C3" i="13"/>
  <c r="C4" i="2"/>
  <c r="F3" i="5"/>
  <c r="Z3" i="5" s="1"/>
  <c r="F18" i="5" s="1"/>
  <c r="Z18" i="5" s="1"/>
  <c r="I14" i="8"/>
  <c r="P14" i="8" s="1"/>
  <c r="P3" i="8"/>
  <c r="J2" i="8"/>
  <c r="I13" i="8"/>
  <c r="P13" i="8" s="1"/>
  <c r="P2" i="8"/>
  <c r="D22" i="10"/>
  <c r="D26" i="10" s="1"/>
  <c r="C22" i="10"/>
  <c r="C17" i="10"/>
  <c r="AI24" i="5"/>
  <c r="AP24" i="5" s="1"/>
  <c r="V24" i="5"/>
  <c r="D12" i="14"/>
  <c r="C11" i="2"/>
  <c r="F14" i="5"/>
  <c r="Z14" i="5" s="1"/>
  <c r="F29" i="5" s="1"/>
  <c r="Z29" i="5" s="1"/>
  <c r="D11" i="14"/>
  <c r="C10" i="2"/>
  <c r="F9" i="5"/>
  <c r="Z9" i="5" s="1"/>
  <c r="F24" i="5" s="1"/>
  <c r="Z24" i="5" s="1"/>
  <c r="D15" i="14"/>
  <c r="F15" i="5"/>
  <c r="Z15" i="5" s="1"/>
  <c r="F30" i="5" s="1"/>
  <c r="Z30" i="5" s="1"/>
  <c r="C14" i="2"/>
  <c r="J3" i="7"/>
  <c r="J3" i="8"/>
  <c r="U14" i="14"/>
  <c r="F30" i="10"/>
  <c r="G30" i="10" s="1"/>
  <c r="E31" i="10"/>
  <c r="AI27" i="5"/>
  <c r="AP27" i="5" s="1"/>
  <c r="V27" i="5"/>
  <c r="D19" i="14"/>
  <c r="C21" i="2"/>
  <c r="AI30" i="5"/>
  <c r="AP30" i="5" s="1"/>
  <c r="V30" i="5"/>
  <c r="D10" i="14"/>
  <c r="F8" i="5"/>
  <c r="Z8" i="5" s="1"/>
  <c r="F23" i="5" s="1"/>
  <c r="Z23" i="5" s="1"/>
  <c r="C9" i="2"/>
  <c r="D14" i="14"/>
  <c r="F13" i="5"/>
  <c r="Z13" i="5" s="1"/>
  <c r="F28" i="5" s="1"/>
  <c r="Z28" i="5" s="1"/>
  <c r="C13" i="2"/>
  <c r="S3" i="17"/>
  <c r="P4" i="8"/>
  <c r="I15" i="8"/>
  <c r="P15" i="8" s="1"/>
  <c r="J5" i="8"/>
  <c r="CE3" i="13"/>
  <c r="BU3" i="13"/>
  <c r="AG3" i="13"/>
  <c r="BV3" i="13"/>
  <c r="X3" i="13"/>
  <c r="BL3" i="13"/>
  <c r="W3" i="13"/>
  <c r="Y3" i="13" s="1"/>
  <c r="CB3" i="13"/>
  <c r="CD3" i="13" s="1"/>
  <c r="BK3" i="13"/>
  <c r="BF3" i="13"/>
  <c r="AN3" i="13"/>
  <c r="D5" i="14"/>
  <c r="C5" i="2"/>
  <c r="D9" i="14"/>
  <c r="C8" i="2"/>
  <c r="F7" i="5"/>
  <c r="Z7" i="5" s="1"/>
  <c r="F22" i="5" s="1"/>
  <c r="Z22" i="5" s="1"/>
  <c r="P4" i="16"/>
  <c r="D7" i="14"/>
  <c r="C6" i="2"/>
  <c r="F6" i="5"/>
  <c r="Z6" i="5" s="1"/>
  <c r="F21" i="5" s="1"/>
  <c r="Z21" i="5" s="1"/>
  <c r="P14" i="7"/>
  <c r="I16" i="8"/>
  <c r="P16" i="8" s="1"/>
  <c r="P5" i="8"/>
  <c r="F9" i="16"/>
  <c r="F10" i="16"/>
  <c r="F8" i="16"/>
  <c r="F6" i="16"/>
  <c r="F5" i="16"/>
  <c r="F7" i="16"/>
  <c r="C15" i="2"/>
  <c r="F11" i="5"/>
  <c r="Z11" i="5" s="1"/>
  <c r="F26" i="5" s="1"/>
  <c r="Z26" i="5" s="1"/>
  <c r="P16" i="7"/>
  <c r="P17" i="7" s="1"/>
  <c r="P21" i="7" s="1"/>
  <c r="D8" i="14"/>
  <c r="F5" i="5"/>
  <c r="Z5" i="5" s="1"/>
  <c r="F20" i="5" s="1"/>
  <c r="Z20" i="5" s="1"/>
  <c r="C7" i="2"/>
  <c r="BJ3" i="13"/>
  <c r="AL3" i="13"/>
  <c r="AD3" i="13"/>
  <c r="AF3" i="13" s="1"/>
  <c r="BI3" i="13"/>
  <c r="T3" i="13"/>
  <c r="BO3" i="13"/>
  <c r="AQ3" i="13"/>
  <c r="AI3" i="13"/>
  <c r="AA3" i="13"/>
  <c r="BE3" i="13"/>
  <c r="AW3" i="13"/>
  <c r="AY3" i="13" s="1"/>
  <c r="BT3" i="13"/>
  <c r="AX3" i="13"/>
  <c r="AE3" i="13"/>
  <c r="BS3" i="13"/>
  <c r="Z3" i="13"/>
  <c r="AB3" i="13" s="1"/>
  <c r="BN3" i="13"/>
  <c r="AP3" i="13"/>
  <c r="AR3" i="13" s="1"/>
  <c r="AH3" i="13"/>
  <c r="R3" i="13"/>
  <c r="AO3" i="13" s="1"/>
  <c r="BD3" i="13"/>
  <c r="AM3" i="13"/>
  <c r="D31" i="10" l="1"/>
  <c r="B33" i="10"/>
  <c r="D17" i="10"/>
  <c r="F12" i="8"/>
  <c r="E23" i="10"/>
  <c r="E25" i="10"/>
  <c r="E24" i="10"/>
  <c r="F9" i="8"/>
  <c r="F15" i="8"/>
  <c r="F13" i="8"/>
  <c r="F6" i="8"/>
  <c r="M2" i="8" s="1"/>
  <c r="E10" i="8"/>
  <c r="L4" i="8" s="1"/>
  <c r="F5" i="8"/>
  <c r="E11" i="8"/>
  <c r="F11" i="8"/>
  <c r="E17" i="8"/>
  <c r="F17" i="8"/>
  <c r="F7" i="8"/>
  <c r="E7" i="8"/>
  <c r="E8" i="8"/>
  <c r="L5" i="8" s="1"/>
  <c r="S5" i="8" s="1"/>
  <c r="F8" i="8"/>
  <c r="M5" i="8" s="1"/>
  <c r="T5" i="8" s="1"/>
  <c r="F3" i="8"/>
  <c r="E3" i="8"/>
  <c r="E18" i="8"/>
  <c r="F18" i="8"/>
  <c r="E4" i="8"/>
  <c r="F4" i="8"/>
  <c r="E14" i="8"/>
  <c r="F14" i="8"/>
  <c r="E16" i="8"/>
  <c r="F16" i="8"/>
  <c r="E2" i="8"/>
  <c r="S2" i="8" s="1"/>
  <c r="P10" i="16"/>
  <c r="Q10" i="16"/>
  <c r="J13" i="8"/>
  <c r="K2" i="8"/>
  <c r="Q2" i="8"/>
  <c r="R2" i="8" s="1"/>
  <c r="P8" i="16"/>
  <c r="Q8" i="16"/>
  <c r="G31" i="10"/>
  <c r="H30" i="10"/>
  <c r="I30" i="10" s="1"/>
  <c r="L2" i="8"/>
  <c r="Q9" i="16"/>
  <c r="P9" i="16"/>
  <c r="Q21" i="7"/>
  <c r="Q7" i="16"/>
  <c r="P7" i="16"/>
  <c r="Q5" i="8"/>
  <c r="R5" i="8" s="1"/>
  <c r="J16" i="8"/>
  <c r="K5" i="8"/>
  <c r="J17" i="8"/>
  <c r="K17" i="8" s="1"/>
  <c r="K6" i="8"/>
  <c r="C33" i="10"/>
  <c r="D32" i="10"/>
  <c r="Q5" i="16"/>
  <c r="P5" i="16"/>
  <c r="Q6" i="16"/>
  <c r="P6" i="16"/>
  <c r="Q3" i="8"/>
  <c r="R3" i="8" s="1"/>
  <c r="J14" i="8"/>
  <c r="K3" i="8"/>
  <c r="Q4" i="8"/>
  <c r="R4" i="8" s="1"/>
  <c r="J15" i="8"/>
  <c r="K4" i="8"/>
  <c r="E17" i="10" l="1"/>
  <c r="E22" i="10"/>
  <c r="F25" i="10"/>
  <c r="F29" i="10" s="1"/>
  <c r="F23" i="10"/>
  <c r="F27" i="10" s="1"/>
  <c r="F24" i="10"/>
  <c r="F28" i="10" s="1"/>
  <c r="K15" i="8"/>
  <c r="Q15" i="8"/>
  <c r="R15" i="8" s="1"/>
  <c r="K13" i="8"/>
  <c r="Q13" i="8"/>
  <c r="R13" i="8" s="1"/>
  <c r="D33" i="10"/>
  <c r="E32" i="10"/>
  <c r="L6" i="8"/>
  <c r="S4" i="8"/>
  <c r="Q14" i="8"/>
  <c r="R14" i="8" s="1"/>
  <c r="K14" i="8"/>
  <c r="S3" i="8"/>
  <c r="L3" i="8"/>
  <c r="K16" i="8"/>
  <c r="Q16" i="8"/>
  <c r="R16" i="8" s="1"/>
  <c r="M6" i="8"/>
  <c r="T4" i="8"/>
  <c r="J30" i="10"/>
  <c r="K30" i="10" s="1"/>
  <c r="I31" i="10"/>
  <c r="M3" i="8"/>
  <c r="T3" i="8"/>
  <c r="R7" i="8"/>
  <c r="K7" i="8"/>
  <c r="G25" i="10" l="1"/>
  <c r="G23" i="10"/>
  <c r="G24" i="10"/>
  <c r="F22" i="10"/>
  <c r="F26" i="10" s="1"/>
  <c r="F31" i="10" s="1"/>
  <c r="F32" i="10" s="1"/>
  <c r="F17" i="10"/>
  <c r="T7" i="8"/>
  <c r="L7" i="8"/>
  <c r="L8" i="8" s="1"/>
  <c r="L17" i="8" s="1"/>
  <c r="M7" i="8"/>
  <c r="M8" i="8" s="1"/>
  <c r="R18" i="8"/>
  <c r="S7" i="8"/>
  <c r="K18" i="8"/>
  <c r="L30" i="10"/>
  <c r="M30" i="10" s="1"/>
  <c r="K31" i="10"/>
  <c r="E33" i="10"/>
  <c r="H24" i="10" l="1"/>
  <c r="H28" i="10" s="1"/>
  <c r="H25" i="10"/>
  <c r="H29" i="10" s="1"/>
  <c r="H23" i="10"/>
  <c r="H27" i="10" s="1"/>
  <c r="G17" i="10"/>
  <c r="G22" i="10"/>
  <c r="M17" i="8"/>
  <c r="M14" i="8"/>
  <c r="T14" i="8" s="1"/>
  <c r="M16" i="8"/>
  <c r="T16" i="8" s="1"/>
  <c r="M13" i="8"/>
  <c r="F33" i="10"/>
  <c r="G32" i="10"/>
  <c r="L13" i="8"/>
  <c r="L16" i="8"/>
  <c r="S16" i="8" s="1"/>
  <c r="M31" i="10"/>
  <c r="N30" i="10"/>
  <c r="O30" i="10" s="1"/>
  <c r="L15" i="8"/>
  <c r="S15" i="8" s="1"/>
  <c r="M15" i="8"/>
  <c r="T15" i="8" s="1"/>
  <c r="L14" i="8"/>
  <c r="S14" i="8" s="1"/>
  <c r="H17" i="10" l="1"/>
  <c r="H22" i="10"/>
  <c r="H26" i="10" s="1"/>
  <c r="H31" i="10" s="1"/>
  <c r="H32" i="10" s="1"/>
  <c r="I25" i="10"/>
  <c r="I23" i="10"/>
  <c r="I24" i="10"/>
  <c r="O31" i="10"/>
  <c r="P30" i="10"/>
  <c r="Q30" i="10" s="1"/>
  <c r="S13" i="8"/>
  <c r="S18" i="8" s="1"/>
  <c r="L18" i="8"/>
  <c r="G33" i="10"/>
  <c r="T13" i="8"/>
  <c r="T18" i="8" s="1"/>
  <c r="M18" i="8"/>
  <c r="J24" i="10" l="1"/>
  <c r="J28" i="10" s="1"/>
  <c r="J23" i="10"/>
  <c r="J27" i="10" s="1"/>
  <c r="J25" i="10"/>
  <c r="J29" i="10" s="1"/>
  <c r="I22" i="10"/>
  <c r="I17" i="10"/>
  <c r="I32" i="10"/>
  <c r="H33" i="10"/>
  <c r="Q31" i="10"/>
  <c r="R30" i="10"/>
  <c r="S30" i="10" s="1"/>
  <c r="K24" i="10" l="1"/>
  <c r="K25" i="10"/>
  <c r="K23" i="10"/>
  <c r="J17" i="10"/>
  <c r="J22" i="10"/>
  <c r="J26" i="10" s="1"/>
  <c r="J31" i="10" s="1"/>
  <c r="J32" i="10" s="1"/>
  <c r="I33" i="10"/>
  <c r="T30" i="10"/>
  <c r="U30" i="10" s="1"/>
  <c r="S31" i="10"/>
  <c r="K22" i="10" l="1"/>
  <c r="K17" i="10"/>
  <c r="L24" i="10"/>
  <c r="L28" i="10" s="1"/>
  <c r="L23" i="10"/>
  <c r="L27" i="10" s="1"/>
  <c r="L25" i="10"/>
  <c r="L29" i="10" s="1"/>
  <c r="U31" i="10"/>
  <c r="V30" i="10"/>
  <c r="W30" i="10" s="1"/>
  <c r="K32" i="10"/>
  <c r="J33" i="10"/>
  <c r="L22" i="10" l="1"/>
  <c r="L26" i="10" s="1"/>
  <c r="L31" i="10" s="1"/>
  <c r="L32" i="10" s="1"/>
  <c r="L17" i="10"/>
  <c r="M24" i="10"/>
  <c r="M23" i="10"/>
  <c r="M25" i="10"/>
  <c r="K33" i="10"/>
  <c r="W31" i="10"/>
  <c r="X30" i="10"/>
  <c r="Y30" i="10" s="1"/>
  <c r="N24" i="10" l="1"/>
  <c r="N28" i="10" s="1"/>
  <c r="N23" i="10"/>
  <c r="N27" i="10" s="1"/>
  <c r="N25" i="10"/>
  <c r="N29" i="10" s="1"/>
  <c r="M17" i="10"/>
  <c r="M22" i="10"/>
  <c r="Y31" i="10"/>
  <c r="Z30" i="10"/>
  <c r="AA30" i="10" s="1"/>
  <c r="L33" i="10"/>
  <c r="M32" i="10"/>
  <c r="N22" i="10" l="1"/>
  <c r="N26" i="10" s="1"/>
  <c r="N31" i="10" s="1"/>
  <c r="N32" i="10" s="1"/>
  <c r="N17" i="10"/>
  <c r="O25" i="10"/>
  <c r="O24" i="10"/>
  <c r="O23" i="10"/>
  <c r="M33" i="10"/>
  <c r="AB30" i="10"/>
  <c r="AC30" i="10" s="1"/>
  <c r="AA31" i="10"/>
  <c r="P23" i="10" l="1"/>
  <c r="P27" i="10" s="1"/>
  <c r="P24" i="10"/>
  <c r="P28" i="10" s="1"/>
  <c r="P25" i="10"/>
  <c r="P29" i="10" s="1"/>
  <c r="O17" i="10"/>
  <c r="O22" i="10"/>
  <c r="AD30" i="10"/>
  <c r="AC31" i="10"/>
  <c r="N33" i="10"/>
  <c r="O32" i="10"/>
  <c r="P17" i="10" l="1"/>
  <c r="P22" i="10"/>
  <c r="P26" i="10" s="1"/>
  <c r="P31" i="10" s="1"/>
  <c r="P32" i="10" s="1"/>
  <c r="Q24" i="10"/>
  <c r="Q23" i="10"/>
  <c r="Q25" i="10"/>
  <c r="O33" i="10"/>
  <c r="Q22" i="10" l="1"/>
  <c r="Q17" i="10"/>
  <c r="R23" i="10"/>
  <c r="R27" i="10" s="1"/>
  <c r="R25" i="10"/>
  <c r="R29" i="10" s="1"/>
  <c r="R24" i="10"/>
  <c r="R28" i="10" s="1"/>
  <c r="Q32" i="10"/>
  <c r="P33" i="10"/>
  <c r="S24" i="10" l="1"/>
  <c r="S25" i="10"/>
  <c r="S23" i="10"/>
  <c r="R22" i="10"/>
  <c r="R26" i="10" s="1"/>
  <c r="R31" i="10" s="1"/>
  <c r="R32" i="10" s="1"/>
  <c r="R17" i="10"/>
  <c r="Q33" i="10"/>
  <c r="T25" i="10" l="1"/>
  <c r="T29" i="10" s="1"/>
  <c r="T24" i="10"/>
  <c r="T28" i="10" s="1"/>
  <c r="T23" i="10"/>
  <c r="T27" i="10" s="1"/>
  <c r="S17" i="10"/>
  <c r="S22" i="10"/>
  <c r="S32" i="10"/>
  <c r="R33" i="10"/>
  <c r="T22" i="10" l="1"/>
  <c r="T26" i="10" s="1"/>
  <c r="T31" i="10" s="1"/>
  <c r="T32" i="10" s="1"/>
  <c r="T17" i="10"/>
  <c r="U23" i="10"/>
  <c r="U25" i="10"/>
  <c r="U24" i="10"/>
  <c r="S33" i="10"/>
  <c r="V23" i="10" l="1"/>
  <c r="V27" i="10" s="1"/>
  <c r="V24" i="10"/>
  <c r="V28" i="10" s="1"/>
  <c r="V25" i="10"/>
  <c r="V29" i="10" s="1"/>
  <c r="U17" i="10"/>
  <c r="U22" i="10"/>
  <c r="T33" i="10"/>
  <c r="U32" i="10"/>
  <c r="V17" i="10" l="1"/>
  <c r="V22" i="10"/>
  <c r="V26" i="10" s="1"/>
  <c r="V31" i="10" s="1"/>
  <c r="V32" i="10" s="1"/>
  <c r="W24" i="10"/>
  <c r="W25" i="10"/>
  <c r="W23" i="10"/>
  <c r="U33" i="10"/>
  <c r="X23" i="10" l="1"/>
  <c r="X27" i="10" s="1"/>
  <c r="X25" i="10"/>
  <c r="X29" i="10" s="1"/>
  <c r="X24" i="10"/>
  <c r="X28" i="10" s="1"/>
  <c r="W22" i="10"/>
  <c r="W17" i="10"/>
  <c r="V33" i="10"/>
  <c r="W32" i="10"/>
  <c r="Y25" i="10" l="1"/>
  <c r="Y23" i="10"/>
  <c r="Y24" i="10"/>
  <c r="X22" i="10"/>
  <c r="X26" i="10" s="1"/>
  <c r="X31" i="10" s="1"/>
  <c r="X32" i="10" s="1"/>
  <c r="X17" i="10"/>
  <c r="W33" i="10"/>
  <c r="Y22" i="10" l="1"/>
  <c r="Y17" i="10"/>
  <c r="Z25" i="10"/>
  <c r="Z29" i="10" s="1"/>
  <c r="Z24" i="10"/>
  <c r="Z28" i="10" s="1"/>
  <c r="Z23" i="10"/>
  <c r="Z27" i="10" s="1"/>
  <c r="Y32" i="10"/>
  <c r="X33" i="10"/>
  <c r="AA24" i="10" l="1"/>
  <c r="AA23" i="10"/>
  <c r="AA25" i="10"/>
  <c r="Z22" i="10"/>
  <c r="Z26" i="10" s="1"/>
  <c r="Z31" i="10" s="1"/>
  <c r="Z32" i="10" s="1"/>
  <c r="Z17" i="10"/>
  <c r="Y33" i="10"/>
  <c r="AA17" i="10" l="1"/>
  <c r="AA22" i="10"/>
  <c r="AB24" i="10"/>
  <c r="AB28" i="10" s="1"/>
  <c r="AB23" i="10"/>
  <c r="AB27" i="10" s="1"/>
  <c r="AB25" i="10"/>
  <c r="AB29" i="10" s="1"/>
  <c r="AA32" i="10"/>
  <c r="Z33" i="10"/>
  <c r="AB17" i="10" l="1"/>
  <c r="AB22" i="10"/>
  <c r="AB26" i="10" s="1"/>
  <c r="AB31" i="10" s="1"/>
  <c r="AB32" i="10" s="1"/>
  <c r="AC25" i="10"/>
  <c r="AC23" i="10"/>
  <c r="AC24" i="10"/>
  <c r="AA33" i="10"/>
  <c r="AD23" i="10" l="1"/>
  <c r="AD27" i="10" s="1"/>
  <c r="AE16" i="10"/>
  <c r="AD25" i="10"/>
  <c r="AD29" i="10" s="1"/>
  <c r="AD24" i="10"/>
  <c r="AD28" i="10" s="1"/>
  <c r="AC22" i="10"/>
  <c r="AC17" i="10"/>
  <c r="AB33" i="10"/>
  <c r="AC32" i="10"/>
  <c r="AF16" i="10" l="1"/>
  <c r="AD17" i="10"/>
  <c r="AD22" i="10"/>
  <c r="AD26" i="10" s="1"/>
  <c r="AD31" i="10" s="1"/>
  <c r="AD32" i="10" s="1"/>
  <c r="AD33" i="10" s="1"/>
  <c r="AC33" i="10"/>
  <c r="AG16" i="10" l="1"/>
  <c r="AH16" i="10" l="1"/>
  <c r="AI16" i="10" l="1"/>
  <c r="AJ16" i="10" l="1"/>
  <c r="D6" i="20" l="1"/>
  <c r="D2" i="20"/>
  <c r="D5" i="20"/>
  <c r="D3" i="20"/>
  <c r="D4" i="20"/>
  <c r="G7" i="20" l="1"/>
  <c r="G2" i="20" s="1"/>
  <c r="H18" i="20" l="1"/>
  <c r="AC2" i="20"/>
  <c r="H19" i="20"/>
  <c r="H17" i="20"/>
  <c r="H2" i="20"/>
  <c r="H5" i="20"/>
  <c r="H22" i="20"/>
  <c r="H20" i="20"/>
  <c r="H8" i="20"/>
  <c r="H15" i="20"/>
  <c r="H21" i="20"/>
  <c r="H16" i="20"/>
  <c r="J2" i="20"/>
  <c r="H3" i="20"/>
  <c r="H10" i="20"/>
  <c r="H9" i="20"/>
  <c r="H4" i="20"/>
  <c r="H7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3" authorId="0" shapeId="0" xr:uid="{00000000-0006-0000-0100-000001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T22" authorId="0" shapeId="0" xr:uid="{DB2EEABE-8A0F-41BC-844D-6C732E860CCC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Para cuadrar Caja...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C21" authorId="0" shapeId="0" xr:uid="{00000000-0006-0000-0C00-000001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D21" authorId="0" shapeId="0" xr:uid="{00000000-0006-0000-0C00-000002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I7" authorId="0" shapeId="0" xr:uid="{00000000-0006-0000-0F00-000001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por sueldo, minimo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L7" authorId="0" shapeId="0" xr:uid="{00000000-0006-0000-1000-000001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por sueldo, minimo</t>
        </r>
      </text>
    </comment>
  </commentList>
</comments>
</file>

<file path=xl/sharedStrings.xml><?xml version="1.0" encoding="utf-8"?>
<sst xmlns="http://schemas.openxmlformats.org/spreadsheetml/2006/main" count="2717" uniqueCount="1562">
  <si>
    <t>Actualitzacio</t>
  </si>
  <si>
    <t>Rank</t>
  </si>
  <si>
    <t>Millor Qualificació</t>
  </si>
  <si>
    <t>Més Partits Jugats</t>
  </si>
  <si>
    <t>Més vegades Capità</t>
  </si>
  <si>
    <t>Sául Piña</t>
  </si>
  <si>
    <t>14,5*</t>
  </si>
  <si>
    <t>Damián Sala</t>
  </si>
  <si>
    <t>Brunon Chuda</t>
  </si>
  <si>
    <t>Cosme Fonteboa</t>
  </si>
  <si>
    <t>Joãozinho do Mato</t>
  </si>
  <si>
    <t>13*</t>
  </si>
  <si>
    <t>Pere Beltran</t>
  </si>
  <si>
    <t>Andrin Bärtsch</t>
  </si>
  <si>
    <t>Enrique Cubas</t>
  </si>
  <si>
    <t>Millor partit</t>
  </si>
  <si>
    <t>Patrick Werner</t>
  </si>
  <si>
    <t>12,5*</t>
  </si>
  <si>
    <t>Adam Moss</t>
  </si>
  <si>
    <t>Leo Hilpinen</t>
  </si>
  <si>
    <t>Francesc Añigas</t>
  </si>
  <si>
    <t>CASA</t>
  </si>
  <si>
    <t>Vader - Rayitos</t>
  </si>
  <si>
    <t>487 HTS</t>
  </si>
  <si>
    <t>Rasheed Da'na</t>
  </si>
  <si>
    <t>12*</t>
  </si>
  <si>
    <t>Juan Garcia Peñuela</t>
  </si>
  <si>
    <t>Iván Real Figueroa</t>
  </si>
  <si>
    <t>FORA</t>
  </si>
  <si>
    <t>Valeri Gomis</t>
  </si>
  <si>
    <t>11,5*</t>
  </si>
  <si>
    <t>Emilio Rojas</t>
  </si>
  <si>
    <t>Wil Duffill</t>
  </si>
  <si>
    <t>Porteria Imbatuda</t>
  </si>
  <si>
    <t>Kendor Nagiturri</t>
  </si>
  <si>
    <t>11*</t>
  </si>
  <si>
    <t>Leonardo Baltico</t>
  </si>
  <si>
    <t>Gianfranco Rezza</t>
  </si>
  <si>
    <t>10,5*</t>
  </si>
  <si>
    <t>Adamantios Fikias</t>
  </si>
  <si>
    <t>Alex Trantre</t>
  </si>
  <si>
    <t>Cornel Boicea</t>
  </si>
  <si>
    <t>Fernando Juárez Sierra</t>
  </si>
  <si>
    <t>Jorge Asúa</t>
  </si>
  <si>
    <t>Jorge Walter Whitaker</t>
  </si>
  <si>
    <t>Pasqual Vilar</t>
  </si>
  <si>
    <t>Horacy Dzienis</t>
  </si>
  <si>
    <t>Guillermo Pedrajas</t>
  </si>
  <si>
    <t>Antoine Dupré</t>
  </si>
  <si>
    <t>Co Wolbers</t>
  </si>
  <si>
    <t>Robert Kavcic</t>
  </si>
  <si>
    <t>Károly Serfel</t>
  </si>
  <si>
    <t>10*</t>
  </si>
  <si>
    <t>Alberto Ercilla</t>
  </si>
  <si>
    <t>Enrique Haro</t>
  </si>
  <si>
    <t>Gongotzon Ialdebere</t>
  </si>
  <si>
    <t>Augustin Demaison</t>
  </si>
  <si>
    <t>Fabian Fabre</t>
  </si>
  <si>
    <t>Giuseppe Peirolo</t>
  </si>
  <si>
    <t>Aimar Lasalde</t>
  </si>
  <si>
    <t>Adolfo Vizcaino</t>
  </si>
  <si>
    <t>Ibiur Altxakoa</t>
  </si>
  <si>
    <t>Venanci Oset</t>
  </si>
  <si>
    <t>Nicolae Hornet</t>
  </si>
  <si>
    <t>Ludwik Mojéscik</t>
  </si>
  <si>
    <t>Christophe Méjean</t>
  </si>
  <si>
    <t>Berto Abandero</t>
  </si>
  <si>
    <t>Ceferino Sava</t>
  </si>
  <si>
    <t>Emilio Mochelato</t>
  </si>
  <si>
    <t>9,5*</t>
  </si>
  <si>
    <t>Jos Pittors</t>
  </si>
  <si>
    <t>Aleksi Alarotu</t>
  </si>
  <si>
    <t>Miquel Fernandez</t>
  </si>
  <si>
    <t>Arnulfo Cuntis</t>
  </si>
  <si>
    <t>Pepijn Zwaan</t>
  </si>
  <si>
    <t>Malte Neulinger</t>
  </si>
  <si>
    <t>Armengol Cols</t>
  </si>
  <si>
    <t>Iyad Chaabo</t>
  </si>
  <si>
    <t>Manolo Negrín</t>
  </si>
  <si>
    <t>Pablo Goenaga</t>
  </si>
  <si>
    <t>Mario Omarini</t>
  </si>
  <si>
    <t>Morgan Thomas</t>
  </si>
  <si>
    <t>John Chung</t>
  </si>
  <si>
    <t>Pieter Pelleboer</t>
  </si>
  <si>
    <t>Wicher Ossedrijver</t>
  </si>
  <si>
    <t>Sergio Roca</t>
  </si>
  <si>
    <t>Arnold Kalckstein</t>
  </si>
  <si>
    <t>Jaakko Kalliovaara</t>
  </si>
  <si>
    <t>Ludvig Andreasson</t>
  </si>
  <si>
    <t>Melcior Calmet</t>
  </si>
  <si>
    <t>Patrice Saillet</t>
  </si>
  <si>
    <t>Jacek Ceislar</t>
  </si>
  <si>
    <t>Nicolai Stentoft</t>
  </si>
  <si>
    <t>Rafael Guiu</t>
  </si>
  <si>
    <t>Gino van Hoesel</t>
  </si>
  <si>
    <t>Ragip Övgü</t>
  </si>
  <si>
    <t>Alvino Cost</t>
  </si>
  <si>
    <t>Raffaele Sitter</t>
  </si>
  <si>
    <t>Nicolas Vannoorberghe</t>
  </si>
  <si>
    <t>Filiciano Becerril</t>
  </si>
  <si>
    <t>Jacobo Ferrueros</t>
  </si>
  <si>
    <t>Giulio Porcaccianti</t>
  </si>
  <si>
    <t>Juan Gabriel de Minaya</t>
  </si>
  <si>
    <t>Albert Fité</t>
  </si>
  <si>
    <t>Dolf Fohringer</t>
  </si>
  <si>
    <t>Eckardt Hagerling</t>
  </si>
  <si>
    <t>#</t>
  </si>
  <si>
    <t>POS</t>
  </si>
  <si>
    <t>h36</t>
  </si>
  <si>
    <t>Nombre</t>
  </si>
  <si>
    <t>Anys</t>
  </si>
  <si>
    <t>Dias</t>
  </si>
  <si>
    <t>PA</t>
  </si>
  <si>
    <t>Lid</t>
  </si>
  <si>
    <t>Exp</t>
  </si>
  <si>
    <t>HXP</t>
  </si>
  <si>
    <t>CMn</t>
  </si>
  <si>
    <t>CMx</t>
  </si>
  <si>
    <t>Fcompra</t>
  </si>
  <si>
    <t>FID</t>
  </si>
  <si>
    <t>Res</t>
  </si>
  <si>
    <t>m90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</si>
  <si>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</si>
  <si>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</si>
  <si>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</si>
  <si>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</si>
  <si>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</si>
  <si>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</si>
  <si>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</si>
  <si>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</si>
  <si>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</si>
  <si>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</si>
  <si>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</si>
  <si>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</si>
  <si>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</si>
  <si>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Ent</t>
  </si>
  <si>
    <t>Hab</t>
  </si>
  <si>
    <t>NCA</t>
  </si>
  <si>
    <t>DfMn</t>
  </si>
  <si>
    <t>DfMx</t>
  </si>
  <si>
    <t>JgMn</t>
  </si>
  <si>
    <t>JgMx</t>
  </si>
  <si>
    <t>BPMn</t>
  </si>
  <si>
    <t>BPMx</t>
  </si>
  <si>
    <t>PEN</t>
  </si>
  <si>
    <t>Ca</t>
  </si>
  <si>
    <t>Ag</t>
  </si>
  <si>
    <t>Ho</t>
  </si>
  <si>
    <t>%_T</t>
  </si>
  <si>
    <t>TSI_A</t>
  </si>
  <si>
    <t>#1</t>
  </si>
  <si>
    <t>POR</t>
  </si>
  <si>
    <t>#17</t>
  </si>
  <si>
    <t>#2</t>
  </si>
  <si>
    <t>CEN</t>
  </si>
  <si>
    <t>#13</t>
  </si>
  <si>
    <t>#4</t>
  </si>
  <si>
    <t>#14</t>
  </si>
  <si>
    <t>#7</t>
  </si>
  <si>
    <t>#9</t>
  </si>
  <si>
    <t>EXT-LAT</t>
  </si>
  <si>
    <t>IMP</t>
  </si>
  <si>
    <t>#3</t>
  </si>
  <si>
    <t>Will Duffill</t>
  </si>
  <si>
    <t>RAP</t>
  </si>
  <si>
    <t>#5</t>
  </si>
  <si>
    <t>#8</t>
  </si>
  <si>
    <t>#11</t>
  </si>
  <si>
    <t>J. G. Peñuela</t>
  </si>
  <si>
    <t>#6</t>
  </si>
  <si>
    <t>MED</t>
  </si>
  <si>
    <t>Julian Gräbitz</t>
  </si>
  <si>
    <t>#16</t>
  </si>
  <si>
    <t>CAB</t>
  </si>
  <si>
    <t>#15</t>
  </si>
  <si>
    <t>DAV</t>
  </si>
  <si>
    <t>Renato Galeano</t>
  </si>
  <si>
    <t>Tommaso Niscola</t>
  </si>
  <si>
    <t>#19</t>
  </si>
  <si>
    <t>COMPLETAMENTE ENTRENADOS!</t>
  </si>
  <si>
    <t>Jugador</t>
  </si>
  <si>
    <t>Edad</t>
  </si>
  <si>
    <t>Esp</t>
  </si>
  <si>
    <t>Asc</t>
  </si>
  <si>
    <t>Promoción</t>
  </si>
  <si>
    <t>Pot</t>
  </si>
  <si>
    <t>DEF</t>
  </si>
  <si>
    <t>JUG</t>
  </si>
  <si>
    <t>LAT</t>
  </si>
  <si>
    <t>PAS</t>
  </si>
  <si>
    <t>ANO</t>
  </si>
  <si>
    <t>BP</t>
  </si>
  <si>
    <t>HAB</t>
  </si>
  <si>
    <t>POT</t>
  </si>
  <si>
    <t>Cap</t>
  </si>
  <si>
    <t>DL</t>
  </si>
  <si>
    <t>Atributs</t>
  </si>
  <si>
    <t>Fecha</t>
  </si>
  <si>
    <t>IMPORTANTES</t>
  </si>
  <si>
    <t>Info</t>
  </si>
  <si>
    <t>Habilidades</t>
  </si>
  <si>
    <t>Mejor Partido</t>
  </si>
  <si>
    <t>RELEVANTES</t>
  </si>
  <si>
    <t>TEC</t>
  </si>
  <si>
    <t>Actualización</t>
  </si>
  <si>
    <t>V.49</t>
  </si>
  <si>
    <t>Desde</t>
  </si>
  <si>
    <t>Region</t>
  </si>
  <si>
    <t>MejorLiga</t>
  </si>
  <si>
    <t>Compres</t>
  </si>
  <si>
    <t>Vendes</t>
  </si>
  <si>
    <t>Trans</t>
  </si>
  <si>
    <t>Sueldos</t>
  </si>
  <si>
    <t>TSI11</t>
  </si>
  <si>
    <t>Sueldo11</t>
  </si>
  <si>
    <t>Forma11</t>
  </si>
  <si>
    <t>Res11</t>
  </si>
  <si>
    <t>Exp11</t>
  </si>
  <si>
    <t>Edad11</t>
  </si>
  <si>
    <t>Tot</t>
  </si>
  <si>
    <t>Entrenador</t>
  </si>
  <si>
    <t>Tacticas</t>
  </si>
  <si>
    <t>Real club de la Aviación</t>
  </si>
  <si>
    <t>Ceuta y Melilla</t>
  </si>
  <si>
    <t>V (8)</t>
  </si>
  <si>
    <t>27(44)</t>
  </si>
  <si>
    <t>Notable - Neutro - Aceptable</t>
  </si>
  <si>
    <t>352-253</t>
  </si>
  <si>
    <t>GLADIATORS 96</t>
  </si>
  <si>
    <t>La Rioja</t>
  </si>
  <si>
    <t>IV (1)</t>
  </si>
  <si>
    <t>26(4)</t>
  </si>
  <si>
    <t>Excelent - Def - Notable</t>
  </si>
  <si>
    <t>541 - 442 CA</t>
  </si>
  <si>
    <t>FormigonArmado2.0</t>
  </si>
  <si>
    <t>Galicia</t>
  </si>
  <si>
    <t>V (5)</t>
  </si>
  <si>
    <t>27(83)</t>
  </si>
  <si>
    <t>Notable - Def - Debil</t>
  </si>
  <si>
    <t>352-253-343</t>
  </si>
  <si>
    <t>R.C. Deportivo da Coruña</t>
  </si>
  <si>
    <t>V (4)</t>
  </si>
  <si>
    <t>28(108)</t>
  </si>
  <si>
    <t>Notable - Neutro - Insuf</t>
  </si>
  <si>
    <t>253-343</t>
  </si>
  <si>
    <t>Squandrago C.F.</t>
  </si>
  <si>
    <t>Andalucia</t>
  </si>
  <si>
    <t>28(9)</t>
  </si>
  <si>
    <t>Notable - Of - Pobre</t>
  </si>
  <si>
    <t>352-343-433</t>
  </si>
  <si>
    <t>Omailovy's</t>
  </si>
  <si>
    <t>Catalunya</t>
  </si>
  <si>
    <t>27(70)</t>
  </si>
  <si>
    <t>Notable - Of - Insuf</t>
  </si>
  <si>
    <t>Gades F.C.</t>
  </si>
  <si>
    <t>VI (10)</t>
  </si>
  <si>
    <t>28(8)</t>
  </si>
  <si>
    <t>Notable - Of - Debil</t>
  </si>
  <si>
    <t>V@der SC</t>
  </si>
  <si>
    <t>III (4)</t>
  </si>
  <si>
    <t>23(51)</t>
  </si>
  <si>
    <t>Excelent - Neutro - Pobre</t>
  </si>
  <si>
    <t>532-541 CA</t>
  </si>
  <si>
    <t>V.252</t>
  </si>
  <si>
    <t>Profesioteam.</t>
  </si>
  <si>
    <t>Murcia</t>
  </si>
  <si>
    <t>V (1)</t>
  </si>
  <si>
    <t>253 AiM</t>
  </si>
  <si>
    <t>FC Kalambrazo</t>
  </si>
  <si>
    <t>Aragón</t>
  </si>
  <si>
    <t>V (6)</t>
  </si>
  <si>
    <t>Notable - Of - Horrible</t>
  </si>
  <si>
    <t>Los Recios de Gonzus</t>
  </si>
  <si>
    <t>29(26)</t>
  </si>
  <si>
    <t>CuatroK</t>
  </si>
  <si>
    <t>Madrid</t>
  </si>
  <si>
    <t>IV (2)</t>
  </si>
  <si>
    <t>28(78)</t>
  </si>
  <si>
    <t>352 Normal</t>
  </si>
  <si>
    <t>FC Los Urrutias</t>
  </si>
  <si>
    <t>VI (6)</t>
  </si>
  <si>
    <t>27(15)</t>
  </si>
  <si>
    <t>Notable - Neutro - Pobre</t>
  </si>
  <si>
    <t>532 CA</t>
  </si>
  <si>
    <t>Baden5400</t>
  </si>
  <si>
    <t>Navarra</t>
  </si>
  <si>
    <t>27(86)</t>
  </si>
  <si>
    <t>Notable - Neutre - Bueno</t>
  </si>
  <si>
    <t>532 Normal</t>
  </si>
  <si>
    <t>HotNumbers</t>
  </si>
  <si>
    <t>VI (4)</t>
  </si>
  <si>
    <t>23(62)</t>
  </si>
  <si>
    <t>Aceptable - Neutro - Aceptable</t>
  </si>
  <si>
    <t>Num</t>
  </si>
  <si>
    <t>ESP</t>
  </si>
  <si>
    <t>Año</t>
  </si>
  <si>
    <t>Dia</t>
  </si>
  <si>
    <t>Sueldo</t>
  </si>
  <si>
    <t>E_Po</t>
  </si>
  <si>
    <t>E_De</t>
  </si>
  <si>
    <t>E_Cr</t>
  </si>
  <si>
    <t>E_Ex</t>
  </si>
  <si>
    <t>E_Ps</t>
  </si>
  <si>
    <t>E_An</t>
  </si>
  <si>
    <t>E_PA</t>
  </si>
  <si>
    <t>E_TOTAL</t>
  </si>
  <si>
    <t>C. Fonteboa</t>
  </si>
  <si>
    <t>M. Fernandez</t>
  </si>
  <si>
    <t>B. Abandero</t>
  </si>
  <si>
    <t>I. R. Figueroa</t>
  </si>
  <si>
    <t>G. Pedrajas</t>
  </si>
  <si>
    <t>Tem</t>
  </si>
  <si>
    <t>V. Oset</t>
  </si>
  <si>
    <t>F. Añigas</t>
  </si>
  <si>
    <t>V. Gomis</t>
  </si>
  <si>
    <t>INN</t>
  </si>
  <si>
    <t>J. Gräbitz</t>
  </si>
  <si>
    <t>#10</t>
  </si>
  <si>
    <t>EXT</t>
  </si>
  <si>
    <t>E. Cubas</t>
  </si>
  <si>
    <t>#12</t>
  </si>
  <si>
    <t>W. Duffill</t>
  </si>
  <si>
    <t>J.G. Peñuela</t>
  </si>
  <si>
    <t>PS</t>
  </si>
  <si>
    <t>IMP/RAP</t>
  </si>
  <si>
    <t>Inners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</si>
  <si>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</si>
  <si>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</si>
  <si>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</si>
  <si>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</si>
  <si>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</si>
  <si>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</si>
  <si>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</si>
  <si>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</si>
  <si>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</si>
  <si>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</si>
  <si>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</si>
  <si>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</si>
  <si>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</si>
  <si>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</si>
  <si>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</si>
  <si>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</si>
  <si>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ACTIVO</t>
  </si>
  <si>
    <t>PASIVO</t>
  </si>
  <si>
    <t>Socios</t>
  </si>
  <si>
    <t>Inmobilizado</t>
  </si>
  <si>
    <t>Patrimonio</t>
  </si>
  <si>
    <t>SALDO INICIAL</t>
  </si>
  <si>
    <t>Estadio</t>
  </si>
  <si>
    <t>Capital Inicial</t>
  </si>
  <si>
    <t>Taquillas</t>
  </si>
  <si>
    <t>Patrocinadores</t>
  </si>
  <si>
    <t>Venta de jugadores</t>
  </si>
  <si>
    <t>Ventas</t>
  </si>
  <si>
    <t>VentasCantera</t>
  </si>
  <si>
    <t>Comisiones</t>
  </si>
  <si>
    <t>Otros</t>
  </si>
  <si>
    <t>Nuevos Socios</t>
  </si>
  <si>
    <t>Premios</t>
  </si>
  <si>
    <t>TOTAL INGRESOS</t>
  </si>
  <si>
    <t>Jugadores</t>
  </si>
  <si>
    <t xml:space="preserve">Mantenimiento </t>
  </si>
  <si>
    <t>Construcción del estadio</t>
  </si>
  <si>
    <t>Empleados</t>
  </si>
  <si>
    <t>Compra</t>
  </si>
  <si>
    <t>Juveniles</t>
  </si>
  <si>
    <t>Compra de jugadores*</t>
  </si>
  <si>
    <t>Viajes+Venta</t>
  </si>
  <si>
    <t>Intereses</t>
  </si>
  <si>
    <t>TOTAL GASTOS</t>
  </si>
  <si>
    <t>SALDO FINAL</t>
  </si>
  <si>
    <t>Salarios</t>
  </si>
  <si>
    <t>TOTAL</t>
  </si>
  <si>
    <t>Min</t>
  </si>
  <si>
    <t>Max</t>
  </si>
  <si>
    <t>edad</t>
  </si>
  <si>
    <t>LS</t>
  </si>
  <si>
    <t>Capitan</t>
  </si>
  <si>
    <t>xpe/17 + (xpc * lid^2) ^ (2/3) / 30</t>
  </si>
  <si>
    <t>Xpe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</si>
  <si>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</si>
  <si>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</si>
  <si>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</si>
  <si>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</si>
  <si>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</si>
  <si>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</si>
  <si>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30</t>
  </si>
  <si>
    <t>lid es el liderazgo del capitán</t>
  </si>
  <si>
    <t>Total</t>
  </si>
  <si>
    <t>liderazgo x liderazgo x experiencia</t>
  </si>
  <si>
    <t>N_CA</t>
  </si>
  <si>
    <t>Defensas</t>
  </si>
  <si>
    <t>Local</t>
  </si>
  <si>
    <t>Visitante</t>
  </si>
  <si>
    <t>NivelTactica</t>
  </si>
  <si>
    <t>NivelMedioVader</t>
  </si>
  <si>
    <t>OcasionesFalladas</t>
  </si>
  <si>
    <t>CAs</t>
  </si>
  <si>
    <t>%_Conversión</t>
  </si>
  <si>
    <t>Etiquetas de fila</t>
  </si>
  <si>
    <t>partidos</t>
  </si>
  <si>
    <t>Suma de OcasionesFalladas</t>
  </si>
  <si>
    <t>Suma de CAs</t>
  </si>
  <si>
    <t>%</t>
  </si>
  <si>
    <t>Fernando de Rojas</t>
  </si>
  <si>
    <t>Prodigy Sucany</t>
  </si>
  <si>
    <t>white widow</t>
  </si>
  <si>
    <t>mehmet</t>
  </si>
  <si>
    <t>Splug Team</t>
  </si>
  <si>
    <t>Los amiguitos de Don Pimpon</t>
  </si>
  <si>
    <t>John Rebus F.c</t>
  </si>
  <si>
    <t>VINATIKA FC 2</t>
  </si>
  <si>
    <t>Total general</t>
  </si>
  <si>
    <t>Basil444</t>
  </si>
  <si>
    <t>konary</t>
  </si>
  <si>
    <t>Ladány City</t>
  </si>
  <si>
    <t>Nie Zjednoczeni Kaczory</t>
  </si>
  <si>
    <t>Cuchufritos F.C.</t>
  </si>
  <si>
    <t>Ju.far72</t>
  </si>
  <si>
    <t>Mks Pilica PEDEZET</t>
  </si>
  <si>
    <t>FC Bayern München 16</t>
  </si>
  <si>
    <t>Grasshopper Club Nidwalden</t>
  </si>
  <si>
    <t>CD Castalia</t>
  </si>
  <si>
    <t>Cogollos F.C</t>
  </si>
  <si>
    <t>Ulls de Gat Mesquer</t>
  </si>
  <si>
    <t>iRatlle</t>
  </si>
  <si>
    <t>Hakom</t>
  </si>
  <si>
    <t>Santa Barbosa Aludosa</t>
  </si>
  <si>
    <t>Fc De Rositas</t>
  </si>
  <si>
    <t>Insulae Atlantis</t>
  </si>
  <si>
    <t>Bar Karakas C.F.</t>
  </si>
  <si>
    <t>Dzsoni Valkur</t>
  </si>
  <si>
    <t>Wisla Skawina</t>
  </si>
  <si>
    <t>Ornitorrincos Purpura</t>
  </si>
  <si>
    <t>USC Olaf Football</t>
  </si>
  <si>
    <t>Refucilo CF</t>
  </si>
  <si>
    <t>Kersky</t>
  </si>
  <si>
    <t>Menkoko C.F.</t>
  </si>
  <si>
    <t>Tuviejahuelemal</t>
  </si>
  <si>
    <t>CSD Avengers</t>
  </si>
  <si>
    <t>Lobos del Viento</t>
  </si>
  <si>
    <t>US Women National Tema</t>
  </si>
  <si>
    <t>S.H.M.Piast Gliwice</t>
  </si>
  <si>
    <t>TOERS TEAM</t>
  </si>
  <si>
    <t>Proxibecas</t>
  </si>
  <si>
    <t>I treni di Tozeur</t>
  </si>
  <si>
    <t>The Pyramid Mystery</t>
  </si>
  <si>
    <t>Wing Men</t>
  </si>
  <si>
    <t>FC BvB</t>
  </si>
  <si>
    <t>Mendibil</t>
  </si>
  <si>
    <t>TOWERS TEAM</t>
  </si>
  <si>
    <t>Romdi</t>
  </si>
  <si>
    <t>Babbu team</t>
  </si>
  <si>
    <t>Club de Catalunya</t>
  </si>
  <si>
    <t>Atletico ius</t>
  </si>
  <si>
    <t>Funkickers zwarte Schapen</t>
  </si>
  <si>
    <t>Bandurrias del Sur</t>
  </si>
  <si>
    <t>von der veck</t>
  </si>
  <si>
    <t>P.C.N</t>
  </si>
  <si>
    <t>Nacidos de la Bruma</t>
  </si>
  <si>
    <t>F.c. de Rositas</t>
  </si>
  <si>
    <t>La Pobla FC</t>
  </si>
  <si>
    <t>Dinamo skiejef</t>
  </si>
  <si>
    <t>Athletic MSS</t>
  </si>
  <si>
    <t>Demos returns</t>
  </si>
  <si>
    <t>P.E.C. Zwolle</t>
  </si>
  <si>
    <t>Luso Futebol do Dafundo</t>
  </si>
  <si>
    <t>FC FLEW</t>
  </si>
  <si>
    <t>CF Crystynho 07</t>
  </si>
  <si>
    <t>Start Rudnik</t>
  </si>
  <si>
    <t>Vicers PS</t>
  </si>
  <si>
    <t>Organización</t>
  </si>
  <si>
    <t>Legazpi de Maputo</t>
  </si>
  <si>
    <t>CMM Canoa Polo Triste</t>
  </si>
  <si>
    <t>Gälka Warriors</t>
  </si>
  <si>
    <t>Jyderups Jubelasnor</t>
  </si>
  <si>
    <t>Die Nashorner Logans</t>
  </si>
  <si>
    <t>CabaretVoltaire</t>
  </si>
  <si>
    <t>UF_United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</si>
  <si>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</si>
  <si>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</si>
  <si>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</si>
  <si>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</si>
  <si>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</si>
  <si>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</si>
  <si>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</si>
  <si>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</si>
  <si>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</si>
  <si>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</si>
  <si>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</si>
  <si>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</si>
  <si>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</si>
  <si>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</si>
  <si>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</si>
  <si>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</si>
  <si>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</si>
  <si>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</si>
  <si>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</si>
  <si>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</si>
  <si>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</si>
  <si>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</si>
  <si>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</si>
  <si>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</si>
  <si>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</si>
  <si>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</si>
  <si>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</si>
  <si>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</si>
  <si>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</si>
  <si>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</si>
  <si>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</si>
  <si>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</si>
  <si>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</si>
  <si>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</si>
  <si>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</si>
  <si>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</si>
  <si>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</si>
  <si>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</si>
  <si>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</si>
  <si>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</si>
  <si>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</si>
  <si>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 xml:space="preserve">Nivel de Entrenador </t>
  </si>
  <si>
    <t>XP</t>
  </si>
  <si>
    <t>COMPRA</t>
  </si>
  <si>
    <t>SEM</t>
  </si>
  <si>
    <t>CosteTRA_BUENO</t>
  </si>
  <si>
    <t>COSTETOTAL_BUENO</t>
  </si>
  <si>
    <t>T_Desast</t>
  </si>
  <si>
    <t>COSTE_TEMP</t>
  </si>
  <si>
    <t>CosteTRA_EX</t>
  </si>
  <si>
    <t>COSTETOTAL_EX</t>
  </si>
  <si>
    <t>Experiencia</t>
  </si>
  <si>
    <t xml:space="preserve">Aceptable </t>
  </si>
  <si>
    <t xml:space="preserve">Bueno </t>
  </si>
  <si>
    <t xml:space="preserve">Excelente </t>
  </si>
  <si>
    <t>Thomas Ruelle</t>
  </si>
  <si>
    <t>Karl-Uwe Mose</t>
  </si>
  <si>
    <t xml:space="preserve">235.200 - 277.700 € </t>
  </si>
  <si>
    <t xml:space="preserve">- </t>
  </si>
  <si>
    <t>Werner Mayer</t>
  </si>
  <si>
    <t xml:space="preserve">202.000 - 235.200 € </t>
  </si>
  <si>
    <t xml:space="preserve">681.800 - 794 100 € </t>
  </si>
  <si>
    <t>Giovanni Bellavite Pellegrini</t>
  </si>
  <si>
    <t xml:space="preserve">176.900 - 200.000 € </t>
  </si>
  <si>
    <t xml:space="preserve">597.300 - 675.000 € </t>
  </si>
  <si>
    <t xml:space="preserve">4.247.700- 4.800.000 € </t>
  </si>
  <si>
    <t>Gilad Domb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</si>
  <si>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</si>
  <si>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</si>
  <si>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</si>
  <si>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</si>
  <si>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</si>
  <si>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</si>
  <si>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</si>
  <si>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</si>
  <si>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>Frederic Ekster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</si>
  <si>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</si>
  <si>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</si>
  <si>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</si>
  <si>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</si>
  <si>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功志 (Koji) 森 (Mori)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</si>
  <si>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</si>
  <si>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</si>
  <si>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</si>
  <si>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</si>
  <si>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>Belmiro Marques Jr.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</si>
  <si>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</si>
  <si>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</si>
  <si>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</si>
  <si>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</si>
  <si>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>Zoltán Nyilas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</si>
  <si>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</si>
  <si>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</si>
  <si>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</si>
  <si>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</si>
  <si>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>Radko Kravaev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</si>
  <si>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</si>
  <si>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</si>
  <si>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</si>
  <si>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</si>
  <si>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>Ioannis Avramopoulos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</si>
  <si>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</si>
  <si>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</si>
  <si>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</si>
  <si>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</si>
  <si>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</si>
  <si>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</si>
  <si>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</si>
  <si>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</si>
  <si>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>Filip Antonijevic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</si>
  <si>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</si>
  <si>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</si>
  <si>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</si>
  <si>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</si>
  <si>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>Namazbek Baktygazyuly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</si>
  <si>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</si>
  <si>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</si>
  <si>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</si>
  <si>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</si>
  <si>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>Winfred Wetterich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</si>
  <si>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</si>
  <si>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</si>
  <si>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</si>
  <si>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</si>
  <si>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Cambio</t>
  </si>
  <si>
    <t>TempMedia</t>
  </si>
  <si>
    <t>Primer Nivel</t>
  </si>
  <si>
    <t>des-ho</t>
  </si>
  <si>
    <t>ho-po</t>
  </si>
  <si>
    <t>po-de</t>
  </si>
  <si>
    <t>de-insif</t>
  </si>
  <si>
    <t>ins-acep</t>
  </si>
  <si>
    <t>Nil</t>
  </si>
  <si>
    <t>T_Des</t>
  </si>
  <si>
    <t>Bueno</t>
  </si>
  <si>
    <t>Aceptable</t>
  </si>
  <si>
    <t>Insuficiente</t>
  </si>
  <si>
    <t>Debil</t>
  </si>
  <si>
    <t>Pobre</t>
  </si>
  <si>
    <t>Horrible</t>
  </si>
  <si>
    <t>Desastroso</t>
  </si>
  <si>
    <t>Portero</t>
  </si>
  <si>
    <t>DCNormal</t>
  </si>
  <si>
    <t>DCOff</t>
  </si>
  <si>
    <t>DLNormal</t>
  </si>
  <si>
    <t>DCtW</t>
  </si>
  <si>
    <t>MDEF</t>
  </si>
  <si>
    <t>Mnor</t>
  </si>
  <si>
    <t>IHL</t>
  </si>
  <si>
    <t>EXTDEF</t>
  </si>
  <si>
    <t>EXTOF</t>
  </si>
  <si>
    <t>EHM</t>
  </si>
  <si>
    <t>DD</t>
  </si>
  <si>
    <t>Años</t>
  </si>
  <si>
    <t>FechaCompra</t>
  </si>
  <si>
    <t>FOR</t>
  </si>
  <si>
    <t>BPI_A</t>
  </si>
  <si>
    <t>BPI_D</t>
  </si>
  <si>
    <t>BPMin</t>
  </si>
  <si>
    <t>BPMax</t>
  </si>
  <si>
    <t>DEFLAT</t>
  </si>
  <si>
    <t>DEFCEN</t>
  </si>
  <si>
    <t>ATLAT</t>
  </si>
  <si>
    <t>ATCEN</t>
  </si>
  <si>
    <t>Zona</t>
  </si>
  <si>
    <t>Def Central</t>
  </si>
  <si>
    <t>Def Lat</t>
  </si>
  <si>
    <t>Medio</t>
  </si>
  <si>
    <t>At Lateral</t>
  </si>
  <si>
    <t>At Central</t>
  </si>
  <si>
    <t>F.Actu</t>
  </si>
  <si>
    <t>R16,6%</t>
  </si>
  <si>
    <t>ChL</t>
  </si>
  <si>
    <t>WBN</t>
  </si>
  <si>
    <t>EXN</t>
  </si>
  <si>
    <t>Dhl</t>
  </si>
  <si>
    <t>DhL</t>
  </si>
  <si>
    <t>LID</t>
  </si>
  <si>
    <t>Precio</t>
  </si>
  <si>
    <t>V_36</t>
  </si>
  <si>
    <t>V_34</t>
  </si>
  <si>
    <t>V_32</t>
  </si>
  <si>
    <t>Coste_36</t>
  </si>
  <si>
    <t>Coste_34</t>
  </si>
  <si>
    <t>Coste_32</t>
  </si>
  <si>
    <t>C_T36</t>
  </si>
  <si>
    <t>C_T34</t>
  </si>
  <si>
    <t>C_T32</t>
  </si>
  <si>
    <t>EPOR</t>
  </si>
  <si>
    <t>EDEF</t>
  </si>
  <si>
    <t>EPAS</t>
  </si>
  <si>
    <t>EBP</t>
  </si>
  <si>
    <t>Francisco Granados</t>
  </si>
  <si>
    <t>Pablo Soto</t>
  </si>
  <si>
    <t>Nazir Zaydi</t>
  </si>
  <si>
    <t>Roman Makiela</t>
  </si>
  <si>
    <t>Juan Castaño</t>
  </si>
  <si>
    <t>Gonzalo Ayza</t>
  </si>
  <si>
    <t>Joan Josep Carull</t>
  </si>
  <si>
    <t>Alejandro Ayelo</t>
  </si>
  <si>
    <t>Ignacio Alemparte Gallardo</t>
  </si>
  <si>
    <t>Abdelhakim Temsamani</t>
  </si>
  <si>
    <t>imp</t>
  </si>
  <si>
    <t>Rodolfo Rinaldo Paso</t>
  </si>
  <si>
    <t>Stansilaw Zdankiewicz</t>
  </si>
  <si>
    <t>Thea F.C.</t>
  </si>
  <si>
    <t>Papuchis CF</t>
  </si>
  <si>
    <t>White Shark Team</t>
  </si>
  <si>
    <t>27_juni_2000</t>
  </si>
  <si>
    <t>tikitaca</t>
  </si>
  <si>
    <t>Racmio F.C.</t>
  </si>
  <si>
    <t>Polgas Coin</t>
  </si>
  <si>
    <t>C.I.D. Tigers</t>
  </si>
  <si>
    <t>ventura c.f.</t>
  </si>
  <si>
    <t>LECH Poznan</t>
  </si>
  <si>
    <t>Yarca Athletic</t>
  </si>
  <si>
    <t>shalke_temeto</t>
  </si>
  <si>
    <t>Buchs FC</t>
  </si>
  <si>
    <t>Los de castellon</t>
  </si>
  <si>
    <t>Cordura Bajo Cero</t>
  </si>
  <si>
    <t>Enxebre FC</t>
  </si>
  <si>
    <t>Lluisos de Gràcia</t>
  </si>
  <si>
    <t>Lirio de Oña</t>
  </si>
  <si>
    <t>Menorca Horses</t>
  </si>
  <si>
    <t>RRDG F.C.</t>
  </si>
  <si>
    <t>AKELARRE U.D.</t>
  </si>
  <si>
    <t>Granota UE</t>
  </si>
  <si>
    <t>GrimReapers</t>
  </si>
  <si>
    <t>Rayo Txamberi</t>
  </si>
  <si>
    <t>Xtra's</t>
  </si>
  <si>
    <t>REALUSIA</t>
  </si>
  <si>
    <t>Mañariako taldea</t>
  </si>
  <si>
    <t>ronkis78 FC</t>
  </si>
  <si>
    <t>Sporting Rukkel F.C.</t>
  </si>
  <si>
    <t>Amics del futbol</t>
  </si>
  <si>
    <t>TJ Zitenice</t>
  </si>
  <si>
    <t>AKELARRE U.D</t>
  </si>
  <si>
    <t>martina titus cinta fc</t>
  </si>
  <si>
    <t>Atlético Uzumaki</t>
  </si>
  <si>
    <t>Fc kickers ZH</t>
  </si>
  <si>
    <t>Brattforce</t>
  </si>
  <si>
    <t>El Dorado F.C</t>
  </si>
  <si>
    <t>iSoccer</t>
  </si>
  <si>
    <t>TIGRII FURIOSI</t>
  </si>
  <si>
    <t>Royal lions 2</t>
  </si>
  <si>
    <t>Sant Andreu</t>
  </si>
  <si>
    <t>FC Myth</t>
  </si>
  <si>
    <t>Brocklers</t>
  </si>
  <si>
    <t>FC HV 1964</t>
  </si>
  <si>
    <t>SALSEPAREILLE</t>
  </si>
  <si>
    <t>Divine Overconfidence</t>
  </si>
  <si>
    <t>Os Marcos do Nordeste</t>
  </si>
  <si>
    <t>Lazio Princes Town</t>
  </si>
  <si>
    <t>SS Scappati di Casa</t>
  </si>
  <si>
    <t>FC Glasscherbenviertel</t>
  </si>
  <si>
    <t>Blues Nord</t>
  </si>
  <si>
    <t>Juventus de kudus</t>
  </si>
  <si>
    <t>Clerks II</t>
  </si>
  <si>
    <t>Meraj Siddiqui</t>
  </si>
  <si>
    <t>PIRA TEAM</t>
  </si>
  <si>
    <t>C.D. Badajoz</t>
  </si>
  <si>
    <t>C.F. Establiments</t>
  </si>
  <si>
    <t>Lucentum!!!!!</t>
  </si>
  <si>
    <t>C.E. Badalona S.A.D.</t>
  </si>
  <si>
    <t>CSIII</t>
  </si>
  <si>
    <t>FC Aversi</t>
  </si>
  <si>
    <t>Bayern de Sants</t>
  </si>
  <si>
    <t>abrams</t>
  </si>
  <si>
    <t>Estel Roig Genovès</t>
  </si>
  <si>
    <t>Cosecha Roja</t>
  </si>
  <si>
    <t>AVG Hostafrancs</t>
  </si>
  <si>
    <t>FC Virrei Amat</t>
  </si>
  <si>
    <t>Som-hi un altre cop!!</t>
  </si>
  <si>
    <t>La gabarra a pique</t>
  </si>
  <si>
    <t>Birreri Sabadell</t>
  </si>
  <si>
    <t>coco's tema</t>
  </si>
  <si>
    <t>Monkey 47</t>
  </si>
  <si>
    <t>Treskitos Team</t>
  </si>
  <si>
    <t>AS Nano CF</t>
  </si>
  <si>
    <t>Inedit CF</t>
  </si>
  <si>
    <t>SE Europa</t>
  </si>
  <si>
    <t>Sinsen Racing Club</t>
  </si>
  <si>
    <t>Real Mollet</t>
  </si>
  <si>
    <t>Reservas</t>
  </si>
  <si>
    <t>Tipo</t>
  </si>
  <si>
    <t>Entrenable</t>
  </si>
  <si>
    <t>Lenadro Faias</t>
  </si>
  <si>
    <t>Roxelio Reborado</t>
  </si>
  <si>
    <t>Ruben Drexler</t>
  </si>
  <si>
    <t>Yadin Hajdu</t>
  </si>
  <si>
    <t>Bartłomiej Benka</t>
  </si>
  <si>
    <t>Nicolás Galaz</t>
  </si>
  <si>
    <t>Roxelio Reboredo</t>
  </si>
  <si>
    <t>Leandro Faias</t>
  </si>
  <si>
    <t>Miguel Fernandez</t>
  </si>
  <si>
    <t>Julian Grabitz</t>
  </si>
  <si>
    <t>RESERVA Inicial</t>
  </si>
  <si>
    <t>RESERVA Final</t>
  </si>
  <si>
    <t>Inversión</t>
  </si>
  <si>
    <t>Amortización</t>
  </si>
  <si>
    <t>Fonteboa</t>
  </si>
  <si>
    <t>PrecioContable</t>
  </si>
  <si>
    <t>Pedrajas</t>
  </si>
  <si>
    <t>Duffill</t>
  </si>
  <si>
    <t>Abandero</t>
  </si>
  <si>
    <t>Gomis</t>
  </si>
  <si>
    <t>Grabitz</t>
  </si>
  <si>
    <t>Oset</t>
  </si>
  <si>
    <t>Cubas</t>
  </si>
  <si>
    <t>Añigas</t>
  </si>
  <si>
    <t>El Halcon</t>
  </si>
  <si>
    <t>Peñuela</t>
  </si>
  <si>
    <t>Galaz</t>
  </si>
  <si>
    <t>Figueroa</t>
  </si>
  <si>
    <t>Reboredo</t>
  </si>
  <si>
    <t>Siddiqui</t>
  </si>
  <si>
    <t>Faias</t>
  </si>
  <si>
    <t>Hornet</t>
  </si>
  <si>
    <t>PrecioComp</t>
  </si>
  <si>
    <t>Amortizacion</t>
  </si>
  <si>
    <t>Reservas de la Junta</t>
  </si>
  <si>
    <t>Inicial</t>
  </si>
  <si>
    <t>Final</t>
  </si>
  <si>
    <t>Valor de Compra</t>
  </si>
  <si>
    <t>Venta Jugadores</t>
  </si>
  <si>
    <t>Compra Jugadores</t>
  </si>
  <si>
    <t>Ingreso a Reservas</t>
  </si>
  <si>
    <t>Pago a Reservas</t>
  </si>
  <si>
    <t>ByP Acumulado</t>
  </si>
  <si>
    <t>Mantenimieto</t>
  </si>
  <si>
    <t>Ultima Actu</t>
  </si>
  <si>
    <t>AmortizaciónT66</t>
  </si>
  <si>
    <t>III.12</t>
  </si>
  <si>
    <t>A.D.C. Valadouro</t>
  </si>
  <si>
    <t>Primera (2)</t>
  </si>
  <si>
    <t>31(71)</t>
  </si>
  <si>
    <t>Notable - Neu - Acep</t>
  </si>
  <si>
    <t>253 - 352</t>
  </si>
  <si>
    <t>Estela Reynolds Fan Club</t>
  </si>
  <si>
    <t>Barbecho</t>
  </si>
  <si>
    <t>Kalañita Team</t>
  </si>
  <si>
    <t>Euskadi</t>
  </si>
  <si>
    <t>III (3)</t>
  </si>
  <si>
    <t>27(61)</t>
  </si>
  <si>
    <t>KIMESBE</t>
  </si>
  <si>
    <t>II (2)</t>
  </si>
  <si>
    <t>32(16)</t>
  </si>
  <si>
    <t>Notable - Neu - Deb</t>
  </si>
  <si>
    <t>Club Atlético Gaditano</t>
  </si>
  <si>
    <t>IV (3)</t>
  </si>
  <si>
    <t>Notable - Def - Acep</t>
  </si>
  <si>
    <t>TL</t>
  </si>
  <si>
    <t>Son Rapinya</t>
  </si>
  <si>
    <t>Baleares</t>
  </si>
  <si>
    <t>III (10)</t>
  </si>
  <si>
    <t>27(50)</t>
  </si>
  <si>
    <t>Notable - Neu - Insuf</t>
  </si>
  <si>
    <t>F.C. COMANCHEROS</t>
  </si>
  <si>
    <t>Barcelona</t>
  </si>
  <si>
    <t>III (2)</t>
  </si>
  <si>
    <t>33 (9)</t>
  </si>
  <si>
    <t>28(53)</t>
  </si>
  <si>
    <t>Excelent - Neutro - Insuf</t>
  </si>
  <si>
    <t>27(58)</t>
  </si>
  <si>
    <t>Yoann Defaye</t>
  </si>
  <si>
    <t>Erik-Jan Oude Middendorp</t>
  </si>
  <si>
    <t>Kahidu Gerel</t>
  </si>
  <si>
    <t>Roberto Diprizio</t>
  </si>
  <si>
    <t>Miguel López Castro</t>
  </si>
  <si>
    <t>Nivel</t>
  </si>
  <si>
    <t>-</t>
  </si>
  <si>
    <t>Victor Massós</t>
  </si>
  <si>
    <t>Javier del Pino García</t>
  </si>
  <si>
    <t>Chulio Cabrio</t>
  </si>
  <si>
    <t>Adolfo Velasco</t>
  </si>
  <si>
    <t>4</t>
  </si>
  <si>
    <t>Ignacio Mínguez</t>
  </si>
  <si>
    <t>Guillermo Checa Rubio</t>
  </si>
  <si>
    <t>Roberto Serrano Lázaro</t>
  </si>
  <si>
    <t>5</t>
  </si>
  <si>
    <t>Manuel Brizuela</t>
  </si>
  <si>
    <t>Carlos Carnicero</t>
  </si>
  <si>
    <t>Miguel Angulo</t>
  </si>
  <si>
    <t>Adán Vidal Ramírez</t>
  </si>
  <si>
    <t>Gabriel de la Maza</t>
  </si>
  <si>
    <t>Samih Bouanani</t>
  </si>
  <si>
    <t>ByP</t>
  </si>
  <si>
    <t>PrecioContableFinal</t>
  </si>
  <si>
    <t>AmortizaciónT65</t>
  </si>
  <si>
    <t>Fernando Navarrete</t>
  </si>
  <si>
    <t>Urriti</t>
  </si>
  <si>
    <t>Valor Contable Inicial</t>
  </si>
  <si>
    <t>Valor Contable Final</t>
  </si>
  <si>
    <t>Caja Inicial</t>
  </si>
  <si>
    <t>Caja</t>
  </si>
  <si>
    <t>Caja Final</t>
  </si>
  <si>
    <t>Venta Canteranos</t>
  </si>
  <si>
    <t>ByP Canteranos</t>
  </si>
  <si>
    <t>ByP Compra-Venta</t>
  </si>
  <si>
    <t>Victor Diaz</t>
  </si>
  <si>
    <t>ByP Temporada 78</t>
  </si>
  <si>
    <t>Actico Corriente</t>
  </si>
  <si>
    <t>Pasivo Corriente</t>
  </si>
  <si>
    <t>Raimundo Platas</t>
  </si>
  <si>
    <t xml:space="preserve">1. Rodolfo Rinaldo Paso </t>
  </si>
  <si>
    <t>x</t>
  </si>
  <si>
    <t xml:space="preserve">2. Nicolás Galaz </t>
  </si>
  <si>
    <t xml:space="preserve">3. Julian Gräbitz </t>
  </si>
  <si>
    <t xml:space="preserve">4. Berto Abandero </t>
  </si>
  <si>
    <t xml:space="preserve">5. Enrique Cubas </t>
  </si>
  <si>
    <t xml:space="preserve">6. Valeri Gomis </t>
  </si>
  <si>
    <t xml:space="preserve">7. Wil Duffill </t>
  </si>
  <si>
    <t xml:space="preserve">8. Juan García Peñuela </t>
  </si>
  <si>
    <t xml:space="preserve">9. Meraj Siddiqui </t>
  </si>
  <si>
    <t xml:space="preserve">10. Leandro Faias </t>
  </si>
  <si>
    <t xml:space="preserve">11. Francesc Añigas </t>
  </si>
  <si>
    <t xml:space="preserve">12. Cosme Fonteboa </t>
  </si>
  <si>
    <t xml:space="preserve">2. Renato Galeano </t>
  </si>
  <si>
    <t xml:space="preserve">3. Enrique Cubas </t>
  </si>
  <si>
    <t xml:space="preserve">4. Julian Gräbitz </t>
  </si>
  <si>
    <t xml:space="preserve">5. Nicolás Galaz </t>
  </si>
  <si>
    <t xml:space="preserve">6. Wil Duffill </t>
  </si>
  <si>
    <t xml:space="preserve">7. Francesc Añigas </t>
  </si>
  <si>
    <t xml:space="preserve">8. Meraj Siddiqui </t>
  </si>
  <si>
    <t xml:space="preserve">9. Juan García Peñuela </t>
  </si>
  <si>
    <t xml:space="preserve">10. Venanci Oset </t>
  </si>
  <si>
    <t xml:space="preserve">11. Leandro Faias </t>
  </si>
  <si>
    <t xml:space="preserve">12. Berto Abandero </t>
  </si>
  <si>
    <t xml:space="preserve">13. Guillermo Pedrajas </t>
  </si>
  <si>
    <t xml:space="preserve">14. Valeri Gomis </t>
  </si>
  <si>
    <t xml:space="preserve">15. Iván Real Figueroa </t>
  </si>
  <si>
    <t xml:space="preserve">16. Cosme Fonteboa </t>
  </si>
  <si>
    <t xml:space="preserve">1. Enrique Cubas </t>
  </si>
  <si>
    <t xml:space="preserve">2. Wil Duffill </t>
  </si>
  <si>
    <t xml:space="preserve">3. Meraj Siddiqui </t>
  </si>
  <si>
    <t xml:space="preserve">4. Rodolfo Rinaldo Paso </t>
  </si>
  <si>
    <t xml:space="preserve">5. Julian Gräbitz </t>
  </si>
  <si>
    <t xml:space="preserve">6. Juan García Peñuela </t>
  </si>
  <si>
    <t xml:space="preserve">7. Guillermo Pedrajas </t>
  </si>
  <si>
    <t xml:space="preserve">8. Venanci Oset </t>
  </si>
  <si>
    <t xml:space="preserve">9. Renato Galeano </t>
  </si>
  <si>
    <t xml:space="preserve">10. Valeri Gomis </t>
  </si>
  <si>
    <t xml:space="preserve">11. Iván Real Figueroa </t>
  </si>
  <si>
    <t xml:space="preserve">12. Francesc Añigas </t>
  </si>
  <si>
    <t xml:space="preserve">13. Leandro Faias </t>
  </si>
  <si>
    <t xml:space="preserve">14. Berto Abandero </t>
  </si>
  <si>
    <t xml:space="preserve">15. Miguel Fernández </t>
  </si>
  <si>
    <t xml:space="preserve">2. Tommaso Niscola </t>
  </si>
  <si>
    <t xml:space="preserve">3. Wil Duffill </t>
  </si>
  <si>
    <t xml:space="preserve">4. Renato Galeano </t>
  </si>
  <si>
    <t xml:space="preserve">6. Enrique Cubas </t>
  </si>
  <si>
    <t xml:space="preserve">9. Miguel Fernández </t>
  </si>
  <si>
    <t xml:space="preserve">10. Iván Real Figueroa </t>
  </si>
  <si>
    <t xml:space="preserve">11. Venanci Oset </t>
  </si>
  <si>
    <t xml:space="preserve">12. Valeri Gomis </t>
  </si>
  <si>
    <t xml:space="preserve">13. Ryan Clarke </t>
  </si>
  <si>
    <t xml:space="preserve">15. Guillermo Pedrajas </t>
  </si>
  <si>
    <t xml:space="preserve">4. Juan García Peñuela </t>
  </si>
  <si>
    <t xml:space="preserve">5. Guillermo Pedrajas </t>
  </si>
  <si>
    <t xml:space="preserve">7. Stanislaw Zdankiewicz </t>
  </si>
  <si>
    <t xml:space="preserve">8. Tommaso Niscola </t>
  </si>
  <si>
    <t xml:space="preserve">9. Julian Gräbitz </t>
  </si>
  <si>
    <t xml:space="preserve">10. Francesc Añigas </t>
  </si>
  <si>
    <t xml:space="preserve">11. Berto Abandero </t>
  </si>
  <si>
    <t xml:space="preserve">12. David Garcia-Spiess </t>
  </si>
  <si>
    <t xml:space="preserve">13. Iván Real Figueroa </t>
  </si>
  <si>
    <t xml:space="preserve">14. Venanci Oset </t>
  </si>
  <si>
    <t xml:space="preserve">2. Leo Hilpinen </t>
  </si>
  <si>
    <t xml:space="preserve">3. Tommaso Niscola </t>
  </si>
  <si>
    <t xml:space="preserve">4. Wil Duffill </t>
  </si>
  <si>
    <t xml:space="preserve">5. Francesc Añigas </t>
  </si>
  <si>
    <t xml:space="preserve">6. Stanislaw Zdankiewicz </t>
  </si>
  <si>
    <t xml:space="preserve">7. Julian Gräbitz </t>
  </si>
  <si>
    <t xml:space="preserve">9. Berto Abandero </t>
  </si>
  <si>
    <t xml:space="preserve">11. Miguel Fernández </t>
  </si>
  <si>
    <t xml:space="preserve">14. Iván Real Figueroa </t>
  </si>
  <si>
    <t xml:space="preserve">1. Leo Hilpinen </t>
  </si>
  <si>
    <t xml:space="preserve">2. David Garcia-Spiess </t>
  </si>
  <si>
    <t xml:space="preserve">5. Valeri Gomis </t>
  </si>
  <si>
    <t xml:space="preserve">8. Stanislaw Zdankiewicz </t>
  </si>
  <si>
    <t xml:space="preserve">9. Emilio Rojas </t>
  </si>
  <si>
    <t xml:space="preserve">10. Berto Abandero </t>
  </si>
  <si>
    <t xml:space="preserve">11. Fabien Fabre </t>
  </si>
  <si>
    <t xml:space="preserve">12. Venanci Oset </t>
  </si>
  <si>
    <t xml:space="preserve">14. Miklós Gábriel </t>
  </si>
  <si>
    <t xml:space="preserve">15. Fernando Gazón </t>
  </si>
  <si>
    <t xml:space="preserve">16. Guillermo Pedrajas </t>
  </si>
  <si>
    <t xml:space="preserve">17. Cosme Fonteboa </t>
  </si>
  <si>
    <t xml:space="preserve">1. David Garcia-Spiess </t>
  </si>
  <si>
    <t xml:space="preserve">2. Francesc Añigas </t>
  </si>
  <si>
    <t xml:space="preserve">3. Miklós Gábriel </t>
  </si>
  <si>
    <t xml:space="preserve">5. Juan García Peñuela </t>
  </si>
  <si>
    <t xml:space="preserve">6. Guillermo Pedrajas </t>
  </si>
  <si>
    <t xml:space="preserve">7. Enrique Cubas </t>
  </si>
  <si>
    <t xml:space="preserve">8. Emilio Rojas </t>
  </si>
  <si>
    <t xml:space="preserve">9. Cornel Caraba </t>
  </si>
  <si>
    <t xml:space="preserve">12. Iván Real Figueroa </t>
  </si>
  <si>
    <t xml:space="preserve">13. Miguel Fernández </t>
  </si>
  <si>
    <t xml:space="preserve">1. Emilio Rojas </t>
  </si>
  <si>
    <t xml:space="preserve">2. Enrique Cubas </t>
  </si>
  <si>
    <t xml:space="preserve">6. Berto Abandero </t>
  </si>
  <si>
    <t xml:space="preserve">7. Fabien Fabre </t>
  </si>
  <si>
    <t xml:space="preserve">8. Valeri Gomis </t>
  </si>
  <si>
    <t xml:space="preserve">9. Wil Duffill </t>
  </si>
  <si>
    <t xml:space="preserve">10. Jurgen Muësen </t>
  </si>
  <si>
    <t xml:space="preserve">13. Cornel Caraba </t>
  </si>
  <si>
    <t xml:space="preserve">3. Roberto Abenoza </t>
  </si>
  <si>
    <t xml:space="preserve">5. Mauro Vaz </t>
  </si>
  <si>
    <t xml:space="preserve">6. Fernando Gazón </t>
  </si>
  <si>
    <t xml:space="preserve">7. Eckardt Hägerling </t>
  </si>
  <si>
    <t xml:space="preserve">8. Berto Abandero </t>
  </si>
  <si>
    <t xml:space="preserve">9. Raúl Riquelme </t>
  </si>
  <si>
    <t xml:space="preserve">10. Roberto Montero </t>
  </si>
  <si>
    <t xml:space="preserve">11. Seran Aranguren </t>
  </si>
  <si>
    <t xml:space="preserve">12. Wil Duffill </t>
  </si>
  <si>
    <t xml:space="preserve">13. Xofre Taín </t>
  </si>
  <si>
    <t xml:space="preserve">1. Wil Duffill </t>
  </si>
  <si>
    <t xml:space="preserve">2. Juan García Peñuela </t>
  </si>
  <si>
    <t xml:space="preserve">4. Roberto Abenoza </t>
  </si>
  <si>
    <t xml:space="preserve">5. Raúl Riquelme </t>
  </si>
  <si>
    <t xml:space="preserve">7. Manuel Parejo </t>
  </si>
  <si>
    <t xml:space="preserve">8. Xofre Taín </t>
  </si>
  <si>
    <t xml:space="preserve">9. Mauro Vaz </t>
  </si>
  <si>
    <t xml:space="preserve">10. Eckardt Hägerling </t>
  </si>
  <si>
    <t xml:space="preserve">11. Roberto Montero </t>
  </si>
  <si>
    <t xml:space="preserve">2. Roberto Abenoza </t>
  </si>
  <si>
    <t xml:space="preserve">3. Raúl Riquelme </t>
  </si>
  <si>
    <t xml:space="preserve">4. Valeri Gomis </t>
  </si>
  <si>
    <t xml:space="preserve">5. Casildo Abraldes </t>
  </si>
  <si>
    <t xml:space="preserve">6. Juan Gabriel de Minaya </t>
  </si>
  <si>
    <t xml:space="preserve">7. Juan García Peñuela </t>
  </si>
  <si>
    <t xml:space="preserve">8. Manuel Parejo </t>
  </si>
  <si>
    <t xml:space="preserve">9. Mateusz Brzostowski </t>
  </si>
  <si>
    <t xml:space="preserve">10. Morgan Thomas </t>
  </si>
  <si>
    <t xml:space="preserve">11. Rasheed Da'na </t>
  </si>
  <si>
    <t xml:space="preserve">12. Eckardt Hägerling </t>
  </si>
  <si>
    <t xml:space="preserve">13. Fernando Gazón </t>
  </si>
  <si>
    <t xml:space="preserve">14. Francesc Añigas </t>
  </si>
  <si>
    <t xml:space="preserve">15. Roberto Montero </t>
  </si>
  <si>
    <t xml:space="preserve">1. Saúl Piña </t>
  </si>
  <si>
    <t xml:space="preserve">2. Gianfranco Rezza </t>
  </si>
  <si>
    <t xml:space="preserve">3. Rasheed Da'na </t>
  </si>
  <si>
    <t xml:space="preserve">4. Iyad Chaabo </t>
  </si>
  <si>
    <t xml:space="preserve">5. Ibiur Altxakoa </t>
  </si>
  <si>
    <t xml:space="preserve">6. Jorge Walter Whitaker </t>
  </si>
  <si>
    <t xml:space="preserve">7. Adam Moss </t>
  </si>
  <si>
    <t xml:space="preserve">8. Csaba Mezo </t>
  </si>
  <si>
    <t xml:space="preserve">9. Morgan Thomas </t>
  </si>
  <si>
    <t xml:space="preserve">10. Cezary Pauch </t>
  </si>
  <si>
    <t xml:space="preserve">11. Emilio Mochelato </t>
  </si>
  <si>
    <t xml:space="preserve">12. Andrea Califano </t>
  </si>
  <si>
    <t xml:space="preserve">13. Mario Omarini </t>
  </si>
  <si>
    <t xml:space="preserve">14. Mateusz Brzostowski </t>
  </si>
  <si>
    <t xml:space="preserve">2. Adam Moss </t>
  </si>
  <si>
    <t xml:space="preserve">3. Mario Omarini </t>
  </si>
  <si>
    <t xml:space="preserve">4. Gianfranco Rezza </t>
  </si>
  <si>
    <t xml:space="preserve">5. Rasheed Da'na </t>
  </si>
  <si>
    <t xml:space="preserve">6. Ibiur Altxakoa </t>
  </si>
  <si>
    <t xml:space="preserve">7. Andrea Califano </t>
  </si>
  <si>
    <t xml:space="preserve">8. Morgan Thomas </t>
  </si>
  <si>
    <t xml:space="preserve">9. Pepijn Zwaan </t>
  </si>
  <si>
    <t xml:space="preserve">10. Jorge Walter Whitaker </t>
  </si>
  <si>
    <t xml:space="preserve">11. Boleslaw Starzomski </t>
  </si>
  <si>
    <t xml:space="preserve">12. Csaba Mezo </t>
  </si>
  <si>
    <t xml:space="preserve">13. Emilio Mochelato </t>
  </si>
  <si>
    <t xml:space="preserve">1. Adam Moss </t>
  </si>
  <si>
    <t xml:space="preserve">2. Saúl Piña </t>
  </si>
  <si>
    <t xml:space="preserve">4. Pepijn Zwaan </t>
  </si>
  <si>
    <t xml:space="preserve">5. Gianfranco Rezza </t>
  </si>
  <si>
    <t xml:space="preserve">6. Boleslaw Starzomski </t>
  </si>
  <si>
    <t xml:space="preserve">7. Patrick Werner </t>
  </si>
  <si>
    <t xml:space="preserve">8. Ibiur Altxakoa </t>
  </si>
  <si>
    <t xml:space="preserve">9. Leonardo Baltico </t>
  </si>
  <si>
    <t xml:space="preserve">10. Gregor Freischläger </t>
  </si>
  <si>
    <t xml:space="preserve">11. Morgan Thomas </t>
  </si>
  <si>
    <t xml:space="preserve">12. Emilio Mochelato </t>
  </si>
  <si>
    <t xml:space="preserve">13. Raffaele Sitter </t>
  </si>
  <si>
    <t xml:space="preserve">14. Sansão Trindade Oliveira </t>
  </si>
  <si>
    <t xml:space="preserve">15. Csaba Mezo </t>
  </si>
  <si>
    <t xml:space="preserve">2. Rasheed Da'na </t>
  </si>
  <si>
    <t xml:space="preserve">3. Gianfranco Rezza </t>
  </si>
  <si>
    <t xml:space="preserve">4. Leonardo Baltico </t>
  </si>
  <si>
    <t xml:space="preserve">5. Adam Moss </t>
  </si>
  <si>
    <t xml:space="preserve">6. Pepijn Zwaan </t>
  </si>
  <si>
    <t xml:space="preserve">7. Andrin Bärtsch </t>
  </si>
  <si>
    <t xml:space="preserve">8. Gregor Freischläger </t>
  </si>
  <si>
    <t xml:space="preserve">9. Raffaele Sitter </t>
  </si>
  <si>
    <t xml:space="preserve">10. Antoine Dupré </t>
  </si>
  <si>
    <t xml:space="preserve">11. Patrick Werner </t>
  </si>
  <si>
    <t xml:space="preserve">12. Arnold Kalckstein </t>
  </si>
  <si>
    <t xml:space="preserve">13. Christophe Reinhart </t>
  </si>
  <si>
    <t xml:space="preserve">1. Leonardo Baltico </t>
  </si>
  <si>
    <t xml:space="preserve">2. Kendor Nagiturri </t>
  </si>
  <si>
    <t xml:space="preserve">3. Adam Moss </t>
  </si>
  <si>
    <t xml:space="preserve">6. Saúl Piña </t>
  </si>
  <si>
    <t xml:space="preserve">8. Arnold Kalckstein </t>
  </si>
  <si>
    <t xml:space="preserve">9. Feliciano Becerril </t>
  </si>
  <si>
    <t xml:space="preserve">11. Aleksi Alarotu </t>
  </si>
  <si>
    <t xml:space="preserve">12. Christophe Reinhart </t>
  </si>
  <si>
    <t xml:space="preserve">13. Horacy Dzienis </t>
  </si>
  <si>
    <t xml:space="preserve">14. Raffaele Sitter </t>
  </si>
  <si>
    <t xml:space="preserve">3. Andrin Bärtsch </t>
  </si>
  <si>
    <t xml:space="preserve">4. Rasheed Da'na </t>
  </si>
  <si>
    <t xml:space="preserve">6. Kendor Nagiturri </t>
  </si>
  <si>
    <t xml:space="preserve">7. Arjo Olthuis </t>
  </si>
  <si>
    <t xml:space="preserve">8. Fernando Juárez Sierra </t>
  </si>
  <si>
    <t xml:space="preserve">9. Arnold Kalckstein </t>
  </si>
  <si>
    <t xml:space="preserve">10. Károly Serfel </t>
  </si>
  <si>
    <t xml:space="preserve">11. Adolfo Vitulli </t>
  </si>
  <si>
    <t xml:space="preserve">12. Raffaele Sitter </t>
  </si>
  <si>
    <t xml:space="preserve">14. Gianfranco Rezza </t>
  </si>
  <si>
    <t xml:space="preserve">15. Hjalte Egede </t>
  </si>
  <si>
    <t xml:space="preserve">16. Horacy Dzienis </t>
  </si>
  <si>
    <t xml:space="preserve">4. Gongotzon Ialdebere </t>
  </si>
  <si>
    <t xml:space="preserve">5. Horacy Dzienis </t>
  </si>
  <si>
    <t xml:space="preserve">6. Torsten Kortenhof </t>
  </si>
  <si>
    <t xml:space="preserve">7. Wicher Ossedrijver </t>
  </si>
  <si>
    <t xml:space="preserve">8. Martin Herber </t>
  </si>
  <si>
    <t xml:space="preserve">9. Adam Moss </t>
  </si>
  <si>
    <t xml:space="preserve">10. Saúl Piña </t>
  </si>
  <si>
    <t xml:space="preserve">12. Károly Serfel </t>
  </si>
  <si>
    <t xml:space="preserve">13. Arjo Olthuis </t>
  </si>
  <si>
    <t xml:space="preserve">14. Lech Sipinski </t>
  </si>
  <si>
    <t xml:space="preserve">15. Tristan Voet </t>
  </si>
  <si>
    <t xml:space="preserve">16. Martijn Collinet </t>
  </si>
  <si>
    <t xml:space="preserve">17. Fernando Juárez Sierra </t>
  </si>
  <si>
    <t xml:space="preserve">1. Ilari Santasalmi </t>
  </si>
  <si>
    <t xml:space="preserve">2. Joãozinho do Mato </t>
  </si>
  <si>
    <t xml:space="preserve">3. Leonardo Baltico </t>
  </si>
  <si>
    <t xml:space="preserve">4. Pere Beltran </t>
  </si>
  <si>
    <t xml:space="preserve">5. Zbyšek Hamrozi </t>
  </si>
  <si>
    <t xml:space="preserve">6. Nikolas Lakkotripi </t>
  </si>
  <si>
    <t xml:space="preserve">7. Alexander Pahl </t>
  </si>
  <si>
    <t xml:space="preserve">8. Andrin Bärtsch </t>
  </si>
  <si>
    <t xml:space="preserve">9. Jos Pittoors </t>
  </si>
  <si>
    <t xml:space="preserve">10. Lars Pouilliers </t>
  </si>
  <si>
    <t xml:space="preserve">1. Nikolas Lakkotripi </t>
  </si>
  <si>
    <t xml:space="preserve">2. Andrin Bärtsch </t>
  </si>
  <si>
    <t xml:space="preserve">3. Cornel Boicea </t>
  </si>
  <si>
    <t xml:space="preserve">4. Aimar Lasalde </t>
  </si>
  <si>
    <t xml:space="preserve">5. Joãozinho do Mato </t>
  </si>
  <si>
    <t xml:space="preserve">6. Pasqual Vilar </t>
  </si>
  <si>
    <t xml:space="preserve">7. Lars Pouilliers </t>
  </si>
  <si>
    <t xml:space="preserve">8. Ricardo Esquerdo </t>
  </si>
  <si>
    <t xml:space="preserve">9. Ilari Santasalmi </t>
  </si>
  <si>
    <t xml:space="preserve">10. ? (Ho) ?? (Minwei) </t>
  </si>
  <si>
    <t xml:space="preserve">11. Leonardo Baltico </t>
  </si>
  <si>
    <t xml:space="preserve">12. Ludwik Mojescik </t>
  </si>
  <si>
    <t xml:space="preserve">13. Pere Beltran </t>
  </si>
  <si>
    <t xml:space="preserve">14. Stefano Spanu </t>
  </si>
  <si>
    <t xml:space="preserve">15. Jos Pittoors </t>
  </si>
  <si>
    <t xml:space="preserve">16. Adamantios Fikias </t>
  </si>
  <si>
    <t xml:space="preserve">17. Dimitris Prokos </t>
  </si>
  <si>
    <t xml:space="preserve">18. Dolf Fohringer </t>
  </si>
  <si>
    <t xml:space="preserve">1. Joãozinho do Mato </t>
  </si>
  <si>
    <t xml:space="preserve">2. Cornel Boicea </t>
  </si>
  <si>
    <t xml:space="preserve">3. Jos Pittoors </t>
  </si>
  <si>
    <t xml:space="preserve">4. Nikolas Lakkotripi </t>
  </si>
  <si>
    <t xml:space="preserve">5. Aimar Lasalde </t>
  </si>
  <si>
    <t xml:space="preserve">6. Roelant Bierman </t>
  </si>
  <si>
    <t xml:space="preserve">7. Giulio Procaccianti </t>
  </si>
  <si>
    <t xml:space="preserve">9. Pere Beltran </t>
  </si>
  <si>
    <t xml:space="preserve">10. Andrin Bärtsch </t>
  </si>
  <si>
    <t xml:space="preserve">11. Lars Pouilliers </t>
  </si>
  <si>
    <t xml:space="preserve">12. Dolf Fohringer </t>
  </si>
  <si>
    <t xml:space="preserve">13. Gino van Hoesel </t>
  </si>
  <si>
    <t xml:space="preserve">14. Ragip Övgü </t>
  </si>
  <si>
    <t xml:space="preserve">15. Pasqual Vilar </t>
  </si>
  <si>
    <t xml:space="preserve">16. Ludwik Mojescik </t>
  </si>
  <si>
    <t xml:space="preserve">17. Nicolai Stentoft </t>
  </si>
  <si>
    <t xml:space="preserve">18. Stefano Spanu </t>
  </si>
  <si>
    <t xml:space="preserve">1. Roelant Bierman </t>
  </si>
  <si>
    <t xml:space="preserve">2. Nicolau Caraduxe </t>
  </si>
  <si>
    <t xml:space="preserve">3. Brunon Chuda </t>
  </si>
  <si>
    <t xml:space="preserve">4. Ludwik Mojescik </t>
  </si>
  <si>
    <t xml:space="preserve">5. Gino van Hoesel </t>
  </si>
  <si>
    <t xml:space="preserve">6. Aimar Lasalde </t>
  </si>
  <si>
    <t xml:space="preserve">7. Pasqual Vilar </t>
  </si>
  <si>
    <t xml:space="preserve">8. Ragip Övgü </t>
  </si>
  <si>
    <t xml:space="preserve">9. Giulio Procaccianti </t>
  </si>
  <si>
    <t xml:space="preserve">10. Nicolai Stentoft </t>
  </si>
  <si>
    <t xml:space="preserve">11. Adamantios Fikias </t>
  </si>
  <si>
    <t xml:space="preserve">12. Jos Pittoors </t>
  </si>
  <si>
    <t xml:space="preserve">13. Nikolay Gerasimenko </t>
  </si>
  <si>
    <t xml:space="preserve">14. Ricardo Esquerdo </t>
  </si>
  <si>
    <t xml:space="preserve">15. Pere Beltran </t>
  </si>
  <si>
    <t xml:space="preserve">16. Joãozinho do Mato </t>
  </si>
  <si>
    <t xml:space="preserve">17. Catalin Corobea </t>
  </si>
  <si>
    <t xml:space="preserve">1. Brunon Chuda </t>
  </si>
  <si>
    <t xml:space="preserve">2. Adamantios Fikias </t>
  </si>
  <si>
    <t xml:space="preserve">3. John Chung </t>
  </si>
  <si>
    <t xml:space="preserve">4. Nikolay Gerasimenko </t>
  </si>
  <si>
    <t xml:space="preserve">5. Pere Beltran </t>
  </si>
  <si>
    <t xml:space="preserve">6. Ludwik Mojescik </t>
  </si>
  <si>
    <t xml:space="preserve">7. Tomasz Artymiuk </t>
  </si>
  <si>
    <t xml:space="preserve">8. Roelant Bierman </t>
  </si>
  <si>
    <t xml:space="preserve">9. Aimar Lasalde </t>
  </si>
  <si>
    <t xml:space="preserve">10. Erik Lemming </t>
  </si>
  <si>
    <t xml:space="preserve">11. Honesto Cousa </t>
  </si>
  <si>
    <t xml:space="preserve">12. Gino van Hoesel </t>
  </si>
  <si>
    <t xml:space="preserve">13. Jos Pittoors </t>
  </si>
  <si>
    <t xml:space="preserve">16. José Luis Valdés Saavedra </t>
  </si>
  <si>
    <t xml:space="preserve">17. Morgan Gomes </t>
  </si>
  <si>
    <t xml:space="preserve">18. Nicolau Caraduxe </t>
  </si>
  <si>
    <t xml:space="preserve">19. Fere Pulido </t>
  </si>
  <si>
    <t xml:space="preserve">20. David Knuff </t>
  </si>
  <si>
    <t xml:space="preserve">21. Enis Kalan </t>
  </si>
  <si>
    <t xml:space="preserve">1. Erik Lemming </t>
  </si>
  <si>
    <t xml:space="preserve">2. John Chung </t>
  </si>
  <si>
    <t xml:space="preserve">3. Nikolay Gerasimenko </t>
  </si>
  <si>
    <t xml:space="preserve">4. Ragip Övgü </t>
  </si>
  <si>
    <t xml:space="preserve">5. Fere Pulido </t>
  </si>
  <si>
    <t xml:space="preserve">6. Brunon Chuda </t>
  </si>
  <si>
    <t xml:space="preserve">7. Honesto Cousa </t>
  </si>
  <si>
    <t xml:space="preserve">8. Felipe Andrés Massarelli </t>
  </si>
  <si>
    <t xml:space="preserve">9. Enis Kalan </t>
  </si>
  <si>
    <t xml:space="preserve">10. Adamantios Fikias </t>
  </si>
  <si>
    <t xml:space="preserve">11. Pere Beltran </t>
  </si>
  <si>
    <t xml:space="preserve">13. Pasqual Vilar </t>
  </si>
  <si>
    <t xml:space="preserve">14. Vincent Gautsch </t>
  </si>
  <si>
    <t xml:space="preserve">15. Andrea Chiu </t>
  </si>
  <si>
    <t xml:space="preserve">16. Andrija Miškovic </t>
  </si>
  <si>
    <t xml:space="preserve">1. Malte Neulinger </t>
  </si>
  <si>
    <t xml:space="preserve">2. Brunon Chuda </t>
  </si>
  <si>
    <t xml:space="preserve">4. Relf Härteis </t>
  </si>
  <si>
    <t xml:space="preserve">5. David Erbiti </t>
  </si>
  <si>
    <t xml:space="preserve">6. David Knuff </t>
  </si>
  <si>
    <t xml:space="preserve">7. Vincent Gautsch </t>
  </si>
  <si>
    <t xml:space="preserve">8. Carlos Ipinza </t>
  </si>
  <si>
    <t xml:space="preserve">9. Adamantios Fikias </t>
  </si>
  <si>
    <t xml:space="preserve">10. Andrija Miškovic </t>
  </si>
  <si>
    <t xml:space="preserve">11. Barnabás Borsányi </t>
  </si>
  <si>
    <t xml:space="preserve">12. Tomasz Artymiuk </t>
  </si>
  <si>
    <t xml:space="preserve">13. Fere Pulido </t>
  </si>
  <si>
    <t xml:space="preserve">2. Pere Beltran </t>
  </si>
  <si>
    <t xml:space="preserve">5. Nikolay Gerasimenko </t>
  </si>
  <si>
    <t xml:space="preserve">6. Gastone Cianelli </t>
  </si>
  <si>
    <t xml:space="preserve">7. Iacob Sarpe </t>
  </si>
  <si>
    <t xml:space="preserve">8. Co Wolbers </t>
  </si>
  <si>
    <t xml:space="preserve">9. David Erbiti </t>
  </si>
  <si>
    <t xml:space="preserve">10. Fabien Goncalves </t>
  </si>
  <si>
    <t xml:space="preserve">11. Romain Grière </t>
  </si>
  <si>
    <t xml:space="preserve">12. Steve Mckinnon </t>
  </si>
  <si>
    <t xml:space="preserve">13. Pau Redondo </t>
  </si>
  <si>
    <t xml:space="preserve">14. Ellák Deák </t>
  </si>
  <si>
    <t xml:space="preserve">15. Carlos Ipinza </t>
  </si>
  <si>
    <t xml:space="preserve">17. Andres Kalvet </t>
  </si>
  <si>
    <t xml:space="preserve">2. Co Wolbers </t>
  </si>
  <si>
    <t xml:space="preserve">3. Adamantios Fikias </t>
  </si>
  <si>
    <t xml:space="preserve">4. Ellák Deák </t>
  </si>
  <si>
    <t xml:space="preserve">5. Ernst Lammers </t>
  </si>
  <si>
    <t xml:space="preserve">6. Romain Grière </t>
  </si>
  <si>
    <t xml:space="preserve">7. Michele Giampieri </t>
  </si>
  <si>
    <t xml:space="preserve">8. Pau Redondo </t>
  </si>
  <si>
    <t xml:space="preserve">9. Ulf Schenkel </t>
  </si>
  <si>
    <t xml:space="preserve">10. Jacobo Ferrueros </t>
  </si>
  <si>
    <t xml:space="preserve">11. Uday Adeeb </t>
  </si>
  <si>
    <t xml:space="preserve">12. David Knuff </t>
  </si>
  <si>
    <t xml:space="preserve">13. Aamos Vara </t>
  </si>
  <si>
    <t xml:space="preserve">14. Pere Beltran </t>
  </si>
  <si>
    <t xml:space="preserve">15. Francesc Giró </t>
  </si>
  <si>
    <t xml:space="preserve">16. Gastone Cianelli </t>
  </si>
  <si>
    <t xml:space="preserve">17. Iacob Sarpe </t>
  </si>
  <si>
    <t xml:space="preserve">18. Carlos Ipinza </t>
  </si>
  <si>
    <t xml:space="preserve">19. Christophe Méjean </t>
  </si>
  <si>
    <t xml:space="preserve">20. David Erbiti </t>
  </si>
  <si>
    <t xml:space="preserve">1. Pere Beltran </t>
  </si>
  <si>
    <t xml:space="preserve">2. Alex Txantre </t>
  </si>
  <si>
    <t xml:space="preserve">3. Co Wolbers </t>
  </si>
  <si>
    <t xml:space="preserve">5. Michele Giampieri </t>
  </si>
  <si>
    <t xml:space="preserve">6. Malte Neulinger </t>
  </si>
  <si>
    <t xml:space="preserve">7. Markus Currie </t>
  </si>
  <si>
    <t xml:space="preserve">8. Iuliu Pana </t>
  </si>
  <si>
    <t xml:space="preserve">9. Dan Veneau </t>
  </si>
  <si>
    <t xml:space="preserve">10. Clifford Smallwood </t>
  </si>
  <si>
    <t xml:space="preserve">11. Aureliusz Staszczuk </t>
  </si>
  <si>
    <t xml:space="preserve">12. Igli Volpicelli </t>
  </si>
  <si>
    <t xml:space="preserve">13. Matteo Omacini </t>
  </si>
  <si>
    <t xml:space="preserve">14. Sascha Gilch </t>
  </si>
  <si>
    <t xml:space="preserve">15. Uday Adeeb </t>
  </si>
  <si>
    <t xml:space="preserve">16. Ulf Schenkel </t>
  </si>
  <si>
    <t xml:space="preserve">17. Zsolt Novák </t>
  </si>
  <si>
    <t xml:space="preserve">18. Pau Redondo </t>
  </si>
  <si>
    <t xml:space="preserve">19. Jacobo Ferrueros </t>
  </si>
  <si>
    <t xml:space="preserve">20. Jan Jessen </t>
  </si>
  <si>
    <t xml:space="preserve">21. José Manuel Carneiro </t>
  </si>
  <si>
    <t xml:space="preserve">22. Ludvig Andreasson </t>
  </si>
  <si>
    <t xml:space="preserve">23. Luigi Tripodo </t>
  </si>
  <si>
    <t xml:space="preserve">24. Christophe Méjean </t>
  </si>
  <si>
    <t xml:space="preserve">25. Aamos Vara </t>
  </si>
  <si>
    <t xml:space="preserve">1. Augustin Demaison </t>
  </si>
  <si>
    <t xml:space="preserve">3. Sejo Sáenz Marín </t>
  </si>
  <si>
    <t xml:space="preserve">4. Zeno Baets </t>
  </si>
  <si>
    <t xml:space="preserve">5. Iuliu Pana </t>
  </si>
  <si>
    <t xml:space="preserve">6. Krzysztof Buras </t>
  </si>
  <si>
    <t xml:space="preserve">7. Aureliusz Staszczuk </t>
  </si>
  <si>
    <t xml:space="preserve">8. Christophe Méjean </t>
  </si>
  <si>
    <t xml:space="preserve">9. Manolo Negrín </t>
  </si>
  <si>
    <t xml:space="preserve">10. Markus Currie </t>
  </si>
  <si>
    <t xml:space="preserve">11. Percy Alfredsson </t>
  </si>
  <si>
    <t xml:space="preserve">12. Massimiliano Jula </t>
  </si>
  <si>
    <t xml:space="preserve">14. Melcior Calmet </t>
  </si>
  <si>
    <t xml:space="preserve">15. Zsolt Novák </t>
  </si>
  <si>
    <t xml:space="preserve">16. Dan Veneau </t>
  </si>
  <si>
    <t xml:space="preserve">17. Ellák Deák </t>
  </si>
  <si>
    <t xml:space="preserve">18. Finlay MacGrory </t>
  </si>
  <si>
    <t xml:space="preserve">19. Gawel Nanowski </t>
  </si>
  <si>
    <t xml:space="preserve">20. Harald Georg Berchthold </t>
  </si>
  <si>
    <t xml:space="preserve">1. Melcior Calmet </t>
  </si>
  <si>
    <t xml:space="preserve">2. Manolo Negrín </t>
  </si>
  <si>
    <t xml:space="preserve">3. Harald Georg Berchthold </t>
  </si>
  <si>
    <t xml:space="preserve">4. Jörg Londorf </t>
  </si>
  <si>
    <t xml:space="preserve">5. Richey Cowper </t>
  </si>
  <si>
    <t xml:space="preserve">6. David Berkenbosch </t>
  </si>
  <si>
    <t xml:space="preserve">7. ? (Pan) ?? (Yuandong) </t>
  </si>
  <si>
    <t xml:space="preserve">8. Tijl van Hamburg </t>
  </si>
  <si>
    <t xml:space="preserve">9. Udo Mier </t>
  </si>
  <si>
    <t xml:space="preserve">10. Ofek Azuri </t>
  </si>
  <si>
    <t xml:space="preserve">11. Karl Edwin </t>
  </si>
  <si>
    <t xml:space="preserve">12. Lauri Piminäinen </t>
  </si>
  <si>
    <t xml:space="preserve">13. Jacobo Ferrueros </t>
  </si>
  <si>
    <t xml:space="preserve">14. Arkadiusz Dembek </t>
  </si>
  <si>
    <t xml:space="preserve">15. Dan Lindgren </t>
  </si>
  <si>
    <t xml:space="preserve">16. Ludovic Gygax </t>
  </si>
  <si>
    <t xml:space="preserve">17. Krzysztof Buras </t>
  </si>
  <si>
    <t xml:space="preserve">18. Marcin Lulewicz </t>
  </si>
  <si>
    <t xml:space="preserve">1. Manolo Negrín </t>
  </si>
  <si>
    <t xml:space="preserve">2. Melcior Calmet </t>
  </si>
  <si>
    <t xml:space="preserve">3. Damiano Clementi </t>
  </si>
  <si>
    <t xml:space="preserve">4. Petru Pena </t>
  </si>
  <si>
    <t xml:space="preserve">5. Pablo Gil Fano </t>
  </si>
  <si>
    <t xml:space="preserve">6. Christophe Bodin </t>
  </si>
  <si>
    <t xml:space="preserve">7. Alfonso Londoño </t>
  </si>
  <si>
    <t xml:space="preserve">8. Gregorio Manrique </t>
  </si>
  <si>
    <t xml:space="preserve">9. Gustaw Bugajski </t>
  </si>
  <si>
    <t xml:space="preserve">10. Olli Rambow </t>
  </si>
  <si>
    <t xml:space="preserve">11. Martin Kilev </t>
  </si>
  <si>
    <t xml:space="preserve">12. Pieter Pelleboer </t>
  </si>
  <si>
    <t xml:space="preserve">13. ? (Pan) ?? (Yuandong) </t>
  </si>
  <si>
    <t xml:space="preserve">1. Martin Kilev </t>
  </si>
  <si>
    <t xml:space="preserve">2. Mattia Sambri </t>
  </si>
  <si>
    <t xml:space="preserve">3. Pablo Gil Fano </t>
  </si>
  <si>
    <t xml:space="preserve">4. Hansjürg Devier </t>
  </si>
  <si>
    <t xml:space="preserve">5. Aiurdi Azpileta </t>
  </si>
  <si>
    <t xml:space="preserve">6. Domenic Janjic </t>
  </si>
  <si>
    <t xml:space="preserve">7. Jaime Ocón </t>
  </si>
  <si>
    <t xml:space="preserve">8. José Rubianes </t>
  </si>
  <si>
    <t xml:space="preserve">9. Karst van Gils </t>
  </si>
  <si>
    <t xml:space="preserve">10. Manolo Negrín </t>
  </si>
  <si>
    <t xml:space="preserve">11. Serapio Castrelos </t>
  </si>
  <si>
    <t>Actual</t>
  </si>
  <si>
    <t>Goles</t>
  </si>
  <si>
    <t>Temp</t>
  </si>
  <si>
    <t>Jugador_mal</t>
  </si>
  <si>
    <t>(en blanco)</t>
  </si>
  <si>
    <t>Suma de Goles</t>
  </si>
  <si>
    <t xml:space="preserve">Enrique Cubas </t>
  </si>
  <si>
    <t xml:space="preserve">Saúl Piña </t>
  </si>
  <si>
    <t xml:space="preserve">Wil Duffill </t>
  </si>
  <si>
    <t xml:space="preserve">Rasheed Da'na </t>
  </si>
  <si>
    <t xml:space="preserve">Adam Moss </t>
  </si>
  <si>
    <t xml:space="preserve">Leonardo Baltico </t>
  </si>
  <si>
    <t xml:space="preserve">Rodolfo Rinaldo Paso </t>
  </si>
  <si>
    <t xml:space="preserve">Andrin Bärtsch </t>
  </si>
  <si>
    <t xml:space="preserve">Juan García Peñuela </t>
  </si>
  <si>
    <t xml:space="preserve">Gianfranco Rezza </t>
  </si>
  <si>
    <t xml:space="preserve">Francesc Añigas </t>
  </si>
  <si>
    <t xml:space="preserve">Pere Beltran </t>
  </si>
  <si>
    <t xml:space="preserve">Brunon Chuda </t>
  </si>
  <si>
    <t xml:space="preserve">Valeri Gomis </t>
  </si>
  <si>
    <t xml:space="preserve">Kendor Nagiturri </t>
  </si>
  <si>
    <t xml:space="preserve">Malte Neulinger </t>
  </si>
  <si>
    <t xml:space="preserve">Julian Gräbitz </t>
  </si>
  <si>
    <t xml:space="preserve">Joãozinho do Mato </t>
  </si>
  <si>
    <t xml:space="preserve">Nikolay Gerasimenko </t>
  </si>
  <si>
    <t xml:space="preserve">Aimar Lasalde </t>
  </si>
  <si>
    <t xml:space="preserve">Leo Hilpinen </t>
  </si>
  <si>
    <t xml:space="preserve">David Garcia-Spiess </t>
  </si>
  <si>
    <t xml:space="preserve">Guillermo Pedrajas </t>
  </si>
  <si>
    <t xml:space="preserve">Nikolas Lakkotripi </t>
  </si>
  <si>
    <t xml:space="preserve">Tommaso Niscola </t>
  </si>
  <si>
    <t xml:space="preserve">Roelant Bierman </t>
  </si>
  <si>
    <t xml:space="preserve">Adamantios Fikias </t>
  </si>
  <si>
    <t xml:space="preserve">Ludwik Mojescik </t>
  </si>
  <si>
    <t xml:space="preserve">Renato Galeano </t>
  </si>
  <si>
    <t xml:space="preserve">Cornel Boicea </t>
  </si>
  <si>
    <t xml:space="preserve">Meraj Siddiqui </t>
  </si>
  <si>
    <t xml:space="preserve">Pepijn Zwaan </t>
  </si>
  <si>
    <t xml:space="preserve">Berto Abandero </t>
  </si>
  <si>
    <t xml:space="preserve">Pasqual Vilar </t>
  </si>
  <si>
    <t xml:space="preserve">Jos Pittoors </t>
  </si>
  <si>
    <t xml:space="preserve">Emilio Rojas </t>
  </si>
  <si>
    <t xml:space="preserve">Manolo Negrín </t>
  </si>
  <si>
    <t xml:space="preserve">Melcior Calmet </t>
  </si>
  <si>
    <t xml:space="preserve">Ragip Övgü </t>
  </si>
  <si>
    <t xml:space="preserve">Co Wolbers </t>
  </si>
  <si>
    <t xml:space="preserve">John Chung </t>
  </si>
  <si>
    <t xml:space="preserve">Arnold Kalckstein </t>
  </si>
  <si>
    <t xml:space="preserve">Iván Real Figueroa </t>
  </si>
  <si>
    <t xml:space="preserve">Venanci Oset </t>
  </si>
  <si>
    <t xml:space="preserve">Ibiur Altxakoa </t>
  </si>
  <si>
    <t xml:space="preserve">Ellák Deák </t>
  </si>
  <si>
    <t xml:space="preserve">Gregor Freischläger </t>
  </si>
  <si>
    <t xml:space="preserve">Roberto Abenoza </t>
  </si>
  <si>
    <t xml:space="preserve">Stanislaw Zdankiewicz </t>
  </si>
  <si>
    <t xml:space="preserve">Miklós Gábriel </t>
  </si>
  <si>
    <t xml:space="preserve">Raffaele Sitter </t>
  </si>
  <si>
    <t xml:space="preserve">Gino van Hoesel </t>
  </si>
  <si>
    <t xml:space="preserve">Ricardo Esquerdo </t>
  </si>
  <si>
    <t xml:space="preserve">Horacy Dzienis </t>
  </si>
  <si>
    <t xml:space="preserve">Erik Lemming </t>
  </si>
  <si>
    <t xml:space="preserve">Nicolau Caraduxe </t>
  </si>
  <si>
    <t xml:space="preserve">Lars Pouilliers </t>
  </si>
  <si>
    <t xml:space="preserve">Antoine Dupré </t>
  </si>
  <si>
    <t xml:space="preserve">Nicolás Galaz </t>
  </si>
  <si>
    <t xml:space="preserve">Morgan Thomas </t>
  </si>
  <si>
    <t xml:space="preserve">Michele Giampieri </t>
  </si>
  <si>
    <t xml:space="preserve">Arjo Olthuis </t>
  </si>
  <si>
    <t xml:space="preserve">Giulio Procaccianti </t>
  </si>
  <si>
    <t xml:space="preserve">Patrick Werner </t>
  </si>
  <si>
    <t xml:space="preserve">Augustin Demaison </t>
  </si>
  <si>
    <t xml:space="preserve">Miguel Fernández </t>
  </si>
  <si>
    <t xml:space="preserve">Mario Omarini </t>
  </si>
  <si>
    <t xml:space="preserve">Feliciano Becerril </t>
  </si>
  <si>
    <t xml:space="preserve">Relf Härteis </t>
  </si>
  <si>
    <t xml:space="preserve">Fere Pulido </t>
  </si>
  <si>
    <t xml:space="preserve">Gongotzon Ialdebere </t>
  </si>
  <si>
    <t xml:space="preserve">Markus Currie </t>
  </si>
  <si>
    <t xml:space="preserve">Leandro Faias </t>
  </si>
  <si>
    <t xml:space="preserve">Iuliu Pana </t>
  </si>
  <si>
    <t xml:space="preserve">Károly Serfel </t>
  </si>
  <si>
    <t xml:space="preserve">Martin Kilev </t>
  </si>
  <si>
    <t xml:space="preserve">Alex Txantre </t>
  </si>
  <si>
    <t xml:space="preserve">Iyad Chaabo </t>
  </si>
  <si>
    <t xml:space="preserve">Fernando Gazón </t>
  </si>
  <si>
    <t xml:space="preserve">Jorge Walter Whitaker </t>
  </si>
  <si>
    <t xml:space="preserve">Torsten Kortenhof </t>
  </si>
  <si>
    <t xml:space="preserve">Boleslaw Starzomski </t>
  </si>
  <si>
    <t xml:space="preserve">Raúl Riquelme </t>
  </si>
  <si>
    <t xml:space="preserve">David Knuff </t>
  </si>
  <si>
    <t xml:space="preserve">Nicolai Stentoft </t>
  </si>
  <si>
    <t xml:space="preserve">Fabien Fabre </t>
  </si>
  <si>
    <t xml:space="preserve">Christophe Reinhart </t>
  </si>
  <si>
    <t xml:space="preserve">Honesto Cousa </t>
  </si>
  <si>
    <t xml:space="preserve">Wicher Ossedrijver </t>
  </si>
  <si>
    <t xml:space="preserve">David Erbiti </t>
  </si>
  <si>
    <t xml:space="preserve">Romain Grière </t>
  </si>
  <si>
    <t xml:space="preserve">Pablo Gil Fano </t>
  </si>
  <si>
    <t xml:space="preserve">Tomasz Artymiuk </t>
  </si>
  <si>
    <t xml:space="preserve">Ilari Santasalmi </t>
  </si>
  <si>
    <t xml:space="preserve">Martin Herber </t>
  </si>
  <si>
    <t xml:space="preserve">Aureliusz Staszczuk </t>
  </si>
  <si>
    <t xml:space="preserve">Csaba Mezo </t>
  </si>
  <si>
    <t xml:space="preserve">Jacobo Ferrueros </t>
  </si>
  <si>
    <t xml:space="preserve">Cornel Caraba </t>
  </si>
  <si>
    <t xml:space="preserve">Harald Georg Berchthold </t>
  </si>
  <si>
    <t xml:space="preserve">Aleksi Alarotu </t>
  </si>
  <si>
    <t xml:space="preserve">Ulf Schenkel </t>
  </si>
  <si>
    <t xml:space="preserve">Andrea Califano </t>
  </si>
  <si>
    <t xml:space="preserve">Fernando Juárez Sierra </t>
  </si>
  <si>
    <t xml:space="preserve">Pau Redondo </t>
  </si>
  <si>
    <t xml:space="preserve">Christophe Méjean </t>
  </si>
  <si>
    <t xml:space="preserve">Sejo Sáenz Marín </t>
  </si>
  <si>
    <t xml:space="preserve">Dolf Fohringer </t>
  </si>
  <si>
    <t xml:space="preserve">Mattia Sambri </t>
  </si>
  <si>
    <t xml:space="preserve">Uday Adeeb </t>
  </si>
  <si>
    <t xml:space="preserve">Jörg Londorf </t>
  </si>
  <si>
    <t xml:space="preserve">Eckardt Hägerling </t>
  </si>
  <si>
    <t xml:space="preserve">? (Pan) ?? (Yuandong) </t>
  </si>
  <si>
    <t xml:space="preserve">Dan Veneau </t>
  </si>
  <si>
    <t xml:space="preserve">Krzysztof Buras </t>
  </si>
  <si>
    <t xml:space="preserve">Gastone Cianelli </t>
  </si>
  <si>
    <t xml:space="preserve">Ernst Lammers </t>
  </si>
  <si>
    <t xml:space="preserve">Hansjürg Devier </t>
  </si>
  <si>
    <t xml:space="preserve">Emilio Mochelato </t>
  </si>
  <si>
    <t xml:space="preserve">Carlos Ipinza </t>
  </si>
  <si>
    <t xml:space="preserve">Richey Cowper </t>
  </si>
  <si>
    <t xml:space="preserve">Aiurdi Azpileta </t>
  </si>
  <si>
    <t xml:space="preserve">Tristan Voet </t>
  </si>
  <si>
    <t xml:space="preserve">Roberto Montero </t>
  </si>
  <si>
    <t xml:space="preserve">Mauro Vaz </t>
  </si>
  <si>
    <t xml:space="preserve">Iacob Sarpe </t>
  </si>
  <si>
    <t xml:space="preserve">? (Ho) ?? (Minwei) </t>
  </si>
  <si>
    <t xml:space="preserve">Cosme Fonteboa </t>
  </si>
  <si>
    <t xml:space="preserve">Zeno Baets </t>
  </si>
  <si>
    <t xml:space="preserve">Clifford Smallwood </t>
  </si>
  <si>
    <t xml:space="preserve">Stefano Spanu </t>
  </si>
  <si>
    <t xml:space="preserve">Matteo Omacini </t>
  </si>
  <si>
    <t xml:space="preserve">Vincent Gautsch </t>
  </si>
  <si>
    <t xml:space="preserve">Enis Kalan </t>
  </si>
  <si>
    <t xml:space="preserve">David Berkenbosch </t>
  </si>
  <si>
    <t xml:space="preserve">Damiano Clementi </t>
  </si>
  <si>
    <t xml:space="preserve">Manuel Parejo </t>
  </si>
  <si>
    <t xml:space="preserve">Xofre Taín </t>
  </si>
  <si>
    <t xml:space="preserve">Lech Sipinski </t>
  </si>
  <si>
    <t xml:space="preserve">Petru Pena </t>
  </si>
  <si>
    <t xml:space="preserve">Domenic Janjic </t>
  </si>
  <si>
    <t xml:space="preserve">Martijn Collinet </t>
  </si>
  <si>
    <t xml:space="preserve">Karl Edwin </t>
  </si>
  <si>
    <t xml:space="preserve">Igli Volpicelli </t>
  </si>
  <si>
    <t xml:space="preserve">Christophe Bodin </t>
  </si>
  <si>
    <t xml:space="preserve">Udo Mier </t>
  </si>
  <si>
    <t xml:space="preserve">Ofek Azuri </t>
  </si>
  <si>
    <t xml:space="preserve">Lauri Piminäinen </t>
  </si>
  <si>
    <t xml:space="preserve">José Rubianes </t>
  </si>
  <si>
    <t xml:space="preserve">Percy Alfredsson </t>
  </si>
  <si>
    <t xml:space="preserve">Mateusz Brzostowski </t>
  </si>
  <si>
    <t xml:space="preserve">Andrija Miškovic </t>
  </si>
  <si>
    <t xml:space="preserve">Zsolt Novák </t>
  </si>
  <si>
    <t xml:space="preserve">Casildo Abraldes </t>
  </si>
  <si>
    <t xml:space="preserve">Juan Gabriel de Minaya </t>
  </si>
  <si>
    <t xml:space="preserve">Sansão Trindade Oliveira </t>
  </si>
  <si>
    <t xml:space="preserve">Jaime Ocón </t>
  </si>
  <si>
    <t xml:space="preserve">Sascha Gilch </t>
  </si>
  <si>
    <t xml:space="preserve">Felipe Andrés Massarelli </t>
  </si>
  <si>
    <t xml:space="preserve">Jurgen Muësen </t>
  </si>
  <si>
    <t xml:space="preserve">Tijl van Hamburg </t>
  </si>
  <si>
    <t xml:space="preserve">Aamos Vara </t>
  </si>
  <si>
    <t xml:space="preserve">Karst van Gils </t>
  </si>
  <si>
    <t xml:space="preserve">Fabien Goncalves </t>
  </si>
  <si>
    <t xml:space="preserve">Cezary Pauch </t>
  </si>
  <si>
    <t xml:space="preserve">Arkadiusz Dembek </t>
  </si>
  <si>
    <t xml:space="preserve">Marcin Lulewicz </t>
  </si>
  <si>
    <t xml:space="preserve">Gregorio Manrique </t>
  </si>
  <si>
    <t xml:space="preserve">Massimiliano Jula </t>
  </si>
  <si>
    <t xml:space="preserve">Barnabás Borsányi </t>
  </si>
  <si>
    <t xml:space="preserve">Serapio Castrelos </t>
  </si>
  <si>
    <t xml:space="preserve">Dimitris Prokos </t>
  </si>
  <si>
    <t xml:space="preserve">Alfonso Londoño </t>
  </si>
  <si>
    <t xml:space="preserve">José Luis Valdés Saavedra </t>
  </si>
  <si>
    <t xml:space="preserve">Francesc Giró </t>
  </si>
  <si>
    <t xml:space="preserve">Ludovic Gygax </t>
  </si>
  <si>
    <t xml:space="preserve">Hjalte Egede </t>
  </si>
  <si>
    <t xml:space="preserve">Steve Mckinnon </t>
  </si>
  <si>
    <t xml:space="preserve">Olli Rambow </t>
  </si>
  <si>
    <t xml:space="preserve">Jan Jessen </t>
  </si>
  <si>
    <t xml:space="preserve">Alexander Pahl </t>
  </si>
  <si>
    <t xml:space="preserve">Morgan Gomes </t>
  </si>
  <si>
    <t xml:space="preserve">Dan Lindgren </t>
  </si>
  <si>
    <t xml:space="preserve">José Manuel Carneiro </t>
  </si>
  <si>
    <t xml:space="preserve">Adolfo Vitulli </t>
  </si>
  <si>
    <t xml:space="preserve">Zbyšek Hamrozi </t>
  </si>
  <si>
    <t xml:space="preserve">Gawel Nanowski </t>
  </si>
  <si>
    <t xml:space="preserve">Ludvig Andreasson </t>
  </si>
  <si>
    <t xml:space="preserve">Pieter Pelleboer </t>
  </si>
  <si>
    <t xml:space="preserve">Luigi Tripodo </t>
  </si>
  <si>
    <t xml:space="preserve">Seran Aranguren </t>
  </si>
  <si>
    <t xml:space="preserve">Finlay MacGrory </t>
  </si>
  <si>
    <t xml:space="preserve">Gustaw Bugajski </t>
  </si>
  <si>
    <t xml:space="preserve">Ryan Clarke </t>
  </si>
  <si>
    <t xml:space="preserve">Andres Kalvet </t>
  </si>
  <si>
    <t xml:space="preserve">Catalin Corobea </t>
  </si>
  <si>
    <t xml:space="preserve">Andrea Chiu </t>
  </si>
  <si>
    <t>J</t>
  </si>
  <si>
    <t>480 HTS</t>
  </si>
  <si>
    <t>morrisoncf - Vader</t>
  </si>
  <si>
    <t>Data Inici Fites</t>
  </si>
  <si>
    <t>Data Actualitzacio</t>
  </si>
  <si>
    <t>Repte</t>
  </si>
  <si>
    <t>Descripció</t>
  </si>
  <si>
    <t>Nivell</t>
  </si>
  <si>
    <t>Minim</t>
  </si>
  <si>
    <t>Entrada denegada</t>
  </si>
  <si>
    <t>Es tracta d'aconseguir un cert nombre de partits sense rebre cap gol. S'obté un major nivell com més partits s'aconsegueixin.</t>
  </si>
  <si>
    <t>Operación especial</t>
  </si>
  <si>
    <t>Guanyat algun partit havent marcat només gols d'esdeveniment especial.</t>
  </si>
  <si>
    <t>El retorn dels cavallers</t>
  </si>
  <si>
    <t>L'aconsegueixen els equips que perden de varis gols i remunten el partit. Com major sigui la remuntada, més nivell de fita.</t>
  </si>
  <si>
    <t>Lesions</t>
  </si>
  <si>
    <t>El teu equip ha de tenir un dia terrible amb les lesions. Aquesta fita és un premi de consolació.</t>
  </si>
  <si>
    <t xml:space="preserve">El laboratori del futbol </t>
  </si>
  <si>
    <t>Guanyar almenys un partit de lliga amb cada un dels 10 sistemes tàctics. Es té en compte el sistema d'inici.</t>
  </si>
  <si>
    <t>3-5-2</t>
  </si>
  <si>
    <t>5-3-2</t>
  </si>
  <si>
    <t>Nguyễn Thanh Bền</t>
  </si>
  <si>
    <t>Stefan Marrer</t>
  </si>
  <si>
    <t>Elmar Kolberg</t>
  </si>
  <si>
    <t>Paolo Raynaud</t>
  </si>
  <si>
    <t>Leon Toft</t>
  </si>
  <si>
    <t>Dave Michieka</t>
  </si>
  <si>
    <t>Jeremy Pecho</t>
  </si>
  <si>
    <t>刘 (Liu) 兴超 (Xingchao)</t>
  </si>
  <si>
    <t>#18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</si>
</sst>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.0"/>
    <numFmt numFmtId="166" formatCode="_-* #,##0\ _€_-;\-* #,##0\ _€_-;_-* &quot;-&quot;??\ _€_-;_-@_-"/>
    <numFmt numFmtId="167" formatCode="_-* #,##0.0\ _€_-;\-* #,##0.0\ _€_-;_-* &quot;-&quot;??\ _€_-;_-@_-"/>
    <numFmt numFmtId="168" formatCode="0.000"/>
    <numFmt numFmtId="169" formatCode="_-* #,##0\ &quot;€&quot;_-;\-* #,##0\ &quot;€&quot;_-;_-* &quot;-&quot;??\ &quot;€&quot;_-;_-@_-"/>
    <numFmt numFmtId="170" formatCode="0.0%"/>
    <numFmt numFmtId="171" formatCode="_-* #,##0.0\ &quot;€&quot;_-;\-* #,##0.0\ &quot;€&quot;_-;_-* &quot;-&quot;??\ &quot;€&quot;_-;_-@_-"/>
    <numFmt numFmtId="172" formatCode="dd/mmm"/>
    <numFmt numFmtId="173" formatCode="_-* #,##0\ [$€-C0A]_-;\-* #,##0\ [$€-C0A]_-;_-* \-??\ [$€-C0A]_-;_-@_-"/>
    <numFmt numFmtId="174" formatCode="_-* #,##0.00\ [$€-C0A]_-;\-* #,##0.00\ [$€-C0A]_-;_-* \-??\ [$€-C0A]_-;_-@_-"/>
    <numFmt numFmtId="175" formatCode="_-* #,##0&quot; €&quot;_-;\-* #,##0&quot; €&quot;_-;_-* \-??&quot; €&quot;_-;_-@_-"/>
    <numFmt numFmtId="176" formatCode="m/d/yyyy"/>
    <numFmt numFmtId="177" formatCode="[$-C0A]d\-mmm\-yy;@"/>
  </numFmts>
  <fonts count="60" x14ac:knownFonts="1">
    <font>
      <sz val="11"/>
      <color rgb="FF000000"/>
      <name val="Calibri"/>
      <family val="2"/>
    </font>
    <font>
      <b/>
      <i/>
      <u/>
      <sz val="8"/>
      <color rgb="FFFFFFFF"/>
      <name val="Verdana"/>
      <family val="2"/>
    </font>
    <font>
      <sz val="8"/>
      <color rgb="FF000000"/>
      <name val="Verdana"/>
      <family val="2"/>
    </font>
    <font>
      <b/>
      <sz val="8"/>
      <color rgb="FFFFFFFF"/>
      <name val="Verdana"/>
      <family val="2"/>
    </font>
    <font>
      <b/>
      <sz val="8"/>
      <color rgb="FF000000"/>
      <name val="Verdana"/>
      <family val="2"/>
    </font>
    <font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8"/>
      <color rgb="FFFF0000"/>
      <name val="Verdana"/>
      <family val="2"/>
    </font>
    <font>
      <b/>
      <sz val="11"/>
      <color rgb="FFFFFFFF"/>
      <name val="Calibri"/>
      <family val="2"/>
    </font>
    <font>
      <b/>
      <sz val="14"/>
      <color rgb="FF000000"/>
      <name val="Calibri"/>
      <family val="2"/>
    </font>
    <font>
      <b/>
      <sz val="14"/>
      <color rgb="FFFF0000"/>
      <name val="Calibri"/>
      <family val="2"/>
    </font>
    <font>
      <b/>
      <sz val="10"/>
      <color rgb="FF000000"/>
      <name val="Calibri"/>
      <family val="2"/>
    </font>
    <font>
      <b/>
      <sz val="10"/>
      <color rgb="FFFF0000"/>
      <name val="Calibri"/>
      <family val="2"/>
    </font>
    <font>
      <b/>
      <i/>
      <u/>
      <sz val="11"/>
      <color rgb="FF000000"/>
      <name val="Calibri"/>
      <family val="2"/>
    </font>
    <font>
      <sz val="16"/>
      <color rgb="FF000000"/>
      <name val="Verdana"/>
      <family val="2"/>
    </font>
    <font>
      <sz val="14"/>
      <color rgb="FF000000"/>
      <name val="Verdana"/>
      <family val="2"/>
    </font>
    <font>
      <sz val="10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rgb="FFFF0000"/>
      <name val="Calibri"/>
      <family val="2"/>
    </font>
    <font>
      <b/>
      <sz val="8"/>
      <color rgb="FFE26B0A"/>
      <name val="Verdana"/>
      <family val="2"/>
    </font>
    <font>
      <i/>
      <sz val="11"/>
      <color rgb="FF000000"/>
      <name val="Calibri"/>
      <family val="2"/>
    </font>
    <font>
      <b/>
      <u/>
      <sz val="11"/>
      <color rgb="FFFFFFFF"/>
      <name val="Arial"/>
      <family val="2"/>
    </font>
    <font>
      <b/>
      <u/>
      <sz val="10"/>
      <color rgb="FFFFFFFF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7.5"/>
      <color rgb="FF000000"/>
      <name val="Arial"/>
      <family val="2"/>
    </font>
    <font>
      <i/>
      <sz val="8"/>
      <color rgb="FF000000"/>
      <name val="Arial"/>
      <family val="2"/>
    </font>
    <font>
      <b/>
      <sz val="16"/>
      <color rgb="FF000000"/>
      <name val="Calibri"/>
      <family val="2"/>
    </font>
    <font>
      <b/>
      <sz val="14"/>
      <color rgb="FFFFFFFF"/>
      <name val="Calibri"/>
      <family val="2"/>
    </font>
    <font>
      <b/>
      <sz val="14"/>
      <color rgb="FF00B050"/>
      <name val="Calibri"/>
      <family val="2"/>
    </font>
    <font>
      <b/>
      <sz val="12"/>
      <color rgb="FF000000"/>
      <name val="Calibri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FFFFFF"/>
      <name val="Verdana"/>
      <family val="2"/>
    </font>
    <font>
      <sz val="11"/>
      <color rgb="FF000000"/>
      <name val="Calibri"/>
      <family val="2"/>
    </font>
    <font>
      <b/>
      <sz val="9"/>
      <name val="Tahoma"/>
      <family val="2"/>
    </font>
    <font>
      <sz val="9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b/>
      <sz val="12"/>
      <color rgb="FF00B050"/>
      <name val="Calibri"/>
      <family val="2"/>
    </font>
    <font>
      <b/>
      <sz val="12"/>
      <color rgb="FFFF0000"/>
      <name val="Calibri"/>
      <family val="2"/>
    </font>
    <font>
      <sz val="16"/>
      <color rgb="FF000000"/>
      <name val="Calibri"/>
      <family val="2"/>
    </font>
    <font>
      <sz val="8"/>
      <name val="Verdana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rgb="FFFFFFFF"/>
      <name val="Arial"/>
      <family val="2"/>
    </font>
    <font>
      <b/>
      <i/>
      <sz val="12"/>
      <color rgb="FF00B050"/>
      <name val="Calibri"/>
      <family val="2"/>
    </font>
    <font>
      <b/>
      <i/>
      <sz val="12"/>
      <color rgb="FFFF0000"/>
      <name val="Calibri"/>
      <family val="2"/>
    </font>
    <font>
      <sz val="11"/>
      <color rgb="FF00B050"/>
      <name val="Calibri"/>
      <family val="2"/>
    </font>
  </fonts>
  <fills count="9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DD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FFFFDD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B1A0C7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DA9694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3E3E3E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AFABAB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6" tint="0.79998168889431442"/>
        <bgColor indexed="64"/>
      </patternFill>
    </fill>
  </fills>
  <borders count="1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5">
    <xf numFmtId="0" fontId="0" fillId="0" borderId="0"/>
    <xf numFmtId="164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44" fontId="43" fillId="0" borderId="0" applyFont="0" applyFill="0" applyBorder="0" applyAlignment="0" applyProtection="0"/>
  </cellStyleXfs>
  <cellXfs count="507">
    <xf numFmtId="0" fontId="0" fillId="0" borderId="0" xfId="0"/>
    <xf numFmtId="164" fontId="0" fillId="0" borderId="0" xfId="1" applyFont="1"/>
    <xf numFmtId="9" fontId="0" fillId="0" borderId="0" xfId="2" applyFont="1"/>
    <xf numFmtId="0" fontId="43" fillId="0" borderId="0" xfId="3"/>
    <xf numFmtId="0" fontId="2" fillId="2" borderId="1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65" fontId="2" fillId="3" borderId="2" xfId="0" applyNumberFormat="1" applyFont="1" applyFill="1" applyBorder="1" applyAlignment="1">
      <alignment horizontal="left" vertical="center"/>
    </xf>
    <xf numFmtId="1" fontId="2" fillId="4" borderId="4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right" vertical="center"/>
    </xf>
    <xf numFmtId="167" fontId="2" fillId="3" borderId="2" xfId="1" applyNumberFormat="1" applyFont="1" applyFill="1" applyBorder="1" applyAlignment="1">
      <alignment horizontal="right" vertical="center"/>
    </xf>
    <xf numFmtId="166" fontId="2" fillId="3" borderId="2" xfId="1" applyNumberFormat="1" applyFont="1" applyFill="1" applyBorder="1" applyAlignment="1">
      <alignment horizontal="right" vertical="center"/>
    </xf>
    <xf numFmtId="0" fontId="3" fillId="5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right" vertical="center"/>
    </xf>
    <xf numFmtId="0" fontId="4" fillId="6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0" fillId="0" borderId="3" xfId="0" applyBorder="1"/>
    <xf numFmtId="165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left" vertical="center"/>
    </xf>
    <xf numFmtId="167" fontId="6" fillId="0" borderId="3" xfId="1" applyNumberFormat="1" applyFont="1" applyBorder="1" applyAlignment="1">
      <alignment horizontal="center"/>
    </xf>
    <xf numFmtId="176" fontId="0" fillId="0" borderId="0" xfId="0" applyNumberFormat="1"/>
    <xf numFmtId="165" fontId="0" fillId="0" borderId="0" xfId="0" applyNumberFormat="1"/>
    <xf numFmtId="1" fontId="0" fillId="0" borderId="0" xfId="0" applyNumberFormat="1"/>
    <xf numFmtId="0" fontId="3" fillId="8" borderId="8" xfId="0" applyFont="1" applyFill="1" applyBorder="1" applyAlignment="1">
      <alignment horizontal="center" vertical="center"/>
    </xf>
    <xf numFmtId="2" fontId="0" fillId="0" borderId="0" xfId="0" applyNumberFormat="1"/>
    <xf numFmtId="166" fontId="7" fillId="9" borderId="9" xfId="1" applyNumberFormat="1" applyFont="1" applyFill="1" applyBorder="1"/>
    <xf numFmtId="165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left" vertical="center"/>
    </xf>
    <xf numFmtId="0" fontId="9" fillId="10" borderId="10" xfId="0" applyFont="1" applyFill="1" applyBorder="1"/>
    <xf numFmtId="0" fontId="9" fillId="11" borderId="11" xfId="0" applyFont="1" applyFill="1" applyBorder="1" applyAlignment="1">
      <alignment horizontal="center"/>
    </xf>
    <xf numFmtId="0" fontId="9" fillId="12" borderId="12" xfId="0" applyFont="1" applyFill="1" applyBorder="1" applyAlignment="1">
      <alignment horizontal="center"/>
    </xf>
    <xf numFmtId="0" fontId="9" fillId="13" borderId="13" xfId="0" applyFont="1" applyFill="1" applyBorder="1"/>
    <xf numFmtId="0" fontId="9" fillId="12" borderId="12" xfId="0" applyFont="1" applyFill="1" applyBorder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9" fillId="14" borderId="14" xfId="0" applyFont="1" applyFill="1" applyBorder="1" applyAlignment="1">
      <alignment horizontal="center"/>
    </xf>
    <xf numFmtId="0" fontId="9" fillId="15" borderId="15" xfId="0" applyFont="1" applyFill="1" applyBorder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166" fontId="0" fillId="0" borderId="0" xfId="0" applyNumberFormat="1"/>
    <xf numFmtId="169" fontId="0" fillId="0" borderId="0" xfId="4" applyNumberFormat="1" applyFont="1"/>
    <xf numFmtId="0" fontId="2" fillId="0" borderId="0" xfId="0" applyFont="1"/>
    <xf numFmtId="0" fontId="10" fillId="16" borderId="16" xfId="0" applyFont="1" applyFill="1" applyBorder="1" applyAlignment="1">
      <alignment horizontal="center"/>
    </xf>
    <xf numFmtId="0" fontId="11" fillId="17" borderId="17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9" fillId="10" borderId="10" xfId="0" applyFont="1" applyFill="1" applyBorder="1" applyAlignment="1">
      <alignment horizontal="center"/>
    </xf>
    <xf numFmtId="168" fontId="12" fillId="0" borderId="3" xfId="0" applyNumberFormat="1" applyFont="1" applyBorder="1" applyAlignment="1">
      <alignment horizontal="center"/>
    </xf>
    <xf numFmtId="168" fontId="13" fillId="18" borderId="18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165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9" fontId="2" fillId="3" borderId="2" xfId="2" applyFont="1" applyFill="1" applyBorder="1" applyAlignment="1">
      <alignment horizontal="center" vertical="center"/>
    </xf>
    <xf numFmtId="170" fontId="0" fillId="0" borderId="0" xfId="2" applyNumberFormat="1" applyFont="1"/>
    <xf numFmtId="10" fontId="0" fillId="0" borderId="0" xfId="2" applyNumberFormat="1" applyFont="1"/>
    <xf numFmtId="168" fontId="0" fillId="0" borderId="0" xfId="0" applyNumberFormat="1"/>
    <xf numFmtId="166" fontId="0" fillId="0" borderId="0" xfId="1" applyNumberFormat="1" applyFont="1"/>
    <xf numFmtId="176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0" fontId="3" fillId="19" borderId="19" xfId="0" applyFont="1" applyFill="1" applyBorder="1" applyAlignment="1">
      <alignment horizontal="center" vertical="center"/>
    </xf>
    <xf numFmtId="0" fontId="3" fillId="20" borderId="20" xfId="0" applyFont="1" applyFill="1" applyBorder="1" applyAlignment="1">
      <alignment horizontal="center" vertical="center"/>
    </xf>
    <xf numFmtId="167" fontId="0" fillId="0" borderId="0" xfId="1" applyNumberFormat="1" applyFont="1"/>
    <xf numFmtId="167" fontId="0" fillId="0" borderId="0" xfId="0" applyNumberFormat="1"/>
    <xf numFmtId="171" fontId="0" fillId="0" borderId="0" xfId="4" applyNumberFormat="1" applyFont="1"/>
    <xf numFmtId="0" fontId="14" fillId="0" borderId="0" xfId="0" applyFont="1"/>
    <xf numFmtId="0" fontId="6" fillId="0" borderId="0" xfId="0" applyFont="1"/>
    <xf numFmtId="2" fontId="7" fillId="0" borderId="0" xfId="0" applyNumberFormat="1" applyFont="1"/>
    <xf numFmtId="0" fontId="17" fillId="21" borderId="21" xfId="0" applyFont="1" applyFill="1" applyBorder="1" applyAlignment="1">
      <alignment horizontal="center" vertical="top" wrapText="1"/>
    </xf>
    <xf numFmtId="0" fontId="18" fillId="21" borderId="21" xfId="0" applyFont="1" applyFill="1" applyBorder="1" applyAlignment="1">
      <alignment horizontal="center" vertical="top" wrapText="1"/>
    </xf>
    <xf numFmtId="0" fontId="17" fillId="22" borderId="22" xfId="0" applyFont="1" applyFill="1" applyBorder="1" applyAlignment="1">
      <alignment horizontal="center" vertical="top" wrapText="1"/>
    </xf>
    <xf numFmtId="0" fontId="18" fillId="22" borderId="22" xfId="0" applyFont="1" applyFill="1" applyBorder="1" applyAlignment="1">
      <alignment horizontal="center" vertical="top" wrapText="1"/>
    </xf>
    <xf numFmtId="169" fontId="0" fillId="23" borderId="23" xfId="4" applyNumberFormat="1" applyFont="1" applyFill="1" applyBorder="1"/>
    <xf numFmtId="1" fontId="7" fillId="0" borderId="0" xfId="0" applyNumberFormat="1" applyFont="1"/>
    <xf numFmtId="0" fontId="0" fillId="24" borderId="24" xfId="0" applyFill="1" applyBorder="1"/>
    <xf numFmtId="0" fontId="0" fillId="25" borderId="25" xfId="0" applyFill="1" applyBorder="1"/>
    <xf numFmtId="0" fontId="0" fillId="18" borderId="18" xfId="0" applyFill="1" applyBorder="1"/>
    <xf numFmtId="0" fontId="7" fillId="24" borderId="24" xfId="0" applyFont="1" applyFill="1" applyBorder="1" applyAlignment="1">
      <alignment horizontal="center"/>
    </xf>
    <xf numFmtId="0" fontId="7" fillId="25" borderId="25" xfId="0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2" fontId="0" fillId="0" borderId="3" xfId="0" applyNumberFormat="1" applyBorder="1" applyAlignment="1">
      <alignment horizontal="center"/>
    </xf>
    <xf numFmtId="1" fontId="7" fillId="0" borderId="3" xfId="0" applyNumberFormat="1" applyFont="1" applyBorder="1" applyAlignment="1">
      <alignment horizontal="center"/>
    </xf>
    <xf numFmtId="1" fontId="19" fillId="0" borderId="0" xfId="0" applyNumberFormat="1" applyFont="1"/>
    <xf numFmtId="2" fontId="7" fillId="0" borderId="3" xfId="0" applyNumberFormat="1" applyFont="1" applyBorder="1" applyAlignment="1">
      <alignment horizontal="center"/>
    </xf>
    <xf numFmtId="0" fontId="18" fillId="26" borderId="26" xfId="0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20" fillId="0" borderId="3" xfId="0" applyFont="1" applyBorder="1" applyAlignment="1">
      <alignment horizontal="left" vertical="center"/>
    </xf>
    <xf numFmtId="0" fontId="7" fillId="23" borderId="23" xfId="0" applyFont="1" applyFill="1" applyBorder="1"/>
    <xf numFmtId="0" fontId="21" fillId="0" borderId="0" xfId="0" applyFont="1" applyAlignment="1">
      <alignment horizontal="right"/>
    </xf>
    <xf numFmtId="0" fontId="7" fillId="23" borderId="23" xfId="0" applyFont="1" applyFill="1" applyBorder="1" applyAlignment="1">
      <alignment horizontal="center"/>
    </xf>
    <xf numFmtId="0" fontId="43" fillId="27" borderId="27" xfId="3" applyFill="1" applyBorder="1" applyAlignment="1">
      <alignment horizontal="right"/>
    </xf>
    <xf numFmtId="0" fontId="3" fillId="28" borderId="28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2" fontId="7" fillId="0" borderId="0" xfId="0" applyNumberFormat="1" applyFont="1" applyAlignment="1">
      <alignment horizontal="right"/>
    </xf>
    <xf numFmtId="0" fontId="7" fillId="29" borderId="29" xfId="0" applyFont="1" applyFill="1" applyBorder="1"/>
    <xf numFmtId="0" fontId="7" fillId="29" borderId="29" xfId="0" applyFont="1" applyFill="1" applyBorder="1" applyAlignment="1">
      <alignment horizontal="center"/>
    </xf>
    <xf numFmtId="165" fontId="11" fillId="0" borderId="0" xfId="0" applyNumberFormat="1" applyFont="1"/>
    <xf numFmtId="0" fontId="19" fillId="30" borderId="30" xfId="0" applyFont="1" applyFill="1" applyBorder="1"/>
    <xf numFmtId="0" fontId="19" fillId="30" borderId="30" xfId="0" applyFont="1" applyFill="1" applyBorder="1" applyAlignment="1">
      <alignment horizontal="center"/>
    </xf>
    <xf numFmtId="164" fontId="0" fillId="0" borderId="0" xfId="1" applyFont="1" applyAlignment="1">
      <alignment horizontal="center"/>
    </xf>
    <xf numFmtId="168" fontId="7" fillId="0" borderId="0" xfId="0" applyNumberFormat="1" applyFont="1" applyAlignment="1">
      <alignment horizontal="center"/>
    </xf>
    <xf numFmtId="9" fontId="3" fillId="5" borderId="5" xfId="0" applyNumberFormat="1" applyFont="1" applyFill="1" applyBorder="1" applyAlignment="1">
      <alignment horizontal="center" vertical="center"/>
    </xf>
    <xf numFmtId="9" fontId="3" fillId="31" borderId="31" xfId="0" applyNumberFormat="1" applyFont="1" applyFill="1" applyBorder="1" applyAlignment="1">
      <alignment horizontal="center" vertical="center"/>
    </xf>
    <xf numFmtId="0" fontId="3" fillId="31" borderId="31" xfId="0" applyFont="1" applyFill="1" applyBorder="1" applyAlignment="1">
      <alignment horizontal="center" vertical="center"/>
    </xf>
    <xf numFmtId="0" fontId="0" fillId="27" borderId="27" xfId="0" applyFill="1" applyBorder="1"/>
    <xf numFmtId="168" fontId="0" fillId="0" borderId="0" xfId="0" applyNumberFormat="1" applyAlignment="1">
      <alignment horizontal="center"/>
    </xf>
    <xf numFmtId="1" fontId="0" fillId="0" borderId="3" xfId="0" applyNumberFormat="1" applyBorder="1"/>
    <xf numFmtId="9" fontId="3" fillId="19" borderId="19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/>
    </xf>
    <xf numFmtId="0" fontId="22" fillId="32" borderId="32" xfId="3" applyFont="1" applyFill="1" applyBorder="1"/>
    <xf numFmtId="0" fontId="22" fillId="32" borderId="32" xfId="3" applyFont="1" applyFill="1" applyBorder="1" applyAlignment="1">
      <alignment horizontal="center"/>
    </xf>
    <xf numFmtId="0" fontId="23" fillId="32" borderId="32" xfId="3" applyFont="1" applyFill="1" applyBorder="1" applyAlignment="1">
      <alignment horizontal="center"/>
    </xf>
    <xf numFmtId="0" fontId="23" fillId="32" borderId="32" xfId="3" applyFont="1" applyFill="1" applyBorder="1"/>
    <xf numFmtId="0" fontId="24" fillId="32" borderId="32" xfId="3" applyFont="1" applyFill="1" applyBorder="1" applyAlignment="1">
      <alignment horizontal="left"/>
    </xf>
    <xf numFmtId="0" fontId="24" fillId="32" borderId="32" xfId="3" applyFont="1" applyFill="1" applyBorder="1" applyAlignment="1">
      <alignment horizontal="center"/>
    </xf>
    <xf numFmtId="0" fontId="25" fillId="32" borderId="32" xfId="3" applyFont="1" applyFill="1" applyBorder="1" applyAlignment="1">
      <alignment horizontal="center"/>
    </xf>
    <xf numFmtId="0" fontId="24" fillId="33" borderId="33" xfId="3" applyFont="1" applyFill="1" applyBorder="1" applyAlignment="1">
      <alignment horizontal="center"/>
    </xf>
    <xf numFmtId="0" fontId="25" fillId="32" borderId="32" xfId="3" applyFont="1" applyFill="1" applyBorder="1" applyAlignment="1">
      <alignment horizontal="left"/>
    </xf>
    <xf numFmtId="0" fontId="26" fillId="0" borderId="0" xfId="3" applyFont="1"/>
    <xf numFmtId="1" fontId="26" fillId="0" borderId="0" xfId="3" applyNumberFormat="1" applyFont="1" applyAlignment="1">
      <alignment horizontal="right"/>
    </xf>
    <xf numFmtId="0" fontId="27" fillId="0" borderId="0" xfId="3" applyFont="1" applyAlignment="1">
      <alignment horizontal="center"/>
    </xf>
    <xf numFmtId="1" fontId="28" fillId="0" borderId="0" xfId="3" applyNumberFormat="1" applyFont="1" applyAlignment="1">
      <alignment horizontal="right"/>
    </xf>
    <xf numFmtId="176" fontId="26" fillId="0" borderId="0" xfId="3" applyNumberFormat="1" applyFont="1" applyAlignment="1">
      <alignment horizontal="center"/>
    </xf>
    <xf numFmtId="0" fontId="26" fillId="0" borderId="0" xfId="3" applyFont="1" applyAlignment="1">
      <alignment horizontal="center"/>
    </xf>
    <xf numFmtId="1" fontId="26" fillId="0" borderId="0" xfId="3" applyNumberFormat="1" applyFont="1" applyAlignment="1">
      <alignment horizontal="center"/>
    </xf>
    <xf numFmtId="0" fontId="29" fillId="30" borderId="30" xfId="3" applyFont="1" applyFill="1" applyBorder="1" applyAlignment="1">
      <alignment horizontal="center"/>
    </xf>
    <xf numFmtId="0" fontId="22" fillId="13" borderId="13" xfId="3" applyFont="1" applyFill="1" applyBorder="1"/>
    <xf numFmtId="0" fontId="22" fillId="13" borderId="13" xfId="3" applyFont="1" applyFill="1" applyBorder="1" applyAlignment="1">
      <alignment horizontal="center"/>
    </xf>
    <xf numFmtId="0" fontId="23" fillId="13" borderId="13" xfId="3" applyFont="1" applyFill="1" applyBorder="1" applyAlignment="1">
      <alignment horizontal="center"/>
    </xf>
    <xf numFmtId="0" fontId="23" fillId="13" borderId="13" xfId="3" applyFont="1" applyFill="1" applyBorder="1"/>
    <xf numFmtId="0" fontId="24" fillId="35" borderId="37" xfId="3" applyFont="1" applyFill="1" applyBorder="1"/>
    <xf numFmtId="0" fontId="24" fillId="35" borderId="37" xfId="3" applyFont="1" applyFill="1" applyBorder="1" applyAlignment="1">
      <alignment horizontal="center"/>
    </xf>
    <xf numFmtId="0" fontId="24" fillId="36" borderId="38" xfId="3" applyFont="1" applyFill="1" applyBorder="1" applyAlignment="1">
      <alignment horizontal="center"/>
    </xf>
    <xf numFmtId="0" fontId="25" fillId="36" borderId="38" xfId="3" applyFont="1" applyFill="1" applyBorder="1" applyAlignment="1">
      <alignment horizontal="center"/>
    </xf>
    <xf numFmtId="0" fontId="24" fillId="36" borderId="38" xfId="3" applyFont="1" applyFill="1" applyBorder="1"/>
    <xf numFmtId="0" fontId="25" fillId="37" borderId="39" xfId="3" applyFont="1" applyFill="1" applyBorder="1"/>
    <xf numFmtId="0" fontId="25" fillId="37" borderId="39" xfId="3" applyFont="1" applyFill="1" applyBorder="1" applyAlignment="1">
      <alignment horizontal="center"/>
    </xf>
    <xf numFmtId="0" fontId="24" fillId="13" borderId="13" xfId="3" applyFont="1" applyFill="1" applyBorder="1" applyAlignment="1">
      <alignment horizontal="left"/>
    </xf>
    <xf numFmtId="0" fontId="24" fillId="13" borderId="13" xfId="3" applyFont="1" applyFill="1" applyBorder="1" applyAlignment="1">
      <alignment horizontal="center"/>
    </xf>
    <xf numFmtId="0" fontId="25" fillId="13" borderId="13" xfId="3" applyFont="1" applyFill="1" applyBorder="1" applyAlignment="1">
      <alignment horizontal="center"/>
    </xf>
    <xf numFmtId="0" fontId="24" fillId="38" borderId="40" xfId="3" applyFont="1" applyFill="1" applyBorder="1" applyAlignment="1">
      <alignment horizontal="center"/>
    </xf>
    <xf numFmtId="0" fontId="25" fillId="13" borderId="13" xfId="3" applyFont="1" applyFill="1" applyBorder="1" applyAlignment="1">
      <alignment horizontal="left"/>
    </xf>
    <xf numFmtId="1" fontId="26" fillId="0" borderId="0" xfId="3" applyNumberFormat="1" applyFont="1"/>
    <xf numFmtId="0" fontId="29" fillId="34" borderId="34" xfId="3" applyFont="1" applyFill="1" applyBorder="1" applyAlignment="1">
      <alignment horizontal="right"/>
    </xf>
    <xf numFmtId="0" fontId="29" fillId="0" borderId="0" xfId="3" applyFont="1" applyAlignment="1">
      <alignment horizontal="center"/>
    </xf>
    <xf numFmtId="0" fontId="22" fillId="39" borderId="42" xfId="3" applyFont="1" applyFill="1" applyBorder="1"/>
    <xf numFmtId="0" fontId="22" fillId="39" borderId="42" xfId="3" applyFont="1" applyFill="1" applyBorder="1" applyAlignment="1">
      <alignment horizontal="center"/>
    </xf>
    <xf numFmtId="0" fontId="23" fillId="39" borderId="42" xfId="3" applyFont="1" applyFill="1" applyBorder="1" applyAlignment="1">
      <alignment horizontal="center"/>
    </xf>
    <xf numFmtId="0" fontId="23" fillId="39" borderId="42" xfId="3" applyFont="1" applyFill="1" applyBorder="1"/>
    <xf numFmtId="0" fontId="24" fillId="40" borderId="43" xfId="3" applyFont="1" applyFill="1" applyBorder="1"/>
    <xf numFmtId="0" fontId="24" fillId="40" borderId="43" xfId="3" applyFont="1" applyFill="1" applyBorder="1" applyAlignment="1">
      <alignment horizontal="center"/>
    </xf>
    <xf numFmtId="0" fontId="24" fillId="41" borderId="44" xfId="3" applyFont="1" applyFill="1" applyBorder="1" applyAlignment="1">
      <alignment horizontal="center"/>
    </xf>
    <xf numFmtId="0" fontId="25" fillId="41" borderId="44" xfId="3" applyFont="1" applyFill="1" applyBorder="1" applyAlignment="1">
      <alignment horizontal="center"/>
    </xf>
    <xf numFmtId="0" fontId="24" fillId="41" borderId="44" xfId="3" applyFont="1" applyFill="1" applyBorder="1"/>
    <xf numFmtId="0" fontId="25" fillId="42" borderId="45" xfId="3" applyFont="1" applyFill="1" applyBorder="1"/>
    <xf numFmtId="0" fontId="25" fillId="42" borderId="45" xfId="3" applyFont="1" applyFill="1" applyBorder="1" applyAlignment="1">
      <alignment horizontal="center"/>
    </xf>
    <xf numFmtId="0" fontId="24" fillId="39" borderId="42" xfId="3" applyFont="1" applyFill="1" applyBorder="1" applyAlignment="1">
      <alignment horizontal="left"/>
    </xf>
    <xf numFmtId="0" fontId="24" fillId="39" borderId="42" xfId="3" applyFont="1" applyFill="1" applyBorder="1" applyAlignment="1">
      <alignment horizontal="center"/>
    </xf>
    <xf numFmtId="0" fontId="25" fillId="39" borderId="42" xfId="3" applyFont="1" applyFill="1" applyBorder="1" applyAlignment="1">
      <alignment horizontal="center"/>
    </xf>
    <xf numFmtId="0" fontId="24" fillId="43" borderId="46" xfId="3" applyFont="1" applyFill="1" applyBorder="1" applyAlignment="1">
      <alignment horizontal="center"/>
    </xf>
    <xf numFmtId="0" fontId="25" fillId="39" borderId="42" xfId="3" applyFont="1" applyFill="1" applyBorder="1" applyAlignment="1">
      <alignment horizontal="left"/>
    </xf>
    <xf numFmtId="0" fontId="24" fillId="44" borderId="47" xfId="3" applyFont="1" applyFill="1" applyBorder="1"/>
    <xf numFmtId="0" fontId="24" fillId="44" borderId="47" xfId="3" applyFont="1" applyFill="1" applyBorder="1" applyAlignment="1">
      <alignment horizontal="center"/>
    </xf>
    <xf numFmtId="0" fontId="24" fillId="45" borderId="48" xfId="3" applyFont="1" applyFill="1" applyBorder="1" applyAlignment="1">
      <alignment horizontal="center"/>
    </xf>
    <xf numFmtId="0" fontId="25" fillId="45" borderId="48" xfId="3" applyFont="1" applyFill="1" applyBorder="1" applyAlignment="1">
      <alignment horizontal="center"/>
    </xf>
    <xf numFmtId="0" fontId="24" fillId="45" borderId="48" xfId="3" applyFont="1" applyFill="1" applyBorder="1"/>
    <xf numFmtId="0" fontId="25" fillId="46" borderId="49" xfId="3" applyFont="1" applyFill="1" applyBorder="1"/>
    <xf numFmtId="0" fontId="25" fillId="46" borderId="49" xfId="3" applyFont="1" applyFill="1" applyBorder="1" applyAlignment="1">
      <alignment horizontal="center"/>
    </xf>
    <xf numFmtId="0" fontId="24" fillId="47" borderId="50" xfId="3" applyFont="1" applyFill="1" applyBorder="1" applyAlignment="1">
      <alignment horizontal="left"/>
    </xf>
    <xf numFmtId="0" fontId="24" fillId="47" borderId="50" xfId="3" applyFont="1" applyFill="1" applyBorder="1" applyAlignment="1">
      <alignment horizontal="center"/>
    </xf>
    <xf numFmtId="0" fontId="25" fillId="47" borderId="50" xfId="3" applyFont="1" applyFill="1" applyBorder="1" applyAlignment="1">
      <alignment horizontal="center"/>
    </xf>
    <xf numFmtId="0" fontId="24" fillId="48" borderId="52" xfId="3" applyFont="1" applyFill="1" applyBorder="1" applyAlignment="1">
      <alignment horizontal="center"/>
    </xf>
    <xf numFmtId="0" fontId="25" fillId="47" borderId="50" xfId="3" applyFont="1" applyFill="1" applyBorder="1" applyAlignment="1">
      <alignment horizontal="left"/>
    </xf>
    <xf numFmtId="0" fontId="29" fillId="0" borderId="0" xfId="3" applyFont="1"/>
    <xf numFmtId="0" fontId="6" fillId="0" borderId="0" xfId="3" applyFont="1"/>
    <xf numFmtId="0" fontId="6" fillId="0" borderId="0" xfId="3" applyFont="1" applyAlignment="1">
      <alignment horizontal="center"/>
    </xf>
    <xf numFmtId="0" fontId="27" fillId="0" borderId="3" xfId="3" applyFont="1" applyBorder="1"/>
    <xf numFmtId="176" fontId="27" fillId="0" borderId="3" xfId="3" applyNumberFormat="1" applyFont="1" applyBorder="1"/>
    <xf numFmtId="0" fontId="31" fillId="0" borderId="0" xfId="3" applyFont="1" applyAlignment="1">
      <alignment horizontal="center" wrapText="1"/>
    </xf>
    <xf numFmtId="0" fontId="29" fillId="0" borderId="0" xfId="3" applyFont="1" applyAlignment="1">
      <alignment horizontal="center" wrapText="1"/>
    </xf>
    <xf numFmtId="172" fontId="29" fillId="0" borderId="0" xfId="3" applyNumberFormat="1" applyFont="1"/>
    <xf numFmtId="0" fontId="32" fillId="0" borderId="0" xfId="3" applyFont="1"/>
    <xf numFmtId="0" fontId="0" fillId="0" borderId="55" xfId="0" applyBorder="1"/>
    <xf numFmtId="0" fontId="0" fillId="0" borderId="56" xfId="0" applyBorder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66" fontId="0" fillId="0" borderId="0" xfId="1" applyNumberFormat="1" applyFont="1" applyAlignment="1">
      <alignment horizontal="center"/>
    </xf>
    <xf numFmtId="0" fontId="43" fillId="4" borderId="4" xfId="3" applyFill="1" applyBorder="1" applyAlignment="1">
      <alignment horizontal="right"/>
    </xf>
    <xf numFmtId="0" fontId="7" fillId="58" borderId="59" xfId="0" applyFont="1" applyFill="1" applyBorder="1" applyAlignment="1">
      <alignment horizontal="right"/>
    </xf>
    <xf numFmtId="2" fontId="0" fillId="0" borderId="0" xfId="0" applyNumberFormat="1" applyAlignment="1">
      <alignment horizontal="left" indent="2"/>
      <extLst>
        <ext uri="smNativeData">
          <pm:cellMargin xmlns:pm="smNativeData" id="1595604475" l="384" r="0" t="0" b="0" textRotation="0"/>
        </ext>
      </extLst>
    </xf>
    <xf numFmtId="1" fontId="7" fillId="0" borderId="0" xfId="0" applyNumberFormat="1" applyFont="1" applyAlignment="1">
      <alignment horizontal="center"/>
    </xf>
    <xf numFmtId="165" fontId="5" fillId="0" borderId="3" xfId="0" applyNumberFormat="1" applyFont="1" applyBorder="1"/>
    <xf numFmtId="0" fontId="37" fillId="59" borderId="60" xfId="0" applyFont="1" applyFill="1" applyBorder="1" applyAlignment="1">
      <alignment horizontal="center" wrapText="1"/>
    </xf>
    <xf numFmtId="0" fontId="0" fillId="60" borderId="61" xfId="0" applyFill="1" applyBorder="1"/>
    <xf numFmtId="0" fontId="38" fillId="61" borderId="62" xfId="0" applyFont="1" applyFill="1" applyBorder="1" applyAlignment="1">
      <alignment horizontal="center" wrapText="1"/>
    </xf>
    <xf numFmtId="0" fontId="39" fillId="0" borderId="0" xfId="0" applyFont="1" applyAlignment="1">
      <alignment horizontal="center" wrapText="1"/>
    </xf>
    <xf numFmtId="2" fontId="39" fillId="0" borderId="0" xfId="0" applyNumberFormat="1" applyFont="1" applyAlignment="1">
      <alignment horizontal="center" wrapText="1"/>
    </xf>
    <xf numFmtId="0" fontId="38" fillId="0" borderId="0" xfId="0" applyFont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53" xfId="0" applyBorder="1" applyAlignment="1">
      <alignment wrapText="1"/>
    </xf>
    <xf numFmtId="1" fontId="0" fillId="0" borderId="57" xfId="0" applyNumberFormat="1" applyBorder="1"/>
    <xf numFmtId="0" fontId="0" fillId="0" borderId="53" xfId="0" applyBorder="1"/>
    <xf numFmtId="0" fontId="39" fillId="62" borderId="63" xfId="0" applyFont="1" applyFill="1" applyBorder="1" applyAlignment="1">
      <alignment horizontal="center" wrapText="1"/>
    </xf>
    <xf numFmtId="0" fontId="38" fillId="62" borderId="63" xfId="0" applyFont="1" applyFill="1" applyBorder="1" applyAlignment="1">
      <alignment horizontal="center" wrapText="1"/>
    </xf>
    <xf numFmtId="1" fontId="0" fillId="63" borderId="64" xfId="0" applyNumberFormat="1" applyFill="1" applyBorder="1"/>
    <xf numFmtId="0" fontId="39" fillId="0" borderId="54" xfId="0" applyFont="1" applyBorder="1" applyAlignment="1">
      <alignment horizontal="center" wrapText="1"/>
    </xf>
    <xf numFmtId="175" fontId="0" fillId="0" borderId="3" xfId="4" applyNumberFormat="1" applyFont="1" applyBorder="1"/>
    <xf numFmtId="0" fontId="39" fillId="0" borderId="3" xfId="0" applyFont="1" applyBorder="1" applyAlignment="1">
      <alignment horizontal="center" wrapText="1"/>
    </xf>
    <xf numFmtId="175" fontId="0" fillId="0" borderId="53" xfId="4" applyNumberFormat="1" applyFont="1" applyBorder="1"/>
    <xf numFmtId="1" fontId="0" fillId="64" borderId="65" xfId="0" applyNumberFormat="1" applyFill="1" applyBorder="1"/>
    <xf numFmtId="0" fontId="39" fillId="65" borderId="66" xfId="0" applyFont="1" applyFill="1" applyBorder="1" applyAlignment="1">
      <alignment horizontal="center" wrapText="1"/>
    </xf>
    <xf numFmtId="0" fontId="39" fillId="66" borderId="67" xfId="0" applyFont="1" applyFill="1" applyBorder="1" applyAlignment="1">
      <alignment horizontal="center" wrapText="1"/>
    </xf>
    <xf numFmtId="1" fontId="0" fillId="67" borderId="68" xfId="0" applyNumberFormat="1" applyFill="1" applyBorder="1"/>
    <xf numFmtId="170" fontId="0" fillId="68" borderId="69" xfId="2" applyNumberFormat="1" applyFont="1" applyFill="1" applyBorder="1"/>
    <xf numFmtId="170" fontId="0" fillId="69" borderId="70" xfId="2" applyNumberFormat="1" applyFont="1" applyFill="1" applyBorder="1"/>
    <xf numFmtId="170" fontId="0" fillId="70" borderId="71" xfId="2" applyNumberFormat="1" applyFont="1" applyFill="1" applyBorder="1"/>
    <xf numFmtId="173" fontId="0" fillId="70" borderId="71" xfId="0" applyNumberFormat="1" applyFill="1" applyBorder="1" applyAlignment="1">
      <alignment wrapText="1"/>
    </xf>
    <xf numFmtId="173" fontId="0" fillId="70" borderId="71" xfId="0" applyNumberFormat="1" applyFill="1" applyBorder="1"/>
    <xf numFmtId="0" fontId="40" fillId="71" borderId="72" xfId="0" applyFont="1" applyFill="1" applyBorder="1" applyAlignment="1">
      <alignment horizontal="right"/>
    </xf>
    <xf numFmtId="173" fontId="7" fillId="72" borderId="73" xfId="0" applyNumberFormat="1" applyFont="1" applyFill="1" applyBorder="1"/>
    <xf numFmtId="0" fontId="7" fillId="73" borderId="74" xfId="0" applyFont="1" applyFill="1" applyBorder="1" applyAlignment="1">
      <alignment horizontal="center"/>
    </xf>
    <xf numFmtId="0" fontId="0" fillId="74" borderId="75" xfId="0" applyFill="1" applyBorder="1"/>
    <xf numFmtId="1" fontId="0" fillId="74" borderId="75" xfId="0" applyNumberFormat="1" applyFill="1" applyBorder="1"/>
    <xf numFmtId="0" fontId="0" fillId="71" borderId="72" xfId="0" applyFill="1" applyBorder="1" applyAlignment="1">
      <alignment horizontal="right"/>
    </xf>
    <xf numFmtId="1" fontId="0" fillId="71" borderId="72" xfId="0" applyNumberFormat="1" applyFill="1" applyBorder="1"/>
    <xf numFmtId="0" fontId="0" fillId="75" borderId="76" xfId="0" applyFill="1" applyBorder="1" applyAlignment="1">
      <alignment horizontal="right" wrapText="1"/>
    </xf>
    <xf numFmtId="174" fontId="0" fillId="75" borderId="76" xfId="0" applyNumberFormat="1" applyFill="1" applyBorder="1"/>
    <xf numFmtId="0" fontId="0" fillId="76" borderId="77" xfId="0" applyFill="1" applyBorder="1" applyAlignment="1">
      <alignment horizontal="right" wrapText="1"/>
    </xf>
    <xf numFmtId="174" fontId="0" fillId="76" borderId="77" xfId="0" applyNumberFormat="1" applyFill="1" applyBorder="1"/>
    <xf numFmtId="0" fontId="6" fillId="74" borderId="75" xfId="0" applyFont="1" applyFill="1" applyBorder="1" applyAlignment="1">
      <alignment horizontal="right" wrapText="1"/>
    </xf>
    <xf numFmtId="174" fontId="12" fillId="74" borderId="75" xfId="0" applyNumberFormat="1" applyFont="1" applyFill="1" applyBorder="1"/>
    <xf numFmtId="0" fontId="12" fillId="74" borderId="75" xfId="0" applyFont="1" applyFill="1" applyBorder="1" applyAlignment="1">
      <alignment horizontal="right" wrapText="1"/>
    </xf>
    <xf numFmtId="0" fontId="7" fillId="74" borderId="75" xfId="0" applyFont="1" applyFill="1" applyBorder="1"/>
    <xf numFmtId="1" fontId="7" fillId="74" borderId="75" xfId="0" applyNumberFormat="1" applyFont="1" applyFill="1" applyBorder="1"/>
    <xf numFmtId="0" fontId="7" fillId="57" borderId="58" xfId="0" applyFont="1" applyFill="1" applyBorder="1" applyAlignment="1">
      <alignment horizontal="center"/>
    </xf>
    <xf numFmtId="169" fontId="0" fillId="0" borderId="0" xfId="4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42" fillId="5" borderId="5" xfId="0" applyFont="1" applyFill="1" applyBorder="1" applyAlignment="1">
      <alignment horizontal="center" vertical="center"/>
    </xf>
    <xf numFmtId="0" fontId="41" fillId="0" borderId="0" xfId="0" applyFont="1" applyAlignment="1">
      <alignment horizontal="center"/>
    </xf>
    <xf numFmtId="0" fontId="41" fillId="0" borderId="3" xfId="0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79" borderId="81" xfId="0" applyFill="1" applyBorder="1"/>
    <xf numFmtId="164" fontId="0" fillId="0" borderId="55" xfId="1" applyFont="1" applyBorder="1" applyAlignment="1">
      <alignment horizontal="center"/>
    </xf>
    <xf numFmtId="165" fontId="0" fillId="0" borderId="56" xfId="0" applyNumberFormat="1" applyBorder="1" applyAlignment="1">
      <alignment horizontal="center"/>
    </xf>
    <xf numFmtId="2" fontId="0" fillId="0" borderId="56" xfId="0" applyNumberFormat="1" applyBorder="1" applyAlignment="1">
      <alignment horizontal="center"/>
    </xf>
    <xf numFmtId="2" fontId="0" fillId="0" borderId="56" xfId="0" applyNumberFormat="1" applyBorder="1"/>
    <xf numFmtId="0" fontId="7" fillId="0" borderId="56" xfId="0" applyFont="1" applyBorder="1"/>
    <xf numFmtId="1" fontId="0" fillId="0" borderId="56" xfId="0" applyNumberFormat="1" applyBorder="1"/>
    <xf numFmtId="0" fontId="9" fillId="80" borderId="82" xfId="0" applyFont="1" applyFill="1" applyBorder="1"/>
    <xf numFmtId="0" fontId="9" fillId="81" borderId="83" xfId="0" applyFont="1" applyFill="1" applyBorder="1"/>
    <xf numFmtId="0" fontId="9" fillId="81" borderId="83" xfId="0" applyFont="1" applyFill="1" applyBorder="1" applyAlignment="1">
      <alignment horizontal="center"/>
    </xf>
    <xf numFmtId="0" fontId="9" fillId="82" borderId="84" xfId="0" applyFont="1" applyFill="1" applyBorder="1" applyAlignment="1">
      <alignment horizontal="center"/>
    </xf>
    <xf numFmtId="0" fontId="9" fillId="83" borderId="85" xfId="0" applyFont="1" applyFill="1" applyBorder="1" applyAlignment="1">
      <alignment horizontal="center"/>
    </xf>
    <xf numFmtId="0" fontId="9" fillId="84" borderId="86" xfId="0" applyFont="1" applyFill="1" applyBorder="1" applyAlignment="1">
      <alignment horizontal="center"/>
    </xf>
    <xf numFmtId="0" fontId="9" fillId="85" borderId="87" xfId="0" applyFont="1" applyFill="1" applyBorder="1" applyAlignment="1">
      <alignment horizontal="center"/>
    </xf>
    <xf numFmtId="0" fontId="9" fillId="86" borderId="88" xfId="0" applyFont="1" applyFill="1" applyBorder="1" applyAlignment="1">
      <alignment horizontal="center"/>
    </xf>
    <xf numFmtId="0" fontId="9" fillId="87" borderId="89" xfId="0" applyFont="1" applyFill="1" applyBorder="1"/>
    <xf numFmtId="0" fontId="9" fillId="88" borderId="90" xfId="0" applyFont="1" applyFill="1" applyBorder="1"/>
    <xf numFmtId="0" fontId="9" fillId="89" borderId="91" xfId="0" applyFont="1" applyFill="1" applyBorder="1"/>
    <xf numFmtId="0" fontId="9" fillId="90" borderId="92" xfId="0" applyFont="1" applyFill="1" applyBorder="1"/>
    <xf numFmtId="2" fontId="2" fillId="2" borderId="1" xfId="0" applyNumberFormat="1" applyFont="1" applyFill="1" applyBorder="1" applyAlignment="1">
      <alignment horizontal="left" vertical="center"/>
    </xf>
    <xf numFmtId="14" fontId="0" fillId="0" borderId="0" xfId="0" applyNumberFormat="1"/>
    <xf numFmtId="0" fontId="7" fillId="58" borderId="77" xfId="0" applyFont="1" applyFill="1" applyBorder="1" applyAlignment="1">
      <alignment horizontal="right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81" xfId="0" applyBorder="1"/>
    <xf numFmtId="0" fontId="0" fillId="0" borderId="78" xfId="0" applyBorder="1" applyAlignment="1">
      <alignment horizontal="center"/>
    </xf>
    <xf numFmtId="164" fontId="0" fillId="0" borderId="81" xfId="1" applyFont="1" applyBorder="1" applyAlignment="1">
      <alignment horizontal="center"/>
    </xf>
    <xf numFmtId="165" fontId="0" fillId="0" borderId="78" xfId="0" applyNumberFormat="1" applyBorder="1" applyAlignment="1">
      <alignment horizontal="center"/>
    </xf>
    <xf numFmtId="2" fontId="0" fillId="0" borderId="78" xfId="0" applyNumberFormat="1" applyBorder="1" applyAlignment="1">
      <alignment horizontal="center"/>
    </xf>
    <xf numFmtId="2" fontId="0" fillId="0" borderId="78" xfId="0" applyNumberFormat="1" applyBorder="1"/>
    <xf numFmtId="0" fontId="0" fillId="0" borderId="78" xfId="0" applyBorder="1"/>
    <xf numFmtId="0" fontId="7" fillId="0" borderId="78" xfId="0" applyFont="1" applyBorder="1"/>
    <xf numFmtId="1" fontId="0" fillId="0" borderId="78" xfId="0" applyNumberFormat="1" applyBorder="1"/>
    <xf numFmtId="0" fontId="7" fillId="91" borderId="81" xfId="0" applyFont="1" applyFill="1" applyBorder="1"/>
    <xf numFmtId="0" fontId="0" fillId="0" borderId="0" xfId="0" applyFill="1"/>
    <xf numFmtId="0" fontId="7" fillId="92" borderId="81" xfId="0" applyFont="1" applyFill="1" applyBorder="1"/>
    <xf numFmtId="177" fontId="0" fillId="0" borderId="0" xfId="0" applyNumberFormat="1"/>
    <xf numFmtId="0" fontId="0" fillId="0" borderId="77" xfId="0" applyBorder="1"/>
    <xf numFmtId="0" fontId="7" fillId="0" borderId="77" xfId="0" applyFont="1" applyBorder="1"/>
    <xf numFmtId="0" fontId="0" fillId="0" borderId="97" xfId="0" applyBorder="1"/>
    <xf numFmtId="0" fontId="0" fillId="0" borderId="98" xfId="0" applyBorder="1"/>
    <xf numFmtId="0" fontId="3" fillId="8" borderId="81" xfId="0" applyFont="1" applyFill="1" applyBorder="1" applyAlignment="1">
      <alignment horizontal="center" vertical="center"/>
    </xf>
    <xf numFmtId="0" fontId="3" fillId="8" borderId="93" xfId="0" applyFont="1" applyFill="1" applyBorder="1" applyAlignment="1">
      <alignment horizontal="center" vertical="center"/>
    </xf>
    <xf numFmtId="169" fontId="2" fillId="3" borderId="93" xfId="4" applyNumberFormat="1" applyFont="1" applyFill="1" applyBorder="1" applyAlignment="1">
      <alignment horizontal="center" vertical="center"/>
    </xf>
    <xf numFmtId="0" fontId="0" fillId="0" borderId="93" xfId="0" applyBorder="1"/>
    <xf numFmtId="169" fontId="0" fillId="0" borderId="93" xfId="4" applyNumberFormat="1" applyFont="1" applyBorder="1"/>
    <xf numFmtId="0" fontId="7" fillId="0" borderId="77" xfId="0" applyFont="1" applyBorder="1" applyAlignment="1">
      <alignment horizontal="center"/>
    </xf>
    <xf numFmtId="0" fontId="7" fillId="0" borderId="77" xfId="0" applyFont="1" applyBorder="1" applyAlignment="1">
      <alignment horizontal="right"/>
    </xf>
    <xf numFmtId="0" fontId="12" fillId="0" borderId="77" xfId="0" applyFont="1" applyBorder="1" applyAlignment="1">
      <alignment wrapText="1"/>
    </xf>
    <xf numFmtId="169" fontId="0" fillId="0" borderId="0" xfId="0" applyNumberFormat="1"/>
    <xf numFmtId="1" fontId="0" fillId="0" borderId="77" xfId="0" applyNumberFormat="1" applyBorder="1"/>
    <xf numFmtId="0" fontId="9" fillId="89" borderId="77" xfId="0" applyFont="1" applyFill="1" applyBorder="1"/>
    <xf numFmtId="2" fontId="0" fillId="0" borderId="77" xfId="0" applyNumberFormat="1" applyBorder="1" applyAlignment="1">
      <alignment horizontal="left" indent="2"/>
      <extLst>
        <ext uri="smNativeData">
          <pm:cellMargin xmlns:pm="smNativeData" id="1595604475" l="384" r="0" t="0" b="0" textRotation="0"/>
        </ext>
      </extLst>
    </xf>
    <xf numFmtId="0" fontId="9" fillId="89" borderId="95" xfId="0" applyFont="1" applyFill="1" applyBorder="1"/>
    <xf numFmtId="0" fontId="9" fillId="89" borderId="96" xfId="0" applyFont="1" applyFill="1" applyBorder="1"/>
    <xf numFmtId="0" fontId="7" fillId="0" borderId="98" xfId="0" applyFont="1" applyBorder="1"/>
    <xf numFmtId="0" fontId="7" fillId="0" borderId="100" xfId="0" applyFont="1" applyBorder="1"/>
    <xf numFmtId="0" fontId="7" fillId="0" borderId="101" xfId="0" applyFont="1" applyBorder="1"/>
    <xf numFmtId="1" fontId="0" fillId="0" borderId="98" xfId="0" applyNumberFormat="1" applyBorder="1"/>
    <xf numFmtId="1" fontId="0" fillId="0" borderId="100" xfId="0" applyNumberFormat="1" applyBorder="1"/>
    <xf numFmtId="1" fontId="0" fillId="0" borderId="101" xfId="0" applyNumberFormat="1" applyBorder="1"/>
    <xf numFmtId="0" fontId="9" fillId="89" borderId="94" xfId="0" applyFont="1" applyFill="1" applyBorder="1"/>
    <xf numFmtId="0" fontId="9" fillId="90" borderId="96" xfId="0" applyFont="1" applyFill="1" applyBorder="1"/>
    <xf numFmtId="0" fontId="0" fillId="0" borderId="97" xfId="0" applyFill="1" applyBorder="1"/>
    <xf numFmtId="0" fontId="0" fillId="0" borderId="99" xfId="0" applyBorder="1"/>
    <xf numFmtId="0" fontId="0" fillId="0" borderId="101" xfId="0" applyBorder="1"/>
    <xf numFmtId="0" fontId="43" fillId="91" borderId="4" xfId="3" applyFill="1" applyBorder="1" applyAlignment="1">
      <alignment horizontal="right"/>
    </xf>
    <xf numFmtId="0" fontId="0" fillId="0" borderId="77" xfId="0" applyBorder="1" applyAlignment="1">
      <alignment horizontal="right"/>
    </xf>
    <xf numFmtId="0" fontId="12" fillId="0" borderId="77" xfId="0" applyFont="1" applyBorder="1"/>
    <xf numFmtId="14" fontId="12" fillId="0" borderId="77" xfId="0" applyNumberFormat="1" applyFont="1" applyBorder="1" applyAlignment="1">
      <alignment horizontal="center"/>
    </xf>
    <xf numFmtId="14" fontId="12" fillId="0" borderId="77" xfId="0" applyNumberFormat="1" applyFont="1" applyBorder="1" applyAlignment="1">
      <alignment wrapText="1"/>
    </xf>
    <xf numFmtId="0" fontId="12" fillId="0" borderId="77" xfId="0" applyFont="1" applyBorder="1" applyAlignment="1">
      <alignment horizontal="center"/>
    </xf>
    <xf numFmtId="0" fontId="12" fillId="0" borderId="77" xfId="0" applyFont="1" applyBorder="1" applyAlignment="1">
      <alignment horizontal="center" wrapText="1"/>
    </xf>
    <xf numFmtId="0" fontId="0" fillId="0" borderId="77" xfId="0" applyBorder="1" applyAlignment="1">
      <alignment horizontal="center"/>
    </xf>
    <xf numFmtId="0" fontId="49" fillId="0" borderId="77" xfId="0" applyFont="1" applyBorder="1"/>
    <xf numFmtId="0" fontId="49" fillId="0" borderId="0" xfId="0" applyFont="1"/>
    <xf numFmtId="169" fontId="0" fillId="0" borderId="77" xfId="4" applyNumberFormat="1" applyFont="1" applyBorder="1"/>
    <xf numFmtId="169" fontId="0" fillId="0" borderId="77" xfId="4" applyNumberFormat="1" applyFont="1" applyBorder="1" applyAlignment="1">
      <alignment horizontal="center"/>
    </xf>
    <xf numFmtId="0" fontId="36" fillId="0" borderId="77" xfId="0" applyFont="1" applyBorder="1"/>
    <xf numFmtId="169" fontId="36" fillId="0" borderId="77" xfId="0" applyNumberFormat="1" applyFont="1" applyBorder="1"/>
    <xf numFmtId="0" fontId="36" fillId="0" borderId="0" xfId="0" applyFont="1"/>
    <xf numFmtId="0" fontId="49" fillId="0" borderId="0" xfId="0" applyFont="1" applyAlignment="1">
      <alignment horizontal="right"/>
    </xf>
    <xf numFmtId="0" fontId="7" fillId="95" borderId="77" xfId="0" applyFont="1" applyFill="1" applyBorder="1" applyAlignment="1">
      <alignment horizontal="center"/>
    </xf>
    <xf numFmtId="0" fontId="10" fillId="0" borderId="97" xfId="0" applyFont="1" applyBorder="1"/>
    <xf numFmtId="169" fontId="10" fillId="0" borderId="77" xfId="0" applyNumberFormat="1" applyFont="1" applyBorder="1"/>
    <xf numFmtId="170" fontId="33" fillId="0" borderId="98" xfId="2" applyNumberFormat="1" applyFont="1" applyBorder="1"/>
    <xf numFmtId="0" fontId="49" fillId="0" borderId="97" xfId="0" applyFont="1" applyBorder="1" applyAlignment="1">
      <alignment horizontal="right"/>
    </xf>
    <xf numFmtId="169" fontId="49" fillId="0" borderId="77" xfId="4" applyNumberFormat="1" applyFont="1" applyBorder="1"/>
    <xf numFmtId="170" fontId="49" fillId="0" borderId="98" xfId="2" applyNumberFormat="1" applyFont="1" applyBorder="1"/>
    <xf numFmtId="173" fontId="0" fillId="0" borderId="77" xfId="0" applyNumberFormat="1" applyBorder="1"/>
    <xf numFmtId="0" fontId="10" fillId="0" borderId="97" xfId="0" applyFont="1" applyBorder="1" applyAlignment="1">
      <alignment horizontal="left"/>
    </xf>
    <xf numFmtId="169" fontId="0" fillId="0" borderId="77" xfId="0" applyNumberFormat="1" applyBorder="1"/>
    <xf numFmtId="173" fontId="49" fillId="0" borderId="77" xfId="0" applyNumberFormat="1" applyFont="1" applyBorder="1"/>
    <xf numFmtId="0" fontId="49" fillId="0" borderId="98" xfId="0" applyFont="1" applyBorder="1"/>
    <xf numFmtId="0" fontId="49" fillId="0" borderId="99" xfId="0" applyFont="1" applyBorder="1" applyAlignment="1">
      <alignment horizontal="right"/>
    </xf>
    <xf numFmtId="173" fontId="0" fillId="0" borderId="100" xfId="0" applyNumberFormat="1" applyBorder="1"/>
    <xf numFmtId="170" fontId="49" fillId="0" borderId="101" xfId="2" applyNumberFormat="1" applyFont="1" applyBorder="1"/>
    <xf numFmtId="0" fontId="10" fillId="0" borderId="77" xfId="0" applyFont="1" applyBorder="1"/>
    <xf numFmtId="0" fontId="49" fillId="0" borderId="77" xfId="0" applyFont="1" applyBorder="1" applyAlignment="1">
      <alignment horizontal="right"/>
    </xf>
    <xf numFmtId="0" fontId="10" fillId="0" borderId="77" xfId="0" applyFont="1" applyBorder="1" applyAlignment="1">
      <alignment horizontal="left"/>
    </xf>
    <xf numFmtId="0" fontId="33" fillId="92" borderId="102" xfId="0" applyFont="1" applyFill="1" applyBorder="1" applyAlignment="1">
      <alignment horizontal="left" wrapText="1"/>
    </xf>
    <xf numFmtId="169" fontId="33" fillId="94" borderId="103" xfId="0" applyNumberFormat="1" applyFont="1" applyFill="1" applyBorder="1"/>
    <xf numFmtId="170" fontId="33" fillId="94" borderId="104" xfId="2" applyNumberFormat="1" applyFont="1" applyFill="1" applyBorder="1"/>
    <xf numFmtId="0" fontId="52" fillId="0" borderId="104" xfId="0" applyFont="1" applyBorder="1"/>
    <xf numFmtId="0" fontId="33" fillId="93" borderId="103" xfId="0" applyFont="1" applyFill="1" applyBorder="1" applyAlignment="1">
      <alignment horizontal="left" wrapText="1"/>
    </xf>
    <xf numFmtId="169" fontId="33" fillId="95" borderId="103" xfId="0" applyNumberFormat="1" applyFont="1" applyFill="1" applyBorder="1"/>
    <xf numFmtId="170" fontId="33" fillId="95" borderId="104" xfId="2" applyNumberFormat="1" applyFont="1" applyFill="1" applyBorder="1"/>
    <xf numFmtId="14" fontId="0" fillId="0" borderId="77" xfId="0" applyNumberFormat="1" applyBorder="1" applyAlignment="1">
      <alignment horizontal="left"/>
    </xf>
    <xf numFmtId="0" fontId="7" fillId="91" borderId="77" xfId="0" applyFont="1" applyFill="1" applyBorder="1" applyAlignment="1">
      <alignment horizontal="left" wrapText="1"/>
    </xf>
    <xf numFmtId="0" fontId="7" fillId="93" borderId="77" xfId="0" applyFont="1" applyFill="1" applyBorder="1" applyAlignment="1">
      <alignment horizontal="left"/>
    </xf>
    <xf numFmtId="0" fontId="7" fillId="49" borderId="94" xfId="0" applyFont="1" applyFill="1" applyBorder="1" applyAlignment="1">
      <alignment horizontal="center" wrapText="1"/>
    </xf>
    <xf numFmtId="0" fontId="7" fillId="49" borderId="95" xfId="0" applyFont="1" applyFill="1" applyBorder="1" applyAlignment="1">
      <alignment horizontal="center" wrapText="1"/>
    </xf>
    <xf numFmtId="0" fontId="7" fillId="49" borderId="96" xfId="0" applyFont="1" applyFill="1" applyBorder="1" applyAlignment="1">
      <alignment horizontal="center" wrapText="1"/>
    </xf>
    <xf numFmtId="1" fontId="7" fillId="50" borderId="99" xfId="0" applyNumberFormat="1" applyFont="1" applyFill="1" applyBorder="1" applyAlignment="1">
      <alignment horizontal="center" wrapText="1"/>
    </xf>
    <xf numFmtId="1" fontId="7" fillId="50" borderId="100" xfId="0" applyNumberFormat="1" applyFont="1" applyFill="1" applyBorder="1" applyAlignment="1">
      <alignment horizontal="center" wrapText="1"/>
    </xf>
    <xf numFmtId="1" fontId="7" fillId="50" borderId="101" xfId="0" applyNumberFormat="1" applyFont="1" applyFill="1" applyBorder="1" applyAlignment="1">
      <alignment horizontal="center" wrapText="1"/>
    </xf>
    <xf numFmtId="173" fontId="48" fillId="52" borderId="99" xfId="0" applyNumberFormat="1" applyFont="1" applyFill="1" applyBorder="1"/>
    <xf numFmtId="173" fontId="48" fillId="52" borderId="100" xfId="0" applyNumberFormat="1" applyFont="1" applyFill="1" applyBorder="1"/>
    <xf numFmtId="173" fontId="48" fillId="54" borderId="99" xfId="0" applyNumberFormat="1" applyFont="1" applyFill="1" applyBorder="1"/>
    <xf numFmtId="173" fontId="48" fillId="54" borderId="100" xfId="0" applyNumberFormat="1" applyFont="1" applyFill="1" applyBorder="1"/>
    <xf numFmtId="173" fontId="48" fillId="54" borderId="101" xfId="0" applyNumberFormat="1" applyFont="1" applyFill="1" applyBorder="1"/>
    <xf numFmtId="173" fontId="50" fillId="55" borderId="99" xfId="0" applyNumberFormat="1" applyFont="1" applyFill="1" applyBorder="1"/>
    <xf numFmtId="173" fontId="51" fillId="56" borderId="99" xfId="0" applyNumberFormat="1" applyFont="1" applyFill="1" applyBorder="1"/>
    <xf numFmtId="0" fontId="7" fillId="91" borderId="97" xfId="0" applyFont="1" applyFill="1" applyBorder="1" applyAlignment="1">
      <alignment horizontal="left" wrapText="1"/>
    </xf>
    <xf numFmtId="0" fontId="7" fillId="93" borderId="97" xfId="0" applyFont="1" applyFill="1" applyBorder="1" applyAlignment="1">
      <alignment horizontal="left" wrapText="1"/>
    </xf>
    <xf numFmtId="0" fontId="48" fillId="54" borderId="99" xfId="0" applyFont="1" applyFill="1" applyBorder="1" applyAlignment="1">
      <alignment horizontal="left"/>
    </xf>
    <xf numFmtId="0" fontId="48" fillId="54" borderId="100" xfId="0" applyFont="1" applyFill="1" applyBorder="1" applyAlignment="1">
      <alignment horizontal="left"/>
    </xf>
    <xf numFmtId="0" fontId="48" fillId="51" borderId="99" xfId="0" applyFont="1" applyFill="1" applyBorder="1" applyAlignment="1">
      <alignment horizontal="left"/>
    </xf>
    <xf numFmtId="0" fontId="48" fillId="51" borderId="100" xfId="0" applyFont="1" applyFill="1" applyBorder="1" applyAlignment="1">
      <alignment horizontal="left"/>
    </xf>
    <xf numFmtId="0" fontId="51" fillId="93" borderId="99" xfId="0" applyFont="1" applyFill="1" applyBorder="1" applyAlignment="1">
      <alignment horizontal="left" wrapText="1"/>
    </xf>
    <xf numFmtId="0" fontId="51" fillId="93" borderId="100" xfId="0" applyFont="1" applyFill="1" applyBorder="1" applyAlignment="1">
      <alignment horizontal="left"/>
    </xf>
    <xf numFmtId="0" fontId="7" fillId="93" borderId="99" xfId="0" applyFont="1" applyFill="1" applyBorder="1" applyAlignment="1">
      <alignment horizontal="left" wrapText="1"/>
    </xf>
    <xf numFmtId="0" fontId="7" fillId="93" borderId="100" xfId="0" applyFont="1" applyFill="1" applyBorder="1" applyAlignment="1">
      <alignment horizontal="left"/>
    </xf>
    <xf numFmtId="0" fontId="50" fillId="91" borderId="99" xfId="0" applyFont="1" applyFill="1" applyBorder="1" applyAlignment="1">
      <alignment horizontal="left"/>
    </xf>
    <xf numFmtId="0" fontId="50" fillId="91" borderId="100" xfId="0" applyFont="1" applyFill="1" applyBorder="1" applyAlignment="1">
      <alignment horizontal="left" wrapText="1"/>
    </xf>
    <xf numFmtId="0" fontId="7" fillId="91" borderId="100" xfId="0" applyFont="1" applyFill="1" applyBorder="1" applyAlignment="1">
      <alignment horizontal="left" wrapText="1"/>
    </xf>
    <xf numFmtId="0" fontId="48" fillId="53" borderId="99" xfId="0" applyFont="1" applyFill="1" applyBorder="1" applyAlignment="1">
      <alignment horizontal="left"/>
    </xf>
    <xf numFmtId="0" fontId="48" fillId="53" borderId="100" xfId="0" applyFont="1" applyFill="1" applyBorder="1" applyAlignment="1">
      <alignment horizontal="left"/>
    </xf>
    <xf numFmtId="0" fontId="48" fillId="51" borderId="102" xfId="0" applyFont="1" applyFill="1" applyBorder="1" applyAlignment="1">
      <alignment horizontal="left"/>
    </xf>
    <xf numFmtId="0" fontId="48" fillId="51" borderId="103" xfId="0" applyFont="1" applyFill="1" applyBorder="1" applyAlignment="1">
      <alignment horizontal="left"/>
    </xf>
    <xf numFmtId="173" fontId="34" fillId="51" borderId="104" xfId="0" applyNumberFormat="1" applyFont="1" applyFill="1" applyBorder="1" applyAlignment="1">
      <alignment horizontal="center"/>
    </xf>
    <xf numFmtId="173" fontId="34" fillId="53" borderId="101" xfId="0" applyNumberFormat="1" applyFont="1" applyFill="1" applyBorder="1" applyAlignment="1">
      <alignment horizontal="center"/>
    </xf>
    <xf numFmtId="173" fontId="10" fillId="91" borderId="98" xfId="0" applyNumberFormat="1" applyFont="1" applyFill="1" applyBorder="1" applyAlignment="1">
      <alignment horizontal="center"/>
    </xf>
    <xf numFmtId="173" fontId="10" fillId="91" borderId="101" xfId="0" applyNumberFormat="1" applyFont="1" applyFill="1" applyBorder="1" applyAlignment="1">
      <alignment horizontal="center"/>
    </xf>
    <xf numFmtId="173" fontId="35" fillId="91" borderId="101" xfId="0" applyNumberFormat="1" applyFont="1" applyFill="1" applyBorder="1" applyAlignment="1">
      <alignment horizontal="center"/>
    </xf>
    <xf numFmtId="173" fontId="10" fillId="93" borderId="98" xfId="0" applyNumberFormat="1" applyFont="1" applyFill="1" applyBorder="1" applyAlignment="1">
      <alignment horizontal="center"/>
    </xf>
    <xf numFmtId="173" fontId="10" fillId="93" borderId="101" xfId="0" applyNumberFormat="1" applyFont="1" applyFill="1" applyBorder="1" applyAlignment="1">
      <alignment horizontal="center"/>
    </xf>
    <xf numFmtId="173" fontId="11" fillId="93" borderId="101" xfId="0" applyNumberFormat="1" applyFont="1" applyFill="1" applyBorder="1" applyAlignment="1">
      <alignment horizontal="center"/>
    </xf>
    <xf numFmtId="173" fontId="34" fillId="51" borderId="101" xfId="0" applyNumberFormat="1" applyFont="1" applyFill="1" applyBorder="1" applyAlignment="1">
      <alignment horizontal="center"/>
    </xf>
    <xf numFmtId="173" fontId="34" fillId="54" borderId="101" xfId="0" applyNumberFormat="1" applyFont="1" applyFill="1" applyBorder="1" applyAlignment="1">
      <alignment horizontal="center"/>
    </xf>
    <xf numFmtId="173" fontId="0" fillId="55" borderId="97" xfId="0" applyNumberFormat="1" applyFont="1" applyFill="1" applyBorder="1"/>
    <xf numFmtId="173" fontId="0" fillId="55" borderId="97" xfId="0" applyNumberFormat="1" applyFont="1" applyFill="1" applyBorder="1" applyAlignment="1">
      <alignment horizontal="center"/>
    </xf>
    <xf numFmtId="173" fontId="0" fillId="55" borderId="99" xfId="0" applyNumberFormat="1" applyFont="1" applyFill="1" applyBorder="1" applyAlignment="1">
      <alignment horizontal="center"/>
    </xf>
    <xf numFmtId="173" fontId="0" fillId="56" borderId="97" xfId="0" applyNumberFormat="1" applyFont="1" applyFill="1" applyBorder="1"/>
    <xf numFmtId="173" fontId="0" fillId="56" borderId="99" xfId="0" applyNumberFormat="1" applyFont="1" applyFill="1" applyBorder="1"/>
    <xf numFmtId="0" fontId="18" fillId="26" borderId="77" xfId="0" applyFont="1" applyFill="1" applyBorder="1" applyAlignment="1">
      <alignment horizontal="center" vertical="top" wrapText="1"/>
    </xf>
    <xf numFmtId="0" fontId="53" fillId="3" borderId="2" xfId="0" applyFont="1" applyFill="1" applyBorder="1" applyAlignment="1">
      <alignment horizontal="right" vertical="center"/>
    </xf>
    <xf numFmtId="0" fontId="7" fillId="69" borderId="58" xfId="0" applyFont="1" applyFill="1" applyBorder="1" applyAlignment="1">
      <alignment horizontal="center"/>
    </xf>
    <xf numFmtId="0" fontId="26" fillId="0" borderId="0" xfId="3" applyFont="1" applyFill="1"/>
    <xf numFmtId="0" fontId="54" fillId="96" borderId="32" xfId="3" applyFont="1" applyFill="1" applyBorder="1" applyAlignment="1">
      <alignment horizontal="left"/>
    </xf>
    <xf numFmtId="0" fontId="54" fillId="96" borderId="33" xfId="3" applyFont="1" applyFill="1" applyBorder="1" applyAlignment="1">
      <alignment horizontal="left"/>
    </xf>
    <xf numFmtId="0" fontId="54" fillId="96" borderId="13" xfId="3" applyFont="1" applyFill="1" applyBorder="1" applyAlignment="1">
      <alignment horizontal="left"/>
    </xf>
    <xf numFmtId="0" fontId="54" fillId="96" borderId="40" xfId="3" applyFont="1" applyFill="1" applyBorder="1" applyAlignment="1">
      <alignment horizontal="left"/>
    </xf>
    <xf numFmtId="0" fontId="54" fillId="96" borderId="42" xfId="3" applyFont="1" applyFill="1" applyBorder="1" applyAlignment="1">
      <alignment horizontal="left"/>
    </xf>
    <xf numFmtId="0" fontId="54" fillId="96" borderId="46" xfId="3" applyFont="1" applyFill="1" applyBorder="1" applyAlignment="1">
      <alignment horizontal="left"/>
    </xf>
    <xf numFmtId="0" fontId="54" fillId="96" borderId="50" xfId="3" applyFont="1" applyFill="1" applyBorder="1" applyAlignment="1">
      <alignment horizontal="left"/>
    </xf>
    <xf numFmtId="0" fontId="54" fillId="96" borderId="51" xfId="3" applyFont="1" applyFill="1" applyBorder="1" applyAlignment="1">
      <alignment horizontal="left"/>
    </xf>
    <xf numFmtId="14" fontId="26" fillId="0" borderId="0" xfId="3" applyNumberFormat="1" applyFont="1" applyAlignment="1">
      <alignment horizontal="center"/>
    </xf>
    <xf numFmtId="2" fontId="55" fillId="0" borderId="36" xfId="3" applyNumberFormat="1" applyFont="1" applyFill="1" applyBorder="1" applyAlignment="1">
      <alignment horizontal="right"/>
    </xf>
    <xf numFmtId="2" fontId="55" fillId="0" borderId="35" xfId="3" applyNumberFormat="1" applyFont="1" applyFill="1" applyBorder="1" applyAlignment="1">
      <alignment horizontal="right"/>
    </xf>
    <xf numFmtId="2" fontId="55" fillId="0" borderId="41" xfId="3" applyNumberFormat="1" applyFont="1" applyFill="1" applyBorder="1" applyAlignment="1">
      <alignment horizontal="right"/>
    </xf>
    <xf numFmtId="0" fontId="56" fillId="39" borderId="42" xfId="3" applyFont="1" applyFill="1" applyBorder="1"/>
    <xf numFmtId="49" fontId="30" fillId="0" borderId="0" xfId="3" applyNumberFormat="1" applyFont="1" applyAlignment="1">
      <alignment horizontal="center"/>
    </xf>
    <xf numFmtId="2" fontId="55" fillId="0" borderId="0" xfId="3" applyNumberFormat="1" applyFont="1" applyFill="1"/>
    <xf numFmtId="2" fontId="55" fillId="0" borderId="35" xfId="3" applyNumberFormat="1" applyFont="1" applyFill="1" applyBorder="1" applyAlignment="1">
      <alignment horizontal="center"/>
    </xf>
    <xf numFmtId="2" fontId="55" fillId="0" borderId="0" xfId="3" applyNumberFormat="1" applyFont="1"/>
    <xf numFmtId="2" fontId="55" fillId="0" borderId="0" xfId="3" applyNumberFormat="1" applyFont="1" applyFill="1" applyAlignment="1">
      <alignment horizontal="center"/>
    </xf>
    <xf numFmtId="2" fontId="55" fillId="0" borderId="36" xfId="3" applyNumberFormat="1" applyFont="1" applyFill="1" applyBorder="1" applyAlignment="1">
      <alignment horizontal="center"/>
    </xf>
    <xf numFmtId="49" fontId="27" fillId="0" borderId="0" xfId="3" applyNumberFormat="1" applyFont="1" applyAlignment="1">
      <alignment horizontal="center"/>
    </xf>
    <xf numFmtId="49" fontId="7" fillId="0" borderId="0" xfId="3" applyNumberFormat="1" applyFont="1" applyAlignment="1">
      <alignment horizontal="center"/>
    </xf>
    <xf numFmtId="0" fontId="29" fillId="34" borderId="77" xfId="3" applyFont="1" applyFill="1" applyBorder="1" applyAlignment="1">
      <alignment horizontal="right"/>
    </xf>
    <xf numFmtId="2" fontId="55" fillId="0" borderId="77" xfId="3" applyNumberFormat="1" applyFont="1" applyFill="1" applyBorder="1" applyAlignment="1">
      <alignment horizontal="center"/>
    </xf>
    <xf numFmtId="2" fontId="55" fillId="0" borderId="77" xfId="3" applyNumberFormat="1" applyFont="1" applyFill="1" applyBorder="1" applyAlignment="1">
      <alignment horizontal="right"/>
    </xf>
    <xf numFmtId="0" fontId="29" fillId="30" borderId="77" xfId="3" applyFont="1" applyFill="1" applyBorder="1" applyAlignment="1">
      <alignment horizontal="center"/>
    </xf>
    <xf numFmtId="49" fontId="30" fillId="97" borderId="0" xfId="3" applyNumberFormat="1" applyFont="1" applyFill="1" applyAlignment="1">
      <alignment horizontal="center"/>
    </xf>
    <xf numFmtId="44" fontId="0" fillId="0" borderId="77" xfId="4" applyFont="1" applyBorder="1"/>
    <xf numFmtId="173" fontId="48" fillId="52" borderId="101" xfId="0" applyNumberFormat="1" applyFont="1" applyFill="1" applyBorder="1"/>
    <xf numFmtId="173" fontId="48" fillId="52" borderId="105" xfId="0" applyNumberFormat="1" applyFont="1" applyFill="1" applyBorder="1"/>
    <xf numFmtId="173" fontId="21" fillId="55" borderId="77" xfId="0" applyNumberFormat="1" applyFont="1" applyFill="1" applyBorder="1"/>
    <xf numFmtId="173" fontId="21" fillId="55" borderId="98" xfId="0" applyNumberFormat="1" applyFont="1" applyFill="1" applyBorder="1"/>
    <xf numFmtId="173" fontId="21" fillId="55" borderId="77" xfId="0" applyNumberFormat="1" applyFont="1" applyFill="1" applyBorder="1" applyAlignment="1">
      <alignment horizontal="center"/>
    </xf>
    <xf numFmtId="173" fontId="21" fillId="55" borderId="98" xfId="0" applyNumberFormat="1" applyFont="1" applyFill="1" applyBorder="1" applyAlignment="1">
      <alignment horizontal="center"/>
    </xf>
    <xf numFmtId="173" fontId="21" fillId="55" borderId="100" xfId="0" applyNumberFormat="1" applyFont="1" applyFill="1" applyBorder="1" applyAlignment="1">
      <alignment horizontal="center"/>
    </xf>
    <xf numFmtId="173" fontId="21" fillId="55" borderId="101" xfId="0" applyNumberFormat="1" applyFont="1" applyFill="1" applyBorder="1" applyAlignment="1">
      <alignment horizontal="center"/>
    </xf>
    <xf numFmtId="173" fontId="57" fillId="55" borderId="100" xfId="0" applyNumberFormat="1" applyFont="1" applyFill="1" applyBorder="1"/>
    <xf numFmtId="173" fontId="57" fillId="55" borderId="101" xfId="0" applyNumberFormat="1" applyFont="1" applyFill="1" applyBorder="1"/>
    <xf numFmtId="173" fontId="21" fillId="56" borderId="77" xfId="0" applyNumberFormat="1" applyFont="1" applyFill="1" applyBorder="1"/>
    <xf numFmtId="173" fontId="21" fillId="56" borderId="98" xfId="0" applyNumberFormat="1" applyFont="1" applyFill="1" applyBorder="1"/>
    <xf numFmtId="173" fontId="21" fillId="56" borderId="100" xfId="0" applyNumberFormat="1" applyFont="1" applyFill="1" applyBorder="1"/>
    <xf numFmtId="173" fontId="21" fillId="56" borderId="101" xfId="0" applyNumberFormat="1" applyFont="1" applyFill="1" applyBorder="1"/>
    <xf numFmtId="173" fontId="58" fillId="56" borderId="100" xfId="0" applyNumberFormat="1" applyFont="1" applyFill="1" applyBorder="1"/>
    <xf numFmtId="173" fontId="58" fillId="56" borderId="101" xfId="0" applyNumberFormat="1" applyFont="1" applyFill="1" applyBorder="1"/>
    <xf numFmtId="173" fontId="0" fillId="55" borderId="77" xfId="0" applyNumberFormat="1" applyFont="1" applyFill="1" applyBorder="1"/>
    <xf numFmtId="173" fontId="0" fillId="55" borderId="77" xfId="0" applyNumberFormat="1" applyFont="1" applyFill="1" applyBorder="1" applyAlignment="1">
      <alignment horizontal="center"/>
    </xf>
    <xf numFmtId="173" fontId="0" fillId="55" borderId="100" xfId="0" applyNumberFormat="1" applyFont="1" applyFill="1" applyBorder="1" applyAlignment="1">
      <alignment horizontal="center"/>
    </xf>
    <xf numFmtId="173" fontId="50" fillId="55" borderId="100" xfId="0" applyNumberFormat="1" applyFont="1" applyFill="1" applyBorder="1"/>
    <xf numFmtId="173" fontId="0" fillId="56" borderId="77" xfId="0" applyNumberFormat="1" applyFont="1" applyFill="1" applyBorder="1"/>
    <xf numFmtId="173" fontId="0" fillId="56" borderId="100" xfId="0" applyNumberFormat="1" applyFont="1" applyFill="1" applyBorder="1"/>
    <xf numFmtId="173" fontId="51" fillId="56" borderId="100" xfId="0" applyNumberFormat="1" applyFont="1" applyFill="1" applyBorder="1"/>
    <xf numFmtId="0" fontId="49" fillId="0" borderId="100" xfId="0" applyFont="1" applyBorder="1" applyAlignment="1">
      <alignment horizontal="right"/>
    </xf>
    <xf numFmtId="169" fontId="7" fillId="0" borderId="77" xfId="0" applyNumberFormat="1" applyFont="1" applyBorder="1" applyAlignment="1">
      <alignment horizontal="center"/>
    </xf>
    <xf numFmtId="173" fontId="0" fillId="0" borderId="0" xfId="0" applyNumberFormat="1"/>
    <xf numFmtId="0" fontId="7" fillId="23" borderId="23" xfId="0" applyFont="1" applyFill="1" applyBorder="1" applyAlignment="1">
      <alignment horizontal="center"/>
    </xf>
    <xf numFmtId="0" fontId="0" fillId="0" borderId="106" xfId="0" pivotButton="1" applyBorder="1"/>
    <xf numFmtId="0" fontId="0" fillId="0" borderId="108" xfId="0" applyBorder="1"/>
    <xf numFmtId="0" fontId="0" fillId="0" borderId="106" xfId="0" applyBorder="1" applyAlignment="1">
      <alignment horizontal="left"/>
    </xf>
    <xf numFmtId="0" fontId="0" fillId="0" borderId="108" xfId="0" applyNumberFormat="1" applyBorder="1"/>
    <xf numFmtId="0" fontId="0" fillId="0" borderId="107" xfId="0" applyBorder="1" applyAlignment="1">
      <alignment horizontal="left"/>
    </xf>
    <xf numFmtId="0" fontId="0" fillId="0" borderId="109" xfId="0" applyNumberFormat="1" applyBorder="1"/>
    <xf numFmtId="0" fontId="0" fillId="0" borderId="111" xfId="0" applyBorder="1" applyAlignment="1">
      <alignment horizontal="left"/>
    </xf>
    <xf numFmtId="0" fontId="0" fillId="0" borderId="110" xfId="0" applyNumberFormat="1" applyBorder="1"/>
    <xf numFmtId="0" fontId="0" fillId="0" borderId="59" xfId="0" applyFont="1" applyFill="1" applyBorder="1" applyAlignment="1">
      <alignment horizontal="center"/>
    </xf>
    <xf numFmtId="0" fontId="7" fillId="23" borderId="23" xfId="0" applyFont="1" applyFill="1" applyBorder="1" applyAlignment="1"/>
    <xf numFmtId="0" fontId="7" fillId="23" borderId="23" xfId="0" applyFont="1" applyFill="1" applyBorder="1" applyAlignment="1">
      <alignment horizontal="right"/>
    </xf>
    <xf numFmtId="9" fontId="0" fillId="0" borderId="0" xfId="2" applyNumberFormat="1" applyFont="1" applyAlignment="1">
      <alignment horizontal="center"/>
    </xf>
    <xf numFmtId="0" fontId="7" fillId="97" borderId="0" xfId="0" applyFont="1" applyFill="1" applyAlignment="1">
      <alignment horizontal="center"/>
    </xf>
    <xf numFmtId="0" fontId="0" fillId="97" borderId="59" xfId="0" applyFont="1" applyFill="1" applyBorder="1" applyAlignment="1">
      <alignment horizontal="center"/>
    </xf>
    <xf numFmtId="14" fontId="0" fillId="0" borderId="0" xfId="0" applyNumberFormat="1" applyAlignment="1">
      <alignment horizontal="left"/>
    </xf>
    <xf numFmtId="0" fontId="59" fillId="0" borderId="0" xfId="0" quotePrefix="1" applyFont="1" applyAlignment="1">
      <alignment horizontal="center"/>
    </xf>
    <xf numFmtId="0" fontId="7" fillId="23" borderId="23" xfId="0" applyFont="1" applyFill="1" applyBorder="1" applyAlignment="1">
      <alignment horizontal="center"/>
    </xf>
    <xf numFmtId="0" fontId="29" fillId="0" borderId="0" xfId="3" applyFont="1" applyAlignment="1">
      <alignment horizontal="left"/>
    </xf>
    <xf numFmtId="0" fontId="7" fillId="91" borderId="97" xfId="0" applyFont="1" applyFill="1" applyBorder="1" applyAlignment="1">
      <alignment horizontal="left" vertical="top" wrapText="1"/>
    </xf>
    <xf numFmtId="0" fontId="7" fillId="91" borderId="99" xfId="0" applyFont="1" applyFill="1" applyBorder="1" applyAlignment="1">
      <alignment horizontal="left" vertical="top" wrapText="1"/>
    </xf>
    <xf numFmtId="0" fontId="7" fillId="93" borderId="97" xfId="0" applyFont="1" applyFill="1" applyBorder="1" applyAlignment="1">
      <alignment horizontal="left" vertical="top" wrapText="1"/>
    </xf>
    <xf numFmtId="0" fontId="0" fillId="69" borderId="70" xfId="0" applyFill="1" applyBorder="1" applyAlignment="1">
      <alignment horizontal="center"/>
    </xf>
    <xf numFmtId="0" fontId="0" fillId="77" borderId="79" xfId="0" applyFill="1" applyBorder="1" applyAlignment="1">
      <alignment horizontal="center"/>
    </xf>
    <xf numFmtId="0" fontId="0" fillId="78" borderId="80" xfId="0" applyFill="1" applyBorder="1" applyAlignment="1">
      <alignment horizontal="center"/>
    </xf>
    <xf numFmtId="0" fontId="15" fillId="21" borderId="21" xfId="0" applyFont="1" applyFill="1" applyBorder="1" applyAlignment="1">
      <alignment horizontal="center" vertical="top" wrapText="1"/>
    </xf>
    <xf numFmtId="0" fontId="16" fillId="22" borderId="22" xfId="0" applyFont="1" applyFill="1" applyBorder="1" applyAlignment="1">
      <alignment horizontal="center" vertical="top" wrapText="1"/>
    </xf>
    <xf numFmtId="0" fontId="17" fillId="22" borderId="22" xfId="0" applyFont="1" applyFill="1" applyBorder="1" applyAlignment="1">
      <alignment horizontal="center" vertical="top" wrapText="1"/>
    </xf>
    <xf numFmtId="0" fontId="41" fillId="0" borderId="80" xfId="0" applyFont="1" applyBorder="1" applyAlignment="1">
      <alignment horizontal="center"/>
    </xf>
    <xf numFmtId="0" fontId="0" fillId="0" borderId="80" xfId="0" applyBorder="1" applyAlignment="1">
      <alignment horizontal="center"/>
    </xf>
    <xf numFmtId="165" fontId="5" fillId="0" borderId="80" xfId="0" applyNumberFormat="1" applyFont="1" applyBorder="1"/>
    <xf numFmtId="0" fontId="2" fillId="2" borderId="80" xfId="0" applyFont="1" applyFill="1" applyBorder="1" applyAlignment="1">
      <alignment horizontal="left" vertical="center"/>
    </xf>
    <xf numFmtId="1" fontId="2" fillId="2" borderId="80" xfId="0" applyNumberFormat="1" applyFont="1" applyFill="1" applyBorder="1" applyAlignment="1">
      <alignment horizontal="left" vertical="center"/>
    </xf>
    <xf numFmtId="0" fontId="2" fillId="3" borderId="80" xfId="0" applyFont="1" applyFill="1" applyBorder="1" applyAlignment="1">
      <alignment horizontal="center" vertical="center"/>
    </xf>
    <xf numFmtId="0" fontId="2" fillId="0" borderId="80" xfId="0" applyFont="1" applyBorder="1" applyAlignment="1">
      <alignment horizontal="left" vertical="center"/>
    </xf>
    <xf numFmtId="165" fontId="2" fillId="3" borderId="80" xfId="0" applyNumberFormat="1" applyFont="1" applyFill="1" applyBorder="1" applyAlignment="1">
      <alignment horizontal="left" vertical="center"/>
    </xf>
    <xf numFmtId="2" fontId="2" fillId="3" borderId="80" xfId="0" applyNumberFormat="1" applyFont="1" applyFill="1" applyBorder="1" applyAlignment="1">
      <alignment horizontal="left" vertical="center"/>
    </xf>
    <xf numFmtId="1" fontId="2" fillId="4" borderId="80" xfId="0" applyNumberFormat="1" applyFont="1" applyFill="1" applyBorder="1" applyAlignment="1">
      <alignment horizontal="left" vertical="center"/>
    </xf>
    <xf numFmtId="176" fontId="2" fillId="3" borderId="80" xfId="0" applyNumberFormat="1" applyFont="1" applyFill="1" applyBorder="1" applyAlignment="1">
      <alignment horizontal="center" vertical="center"/>
    </xf>
    <xf numFmtId="2" fontId="2" fillId="3" borderId="80" xfId="0" applyNumberFormat="1" applyFont="1" applyFill="1" applyBorder="1" applyAlignment="1">
      <alignment horizontal="center" vertical="center"/>
    </xf>
    <xf numFmtId="165" fontId="2" fillId="3" borderId="80" xfId="0" applyNumberFormat="1" applyFont="1" applyFill="1" applyBorder="1" applyAlignment="1">
      <alignment horizontal="center" vertical="center"/>
    </xf>
    <xf numFmtId="1" fontId="2" fillId="3" borderId="80" xfId="0" applyNumberFormat="1" applyFont="1" applyFill="1" applyBorder="1" applyAlignment="1">
      <alignment horizontal="center" vertical="center"/>
    </xf>
    <xf numFmtId="9" fontId="2" fillId="3" borderId="80" xfId="2" applyFont="1" applyFill="1" applyBorder="1" applyAlignment="1">
      <alignment horizontal="center" vertical="center"/>
    </xf>
    <xf numFmtId="0" fontId="2" fillId="3" borderId="80" xfId="0" applyFont="1" applyFill="1" applyBorder="1" applyAlignment="1">
      <alignment horizontal="right" vertical="center"/>
    </xf>
    <xf numFmtId="167" fontId="2" fillId="3" borderId="80" xfId="1" applyNumberFormat="1" applyFont="1" applyFill="1" applyBorder="1" applyAlignment="1">
      <alignment horizontal="right" vertical="center"/>
    </xf>
    <xf numFmtId="2" fontId="2" fillId="2" borderId="80" xfId="0" applyNumberFormat="1" applyFont="1" applyFill="1" applyBorder="1" applyAlignment="1">
      <alignment horizontal="left" vertical="center"/>
    </xf>
    <xf numFmtId="166" fontId="2" fillId="3" borderId="80" xfId="1" applyNumberFormat="1" applyFont="1" applyFill="1" applyBorder="1" applyAlignment="1">
      <alignment horizontal="right" vertical="center"/>
    </xf>
    <xf numFmtId="0" fontId="43" fillId="4" borderId="80" xfId="3" applyFill="1" applyBorder="1" applyAlignment="1">
      <alignment horizontal="right"/>
    </xf>
  </cellXfs>
  <cellStyles count="5">
    <cellStyle name="Excel Built-in Normal" xfId="3" xr:uid="{00000000-0005-0000-0000-000003000000}"/>
    <cellStyle name="Millares" xfId="1" builtinId="3" customBuiltin="1"/>
    <cellStyle name="Moneda" xfId="4" builtinId="4" customBuiltin="1"/>
    <cellStyle name="Normal" xfId="0" builtinId="0" customBuiltin="1"/>
    <cellStyle name="Porcentaje" xfId="2" builtinId="5" customBuiltin="1"/>
  </cellStyles>
  <dxfs count="53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000000"/>
      </font>
      <fill>
        <patternFill patternType="none"/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604475" count="1">
        <pm:charStyle name="Normal" fontId="0" Id="1"/>
      </pm:charStyles>
      <pm:colors xmlns:pm="smNativeData" id="1595604475" count="70">
        <pm:color name="Color 24" rgb="E26B0A"/>
        <pm:color name="Color 25" rgb="00B050"/>
        <pm:color name="Color 26" rgb="535353"/>
        <pm:color name="Color 27" rgb="548235"/>
        <pm:color name="Color 28" rgb="385724"/>
        <pm:color name="Color 29" rgb="EEEEEE"/>
        <pm:color name="Color 30" rgb="DAEEF3"/>
        <pm:color name="Color 31" rgb="366092"/>
        <pm:color name="Color 32" rgb="B7DEE8"/>
        <pm:color name="Color 33" rgb="FABF8F"/>
        <pm:color name="Color 34" rgb="FFC000"/>
        <pm:color name="Color 35" rgb="0070C0"/>
        <pm:color name="Color 36" rgb="002060"/>
        <pm:color name="Color 37" rgb="7030A0"/>
        <pm:color name="Color 38" rgb="76933C"/>
        <pm:color name="Color 39" rgb="D8D8D8"/>
        <pm:color name="Color 40" rgb="963634"/>
        <pm:color name="Color 41" rgb="F2F2F2"/>
        <pm:color name="Color 42" rgb="FFFFDD"/>
        <pm:color name="Color 43" rgb="C2D69A"/>
        <pm:color name="Color 44" rgb="B8CCE4"/>
        <pm:color name="Color 45" rgb="EBF1DC"/>
        <pm:color name="Color 46" rgb="FDE9D9"/>
        <pm:color name="Color 47" rgb="60497A"/>
        <pm:color name="Color 48" rgb="B1A0C7"/>
        <pm:color name="Color 49" rgb="969696"/>
        <pm:color name="Lima" rgb="99CC00"/>
        <pm:color name="Magenta claro" rgb="FF99CC"/>
        <pm:color name="Lavanda" rgb="CC99FF"/>
        <pm:color name="Cian claro" rgb="CCFFFF"/>
        <pm:color name="Color 54" rgb="C5D9F1"/>
        <pm:color name="Color 55" rgb="DA9694"/>
        <pm:color name="Color 56" rgb="585858"/>
        <pm:color name="Color 57" rgb="3E3E3E"/>
        <pm:color name="Color 58" rgb="F2DCDB"/>
        <pm:color name="Color 59" rgb="FFEB9C"/>
        <pm:color name="Color 60" rgb="FFE699"/>
        <pm:color name="Color 61" rgb="92D050"/>
        <pm:color name="Color 62" rgb="215967"/>
        <pm:color name="Color 63" rgb="000080"/>
        <pm:color name="Color 64" rgb="DAE3F3"/>
        <pm:color name="Color 65" rgb="DBDBDB"/>
        <pm:color name="Color 66" rgb="D9D9D9"/>
        <pm:color name="Color 67" rgb="D7E3BB"/>
        <pm:color name="Color 68" rgb="B4C7E7"/>
        <pm:color name="Color 69" rgb="F8CBAD"/>
        <pm:color name="Color 70" rgb="FFC7CE"/>
        <pm:color name="Color 71" rgb="E4DFEC"/>
        <pm:color name="Color 72" rgb="BDD7EE"/>
        <pm:color name="Color 73" rgb="D0CECE"/>
        <pm:color name="Color 74" rgb="A9D18E"/>
        <pm:color name="Color 75" rgb="AFABAB"/>
        <pm:color name="Color 76" rgb="ADB9CA"/>
        <pm:color name="Color 77" rgb="BFBFBF"/>
        <pm:color name="Color 78" rgb="FFFFCC"/>
        <pm:color name="Color 79" rgb="639A3F"/>
        <pm:color name="Color 80" rgb="E3AB00"/>
        <pm:color name="Color 81" rgb="C9C9C9"/>
        <pm:color name="Color 82" rgb="006100"/>
        <pm:color name="Color 83" rgb="C6EFCE"/>
        <pm:color name="Color 84" rgb="9C0006"/>
        <pm:color name="Color 85" rgb="9C6500"/>
        <pm:color name="Color 86" rgb="008000"/>
        <pm:color name="Verde claro" rgb="CCFFCC"/>
        <pm:color name="Color 88" rgb="800000"/>
        <pm:color name="Amarillo claro" rgb="FFFF99"/>
        <pm:color name="Color 90" rgb="E6B8B7"/>
        <pm:color name="Color 91" rgb="4F81BD"/>
        <pm:color name="Color 92" rgb="95B3D7"/>
        <pm:color name="Color 93" rgb="DCE6F1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4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r>
              <a:rPr lang="es-ES"/>
              <a:t>% Conversión</a:t>
            </a:r>
          </a:p>
        </c:rich>
      </c:tx>
      <c:overlay val="0"/>
      <c:spPr>
        <a:noFill/>
        <a:ln w="9525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</c:v>
          </c:tx>
          <c:spPr>
            <a:ln w="57150">
              <a:solidFill>
                <a:srgbClr val="4F81BD"/>
              </a:solidFill>
            </a:ln>
          </c:spPr>
          <c:marker>
            <c:symbol val="none"/>
          </c:marker>
          <c:dLbls>
            <c:spPr>
              <a:noFill/>
              <a:ln w="9525">
                <a:noFill/>
              </a:ln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strRef>
              <c:f>EstudioConversion!$J$2:$J$13</c:f>
              <c:strCache>
                <c:ptCount val="12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Total general</c:v>
                </c:pt>
              </c:strCache>
            </c:strRef>
          </c:cat>
          <c:val>
            <c:numRef>
              <c:f>EstudioConversion!$N$2:$N$12</c:f>
              <c:numCache>
                <c:formatCode>0.0%</c:formatCode>
                <c:ptCount val="11"/>
                <c:pt idx="0">
                  <c:v>0.2857142857142857</c:v>
                </c:pt>
                <c:pt idx="1">
                  <c:v>0.33333333333333331</c:v>
                </c:pt>
                <c:pt idx="2">
                  <c:v>0.40476190476190477</c:v>
                </c:pt>
                <c:pt idx="3">
                  <c:v>0.37623762376237624</c:v>
                </c:pt>
                <c:pt idx="4">
                  <c:v>0.34965034965034963</c:v>
                </c:pt>
                <c:pt idx="5">
                  <c:v>0.41632653061224489</c:v>
                </c:pt>
                <c:pt idx="6">
                  <c:v>0.40384615384615385</c:v>
                </c:pt>
                <c:pt idx="7">
                  <c:v>0.43315508021390375</c:v>
                </c:pt>
                <c:pt idx="8">
                  <c:v>0.39130434782608697</c:v>
                </c:pt>
                <c:pt idx="9">
                  <c:v>0.45673076923076922</c:v>
                </c:pt>
                <c:pt idx="10">
                  <c:v>0.48837209302325579</c:v>
                </c:pt>
              </c:numCache>
            </c:numRef>
          </c:val>
          <c:smooth val="0"/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B14C-48C0-95F4-BFD72B0D6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lineChart>
        <c:grouping val="standard"/>
        <c:varyColors val="0"/>
        <c:ser>
          <c:idx val="1"/>
          <c:order val="1"/>
          <c:tx>
            <c:v>Ocasiones Falladas</c:v>
          </c:tx>
          <c:marker>
            <c:symbol val="none"/>
          </c:marker>
          <c:val>
            <c:numRef>
              <c:f>EstudioConversion!$L$2:$L$12</c:f>
              <c:numCache>
                <c:formatCode>General</c:formatCode>
                <c:ptCount val="11"/>
                <c:pt idx="0">
                  <c:v>7</c:v>
                </c:pt>
                <c:pt idx="1">
                  <c:v>24</c:v>
                </c:pt>
                <c:pt idx="2">
                  <c:v>126</c:v>
                </c:pt>
                <c:pt idx="3">
                  <c:v>101</c:v>
                </c:pt>
                <c:pt idx="4">
                  <c:v>143</c:v>
                </c:pt>
                <c:pt idx="5">
                  <c:v>245</c:v>
                </c:pt>
                <c:pt idx="6">
                  <c:v>104</c:v>
                </c:pt>
                <c:pt idx="7">
                  <c:v>187</c:v>
                </c:pt>
                <c:pt idx="8">
                  <c:v>92</c:v>
                </c:pt>
                <c:pt idx="9">
                  <c:v>208</c:v>
                </c:pt>
                <c:pt idx="10">
                  <c:v>129</c:v>
                </c:pt>
              </c:numCache>
            </c:numRef>
          </c:val>
          <c:smooth val="0"/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2-B14C-48C0-95F4-BFD72B0D6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"/>
        <c:axId val="20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>
            <a:solidFill>
              <a:srgbClr val="D8D8D8"/>
            </a:solidFill>
          </a:ln>
        </c:spPr>
        <c:txPr>
          <a:bodyPr rot="4800000" anchor="ctr" anchorCtr="1"/>
          <a:lstStyle/>
          <a:p>
            <a:pPr>
              <a:defRPr lang="es-es" sz="9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endParaRPr lang="es-ES"/>
          </a:p>
        </c:txPr>
        <c:crossAx val="11"/>
        <c:crosses val="autoZero"/>
        <c:auto val="1"/>
        <c:lblAlgn val="ctr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>
          <c:spPr>
            <a:ln w="9525">
              <a:solidFill>
                <a:srgbClr val="D8D8D8"/>
              </a:solidFill>
            </a:ln>
          </c:spPr>
        </c:majorGridlines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4800000" anchor="ctr" anchorCtr="1"/>
          <a:lstStyle/>
          <a:p>
            <a:pPr>
              <a:defRPr lang="es-es" sz="9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endParaRPr lang="es-ES"/>
          </a:p>
        </c:txPr>
        <c:crossAx val="10"/>
        <c:crosses val="autoZero"/>
        <c:crossBetween val="between"/>
      </c:valAx>
      <c:valAx>
        <c:axId val="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"/>
        <c:crosses val="max"/>
        <c:crossBetween val="between"/>
      </c:valAx>
      <c:catAx>
        <c:axId val="2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"/>
        <c:crosses val="autoZero"/>
        <c:auto val="1"/>
        <c:lblAlgn val="l"/>
        <c:lblOffset val="100"/>
        <c:noMultiLvlLbl val="0"/>
      </c:cat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604475" val="15"/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2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353272</xdr:colOff>
      <xdr:row>17</xdr:row>
      <xdr:rowOff>152873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B6AEDC8-DD05-4307-96E2-403B61A32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68272" cy="33913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8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7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B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6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B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4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B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3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B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2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B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1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5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B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50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6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3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1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Azq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A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8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9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94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492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491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600-0000A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49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A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8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7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8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9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9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9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9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9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9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9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9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9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72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7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8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8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8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66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6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8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6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8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3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6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8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8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5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8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7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7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7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7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7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7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48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7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7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46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4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7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7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4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39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3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6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36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6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3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6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3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6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3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6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6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6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6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6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5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5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18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5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7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1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5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12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11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5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08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5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0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4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0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4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3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4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02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4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4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4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4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4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9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8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8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3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84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3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8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81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600-00003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8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3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9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7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3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7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2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2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2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2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64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62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1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5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1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5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5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3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1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52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1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5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9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1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47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1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3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0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0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8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0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3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34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600-00000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32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2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28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2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F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24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F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2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F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29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xOZ8V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zq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Az6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7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2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7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2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10160</xdr:colOff>
      <xdr:row>23</xdr:row>
      <xdr:rowOff>9525</xdr:rowOff>
    </xdr:to>
    <xdr:pic>
      <xdr:nvPicPr>
        <xdr:cNvPr id="28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cAAAALAAAAAAAAABcAAAALAAAAMQADAFAjAAA2H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58597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10160</xdr:colOff>
      <xdr:row>20</xdr:row>
      <xdr:rowOff>9525</xdr:rowOff>
    </xdr:to>
    <xdr:pic>
      <xdr:nvPicPr>
        <xdr:cNvPr id="286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DAFAj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98780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6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58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10160</xdr:colOff>
      <xdr:row>20</xdr:row>
      <xdr:rowOff>9525</xdr:rowOff>
    </xdr:to>
    <xdr:pic>
      <xdr:nvPicPr>
        <xdr:cNvPr id="2857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DAFAj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98780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6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4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304165</xdr:colOff>
      <xdr:row>22</xdr:row>
      <xdr:rowOff>95250</xdr:rowOff>
    </xdr:to>
    <xdr:sp macro="" textlink="" fLocksText="0">
      <xdr:nvSpPr>
        <xdr:cNvPr id="2853" name="AutoShape 42" descr="Imprevisible">
          <a:extLst>
            <a:ext uri="{FF2B5EF4-FFF2-40B4-BE49-F238E27FC236}">
              <a16:creationId xmlns:a16="http://schemas.microsoft.com/office/drawing/2014/main" id="{00000000-0008-0000-0600-0000250B0000}"/>
            </a:ext>
          </a:extLst>
        </xdr:cNvPr>
        <xdr:cNvSpPr>
          <a:spLocks noChangeAspect="1"/>
          <a:extLst>
            <a:ext uri="smNativeData">
              <pm:smNativeData xmlns="" xmlns:pm="smNativeData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FQAAAAsAAAAAAAAAFgAAAAsAAADpAVsAUCMAAMIZAADfAQAA0AEAAAEAAAA="/>
            </a:ext>
          </a:extLst>
        </xdr:cNvSpPr>
      </xdr:nvSpPr>
      <xdr:spPr>
        <a:xfrm>
          <a:off x="5740400" y="4187190"/>
          <a:ext cx="304165" cy="29464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52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304165</xdr:colOff>
      <xdr:row>23</xdr:row>
      <xdr:rowOff>104775</xdr:rowOff>
    </xdr:to>
    <xdr:sp macro="" textlink="" fLocksText="0">
      <xdr:nvSpPr>
        <xdr:cNvPr id="2851" name="AutoShape 44" descr="Ràpid">
          <a:extLst>
            <a:ext uri="{FF2B5EF4-FFF2-40B4-BE49-F238E27FC236}">
              <a16:creationId xmlns:a16="http://schemas.microsoft.com/office/drawing/2014/main" id="{00000000-0008-0000-0600-0000230B0000}"/>
            </a:ext>
          </a:extLst>
        </xdr:cNvPr>
        <xdr:cNvSpPr>
          <a:spLocks noChangeAspect="1"/>
          <a:extLst>
            <a:ext uri="smNativeData">
              <pm:smNativeData xmlns="" xmlns:pm="smNativeData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FgAAAAsAAAAAAAAAFwAAAAsAAAAaAlsAUCMAAPwaAADfAQAA3wEAAAEAAAA="/>
            </a:ext>
          </a:extLst>
        </xdr:cNvSpPr>
      </xdr:nvSpPr>
      <xdr:spPr>
        <a:xfrm>
          <a:off x="5740400" y="438658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50" name="AutoShape 47" descr="Entrenador">
          <a:extLst>
            <a:ext uri="{FF2B5EF4-FFF2-40B4-BE49-F238E27FC236}">
              <a16:creationId xmlns:a16="http://schemas.microsoft.com/office/drawing/2014/main" id="{00000000-0008-0000-0600-0000220B0000}"/>
            </a:ext>
          </a:extLst>
        </xdr:cNvPr>
        <xdr:cNvSpPr>
          <a:spLocks noChangeAspect="1"/>
          <a:extLst>
            <a:ext uri="smNativeData">
              <pm:smNativeData xmlns="" xmlns:pm="smNativeData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QAAAAsAAAAAAAAAEgAAAAsAAAAaAlsAUCMAANoUAADfAQAA3wEAAAEAAAA="/>
            </a:ext>
          </a:extLst>
        </xdr:cNvSpPr>
      </xdr:nvSpPr>
      <xdr:spPr>
        <a:xfrm>
          <a:off x="5740400" y="338963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49" name="AutoShape 48" descr="Imprevisible">
          <a:extLst>
            <a:ext uri="{FF2B5EF4-FFF2-40B4-BE49-F238E27FC236}">
              <a16:creationId xmlns:a16="http://schemas.microsoft.com/office/drawing/2014/main" id="{00000000-0008-0000-0600-0000210B0000}"/>
            </a:ext>
          </a:extLst>
        </xdr:cNvPr>
        <xdr:cNvSpPr>
          <a:spLocks noChangeAspect="1"/>
          <a:extLst>
            <a:ext uri="smNativeData">
              <pm:smNativeData xmlns="" xmlns:pm="smNativeData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QAAAAsAAAAAAAAAEgAAAAsAAAAaAlsAUCMAANoUAADfAQAA3wEAAAEAAAA="/>
            </a:ext>
          </a:extLst>
        </xdr:cNvSpPr>
      </xdr:nvSpPr>
      <xdr:spPr>
        <a:xfrm>
          <a:off x="5740400" y="338963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48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2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304165</xdr:colOff>
      <xdr:row>20</xdr:row>
      <xdr:rowOff>104775</xdr:rowOff>
    </xdr:to>
    <xdr:sp macro="" textlink="" fLocksText="0">
      <xdr:nvSpPr>
        <xdr:cNvPr id="2847" name="AutoShape 51" descr="Tècnic">
          <a:extLst>
            <a:ext uri="{FF2B5EF4-FFF2-40B4-BE49-F238E27FC236}">
              <a16:creationId xmlns:a16="http://schemas.microsoft.com/office/drawing/2014/main" id="{00000000-0008-0000-0600-00001F0B0000}"/>
            </a:ext>
          </a:extLst>
        </xdr:cNvPr>
        <xdr:cNvSpPr>
          <a:spLocks noChangeAspect="1"/>
          <a:extLst>
            <a:ext uri="smNativeData">
              <pm:smNativeData xmlns="" xmlns:pm="smNativeData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wAAAAsAAAAAAAAAFAAAAAsAAAAaAlsAUCMAAE4XAADfAQAA3wEAAAEAAAA="/>
            </a:ext>
          </a:extLst>
        </xdr:cNvSpPr>
      </xdr:nvSpPr>
      <xdr:spPr>
        <a:xfrm>
          <a:off x="5740400" y="378841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10160</xdr:colOff>
      <xdr:row>20</xdr:row>
      <xdr:rowOff>9525</xdr:rowOff>
    </xdr:to>
    <xdr:pic>
      <xdr:nvPicPr>
        <xdr:cNvPr id="2846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1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BQAAAALAAAAAAAAABQAAAALAAAAMQADAFAj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98780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4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1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wzq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1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1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1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1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1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F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F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F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F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F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F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F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E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E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E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E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E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E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E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E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D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D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D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D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D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D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D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D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D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D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D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D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C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C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C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C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C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C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C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C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B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B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B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B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B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A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A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A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A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A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A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A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A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A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9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9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9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9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9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9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8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8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8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8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8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8890</xdr:colOff>
      <xdr:row>12</xdr:row>
      <xdr:rowOff>9525</xdr:rowOff>
    </xdr:to>
    <xdr:pic>
      <xdr:nvPicPr>
        <xdr:cNvPr id="23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OAAAAAAAAAAwAAAAOAAAAMQAGAMB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8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4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6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4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3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1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4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8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1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8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6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3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2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2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2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2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2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2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2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2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1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1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1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1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1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0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0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0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0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0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0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0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0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F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F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F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F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F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F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F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F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F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F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E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E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E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E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E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E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E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D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D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D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D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D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D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D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D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C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C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C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C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C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C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C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C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C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B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B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B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91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8890</xdr:colOff>
      <xdr:row>12</xdr:row>
      <xdr:rowOff>9525</xdr:rowOff>
    </xdr:to>
    <xdr:pic>
      <xdr:nvPicPr>
        <xdr:cNvPr id="19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OAAAAAAAAAAwAAAAOAAAAMQAGAMB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1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7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9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7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8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4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3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6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9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8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4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3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1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9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6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8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6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6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5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5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5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5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5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5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4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4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4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4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3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3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3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3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3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3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3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3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3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2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2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2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2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2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2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2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2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2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2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1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1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1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1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1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0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0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0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0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F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F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F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F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F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F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F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F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F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E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E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E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E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E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E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E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E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E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D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A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A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9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9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9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9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9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8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8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8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7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7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7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7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7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7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6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6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6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6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6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6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6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6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6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6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6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6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6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5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5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5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5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5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5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5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5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4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4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4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4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4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4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4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3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3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3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3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3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3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2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2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2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2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2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1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1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1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1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1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1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1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1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1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D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C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2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C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9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C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7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6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4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C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1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9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7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2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9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7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2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A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9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6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A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2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1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A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A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9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7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9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6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4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9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2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9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9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9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7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6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9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9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4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9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2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9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1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8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8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9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8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7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8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6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4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8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8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9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7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8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6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8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4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7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2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7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1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7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7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9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7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7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7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6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4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2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7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9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6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7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6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6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4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6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6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2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6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1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6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6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9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6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7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6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4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2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1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5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9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5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7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5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6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5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5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4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5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5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2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1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5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5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7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4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6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4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4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4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1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9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4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4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7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4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6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4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4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4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4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2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4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1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3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7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3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2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1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9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7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6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7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6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4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9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F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F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7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4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2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9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7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4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2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9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7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4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9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2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7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4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2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9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7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4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2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9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7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4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2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9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7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4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2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7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4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2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9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7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4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2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9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7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2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9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7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4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2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9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7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2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7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4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2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9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9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4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3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1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9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8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7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4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2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1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9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7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6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4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3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2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1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9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7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6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4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3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2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1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9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8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7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4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3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254635</xdr:colOff>
      <xdr:row>2</xdr:row>
      <xdr:rowOff>175894</xdr:rowOff>
    </xdr:from>
    <xdr:to>
      <xdr:col>7</xdr:col>
      <xdr:colOff>571500</xdr:colOff>
      <xdr:row>26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082.748898726852" createdVersion="4" refreshedVersion="6" minRefreshableVersion="3" recordCount="226" xr:uid="{00000000-000A-0000-FFFF-FFFF01000000}">
  <cacheSource type="worksheet">
    <worksheetSource ref="A1:H1048576" sheet="EstudioConversion"/>
  </cacheSource>
  <cacheFields count="8">
    <cacheField name="Fecha" numFmtId="0">
      <sharedItems containsNonDate="0" containsDate="1" containsString="0" containsBlank="1" minDate="2019-03-13T00:00:00" maxDate="2020-07-24T00:00:00"/>
    </cacheField>
    <cacheField name="Local" numFmtId="0">
      <sharedItems containsBlank="1"/>
    </cacheField>
    <cacheField name="Visitante" numFmtId="0">
      <sharedItems containsBlank="1"/>
    </cacheField>
    <cacheField name="NivelTactica" numFmtId="0">
      <sharedItems containsString="0" containsBlank="1" containsNumber="1" containsInteger="1" minValue="13" maxValue="24" count="13">
        <n v="14"/>
        <n v="15"/>
        <n v="16"/>
        <n v="17"/>
        <n v="18"/>
        <n v="19"/>
        <n v="20"/>
        <n v="21"/>
        <n v="23"/>
        <n v="22"/>
        <n v="24"/>
        <m/>
        <n v="13" u="1"/>
      </sharedItems>
    </cacheField>
    <cacheField name="NivelMedioVader" numFmtId="0">
      <sharedItems containsString="0" containsBlank="1" containsNumber="1" minValue="10.545454545454545" maxValue="13.181818181818182"/>
    </cacheField>
    <cacheField name="OcasionesFalladas" numFmtId="0">
      <sharedItems containsString="0" containsBlank="1" containsNumber="1" containsInteger="1" minValue="3" maxValue="12"/>
    </cacheField>
    <cacheField name="CAs" numFmtId="0">
      <sharedItems containsString="0" containsBlank="1" containsNumber="1" containsInteger="1" minValue="1" maxValue="7"/>
    </cacheField>
    <cacheField name="%_Conversión" numFmtId="0">
      <sharedItems containsString="0" containsBlank="1" containsNumber="1" minValue="0.14285714285714285" maxValue="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354.697124074075" createdVersion="6" refreshedVersion="6" minRefreshableVersion="3" recordCount="545" xr:uid="{BD371285-16DC-42C0-B2FE-A8689B3C2236}">
  <cacheSource type="worksheet">
    <worksheetSource ref="A1:D1048576" sheet="Goles"/>
  </cacheSource>
  <cacheFields count="4">
    <cacheField name="Jugador_mal" numFmtId="0">
      <sharedItems containsBlank="1"/>
    </cacheField>
    <cacheField name="Goles" numFmtId="0">
      <sharedItems containsString="0" containsBlank="1" containsNumber="1" containsInteger="1" minValue="1" maxValue="22"/>
    </cacheField>
    <cacheField name="Temp" numFmtId="0">
      <sharedItems containsBlank="1"/>
    </cacheField>
    <cacheField name="Jugador" numFmtId="0">
      <sharedItems containsBlank="1" count="395">
        <s v="Rodolfo Rinaldo Paso "/>
        <s v="Leandro Faias "/>
        <s v="Francesc Añigas "/>
        <s v="Cosme Fonteboa "/>
        <s v="Nicolás Galaz "/>
        <s v="Julian Gräbitz "/>
        <s v="Berto Abandero "/>
        <s v="Enrique Cubas "/>
        <s v="Valeri Gomis "/>
        <s v="Wil Duffill "/>
        <s v="Juan García Peñuela "/>
        <s v="Meraj Siddiqui "/>
        <s v="Iván Real Figueroa "/>
        <s v="Venanci Oset "/>
        <s v="Guillermo Pedrajas "/>
        <s v="Adam Moss "/>
        <s v="Augustin Demaison "/>
        <s v="Brunon Chuda "/>
        <s v="David Garcia-Spiess "/>
        <s v="Emilio Rojas "/>
        <s v="Erik Lemming "/>
        <s v="Ilari Santasalmi "/>
        <s v="Joãozinho do Mato "/>
        <s v="Leo Hilpinen "/>
        <s v="Leonardo Baltico "/>
        <s v="Malte Neulinger "/>
        <s v="Manolo Negrín "/>
        <s v="Martin Kilev "/>
        <s v="Melcior Calmet "/>
        <s v="Nikolas Lakkotripi "/>
        <s v="Pere Beltran "/>
        <s v="Roelant Bierman "/>
        <s v="Saúl Piña "/>
        <s v="? (Ho) ?? (Minwei) "/>
        <s v="Adamantios Fikias "/>
        <s v="Andrija Miškovic "/>
        <s v="Andrin Bärtsch "/>
        <s v="Antoine Dupré "/>
        <s v="Cezary Pauch "/>
        <s v="Clifford Smallwood "/>
        <s v="Eckardt Hägerling "/>
        <s v="Fabien Goncalves "/>
        <s v="Gregor Freischläger "/>
        <s v="Jacobo Ferrueros "/>
        <s v="Jorge Walter Whitaker "/>
        <s v="Jurgen Muësen "/>
        <s v="Károly Serfel "/>
        <s v="Lars Pouilliers "/>
        <s v="Markus Currie "/>
        <s v="Morgan Thomas "/>
        <s v="Nicolai Stentoft "/>
        <s v="Ofek Azuri "/>
        <s v="Olli Rambow "/>
        <s v="Roberto Montero "/>
        <s v="Adolfo Vitulli "/>
        <s v="Aleksi Alarotu "/>
        <s v="Aureliusz Staszczuk "/>
        <s v="Barnabás Borsányi "/>
        <s v="Boleslaw Starzomski "/>
        <s v="Emilio Mochelato "/>
        <s v="Fabien Fabre "/>
        <s v="Honesto Cousa "/>
        <s v="Karl Edwin "/>
        <s v="Miguel Fernández "/>
        <s v="Patrick Werner "/>
        <s v="Percy Alfredsson "/>
        <s v="Rasheed Da'na "/>
        <s v="Romain Grière "/>
        <s v="Seran Aranguren "/>
        <s v="Serapio Castrelos "/>
        <s v="Uday Adeeb "/>
        <s v="Andrea Califano "/>
        <s v="Arnold Kalckstein "/>
        <s v="Christophe Reinhart "/>
        <s v="Csaba Mezo "/>
        <s v="David Knuff "/>
        <s v="Dolf Fohringer "/>
        <s v="Gino van Hoesel "/>
        <s v="Igli Volpicelli "/>
        <s v="Jos Pittoors "/>
        <s v="Lauri Piminäinen "/>
        <s v="Ludwik Mojescik "/>
        <s v="Massimiliano Jula "/>
        <s v="Pieter Pelleboer "/>
        <s v="Raffaele Sitter "/>
        <s v="Steve Mckinnon "/>
        <s v="Tomasz Artymiuk "/>
        <s v="? (Pan) ?? (Yuandong) "/>
        <s v="Aamos Vara "/>
        <s v="Arjo Olthuis "/>
        <s v="Cornel Caraba "/>
        <s v="Fere Pulido "/>
        <s v="Fernando Gazón "/>
        <s v="Horacy Dzienis "/>
        <s v="Mario Omarini "/>
        <s v="Matteo Omacini "/>
        <s v="Nikolay Gerasimenko "/>
        <s v="Pasqual Vilar "/>
        <s v="Pau Redondo "/>
        <s v="Ryan Clarke "/>
        <s v="Xofre Taín "/>
        <s v="Arkadiusz Dembek "/>
        <s v="Ellák Deák "/>
        <s v="Gianfranco Rezza "/>
        <s v="Lech Sipinski "/>
        <s v="Mateusz Brzostowski "/>
        <s v="Miklós Gábriel "/>
        <s v="Ragip Övgü "/>
        <s v="Ricardo Esquerdo "/>
        <s v="Sansão Trindade Oliveira "/>
        <s v="Sascha Gilch "/>
        <s v="Stefano Spanu "/>
        <s v="Vincent Gautsch "/>
        <s v="Andrea Chiu "/>
        <s v="Carlos Ipinza "/>
        <s v="Dan Lindgren "/>
        <s v="Francesc Giró "/>
        <s v="Hjalte Egede "/>
        <s v="Tristan Voet "/>
        <s v="Zsolt Novák "/>
        <s v="Dan Veneau "/>
        <s v="Gastone Cianelli "/>
        <s v="José Luis Valdés Saavedra "/>
        <s v="Ludovic Gygax "/>
        <s v="Martijn Collinet "/>
        <s v="Ulf Schenkel "/>
        <s v="Andres Kalvet "/>
        <s v="Catalin Corobea "/>
        <s v="Dimitris Prokos "/>
        <s v="Fernando Juárez Sierra "/>
        <s v="Iacob Sarpe "/>
        <s v="Krzysztof Buras "/>
        <s v="Morgan Gomes "/>
        <s v="Finlay MacGrory "/>
        <s v="Marcin Lulewicz "/>
        <s v="Nicolau Caraduxe "/>
        <s v="Christophe Méjean "/>
        <s v="Gawel Nanowski "/>
        <s v="Alex Txantre "/>
        <s v="Co Wolbers "/>
        <s v="Cornel Boicea "/>
        <s v="John Chung "/>
        <s v="Kendor Nagiturri "/>
        <s v="Mattia Sambri "/>
        <s v="Renato Galeano "/>
        <s v="Roberto Abenoza "/>
        <s v="Tommaso Niscola "/>
        <s v="David Erbiti "/>
        <s v="Harald Georg Berchthold "/>
        <s v="Jan Jessen "/>
        <s v="Enis Kalan "/>
        <s v="José Manuel Carneiro "/>
        <s v="Ludvig Andreasson "/>
        <s v="Luigi Tripodo "/>
        <s v="Damiano Clementi "/>
        <s v="Pablo Gil Fano "/>
        <s v="Raúl Riquelme "/>
        <s v="Sejo Sáenz Marín "/>
        <s v="Aimar Lasalde "/>
        <s v="Gongotzon Ialdebere "/>
        <s v="Hansjürg Devier "/>
        <s v="Iyad Chaabo "/>
        <s v="Jörg Londorf "/>
        <s v="Pepijn Zwaan "/>
        <s v="Petru Pena "/>
        <s v="Relf Härteis "/>
        <s v="Zeno Baets "/>
        <s v="Aiurdi Azpileta "/>
        <s v="Casildo Abraldes "/>
        <s v="Ernst Lammers "/>
        <s v="Ibiur Altxakoa "/>
        <s v="Iuliu Pana "/>
        <s v="Mauro Vaz "/>
        <s v="Michele Giampieri "/>
        <s v="Richey Cowper "/>
        <s v="Zbyšek Hamrozi "/>
        <s v="Christophe Bodin "/>
        <s v="David Berkenbosch "/>
        <s v="Domenic Janjic "/>
        <s v="Juan Gabriel de Minaya "/>
        <s v="Stanislaw Zdankiewicz "/>
        <s v="Torsten Kortenhof "/>
        <s v="Alexander Pahl "/>
        <s v="Alfonso Londoño "/>
        <s v="Giulio Procaccianti "/>
        <s v="Jaime Ocón "/>
        <s v="Manuel Parejo "/>
        <s v="Wicher Ossedrijver "/>
        <s v="Felipe Andrés Massarelli "/>
        <s v="Gregorio Manrique "/>
        <s v="José Rubianes "/>
        <s v="Martin Herber "/>
        <s v="Tijl van Hamburg "/>
        <s v="Feliciano Becerril "/>
        <s v="Gustaw Bugajski "/>
        <s v="Karst van Gils "/>
        <s v="Udo Mier "/>
        <m/>
        <s v=" Arjo Olthuis " u="1"/>
        <s v=" Krzysztof Buras " u="1"/>
        <s v=" Pablo Gil Fano " u="1"/>
        <s v=" Jacobo Ferrueros " u="1"/>
        <s v=" Nikolay Gerasimenko " u="1"/>
        <s v=" Iyad Chaabo " u="1"/>
        <s v=" Emilio Rojas " u="1"/>
        <s v=" Wicher Ossedrijver " u="1"/>
        <s v=" Cornel Boicea " u="1"/>
        <s v=" Roberto Montero " u="1"/>
        <s v=" Ernst Lammers " u="1"/>
        <s v=" Aleksi Alarotu " u="1"/>
        <s v=" Co Wolbers " u="1"/>
        <s v=" Iuliu Pana " u="1"/>
        <s v=" Joãozinho do Mato " u="1"/>
        <s v=" Gawel Nanowski " u="1"/>
        <s v=" Horacy Dzienis " u="1"/>
        <s v=" Cosme Fonteboa " u="1"/>
        <s v=" Adam Moss " u="1"/>
        <s v=" Martin Kilev " u="1"/>
        <s v=" Ulf Schenkel " u="1"/>
        <s v=" Andrija Miškovic " u="1"/>
        <s v=" Manuel Parejo " u="1"/>
        <s v=" Mario Omarini " u="1"/>
        <s v=" Arkadiusz Dembek " u="1"/>
        <s v=" Gastone Cianelli " u="1"/>
        <s v=" Torsten Kortenhof " u="1"/>
        <s v=" Felipe Andrés Massarelli " u="1"/>
        <s v=" José Luis Valdés Saavedra " u="1"/>
        <s v=" José Rubianes " u="1"/>
        <s v=" Jorge Walter Whitaker " u="1"/>
        <s v=" Udo Mier " u="1"/>
        <s v=" Csaba Mezo " u="1"/>
        <s v=" Pasqual Vilar " u="1"/>
        <s v=" David Garcia-Spiess " u="1"/>
        <s v=" Leandro Faias " u="1"/>
        <s v=" Matteo Omacini " u="1"/>
        <s v=" Adamantios Fikias " u="1"/>
        <s v=" Andres Kalvet " u="1"/>
        <s v=" Cornel Caraba " u="1"/>
        <s v=" Aimar Lasalde " u="1"/>
        <s v=" Ludovic Gygax " u="1"/>
        <s v=" Alex Txantre " u="1"/>
        <s v=" Roelant Bierman " u="1"/>
        <s v=" Christophe Reinhart " u="1"/>
        <s v=" Pere Beltran " u="1"/>
        <s v=" Francesc Añigas " u="1"/>
        <s v=" Christophe Méjean " u="1"/>
        <s v=" Tomasz Artymiuk " u="1"/>
        <s v=" Leonardo Baltico " u="1"/>
        <s v=" Juan Gabriel de Minaya " u="1"/>
        <s v=" Saúl Piña " u="1"/>
        <s v=" Igli Volpicelli " u="1"/>
        <s v=" Seran Aranguren " u="1"/>
        <s v=" Zeno Baets " u="1"/>
        <s v=" Dan Lindgren " u="1"/>
        <s v=" Lars Pouilliers " u="1"/>
        <s v=" Feliciano Becerril " u="1"/>
        <s v=" Dolf Fohringer " u="1"/>
        <s v=" Percy Alfredsson " u="1"/>
        <s v=" Stanislaw Zdankiewicz " u="1"/>
        <s v=" Jaime Ocón " u="1"/>
        <s v=" Carlos Ipinza " u="1"/>
        <s v=" Enrique Cubas " u="1"/>
        <s v=" Catalin Corobea " u="1"/>
        <s v=" Massimiliano Jula " u="1"/>
        <s v=" Jan Jessen " u="1"/>
        <s v=" Tommaso Niscola " u="1"/>
        <s v=" Augustin Demaison " u="1"/>
        <s v=" David Berkenbosch " u="1"/>
        <s v=" ? (Pan) ?? (Yuandong) " u="1"/>
        <s v=" Antoine Dupré " u="1"/>
        <s v=" Morgan Thomas " u="1"/>
        <s v=" Roberto Abenoza " u="1"/>
        <s v=" Gianfranco Rezza " u="1"/>
        <s v=" Aamos Vara " u="1"/>
        <s v=" Zbyšek Hamrozi " u="1"/>
        <s v=" Nicolau Caraduxe " u="1"/>
        <s v=" Iván Real Figueroa " u="1"/>
        <s v=" Ragip Övgü " u="1"/>
        <s v=" Cezary Pauch " u="1"/>
        <s v=" Jörg Londorf " u="1"/>
        <s v=" Vincent Gautsch " u="1"/>
        <s v=" Fernando Juárez Sierra " u="1"/>
        <s v=" Relf Härteis " u="1"/>
        <s v=" Gregorio Manrique " u="1"/>
        <s v=" Harald Georg Berchthold " u="1"/>
        <s v=" Zsolt Novák " u="1"/>
        <s v=" Jos Pittoors " u="1"/>
        <s v=" Ludvig Andreasson " u="1"/>
        <s v=" Hjalte Egede " u="1"/>
        <s v=" Fernando Gazón " u="1"/>
        <s v=" Marcin Lulewicz " u="1"/>
        <s v=" Dan Veneau " u="1"/>
        <s v=" Ludwik Mojescik " u="1"/>
        <s v=" Arnold Kalckstein " u="1"/>
        <s v=" Guillermo Pedrajas " u="1"/>
        <s v=" David Knuff " u="1"/>
        <s v=" Romain Grière " u="1"/>
        <s v=" Barnabás Borsányi " u="1"/>
        <s v=" Emilio Mochelato " u="1"/>
        <s v=" Aureliusz Staszczuk " u="1"/>
        <s v=" Boleslaw Starzomski " u="1"/>
        <s v=" Aiurdi Azpileta " u="1"/>
        <s v=" Ricardo Esquerdo " u="1"/>
        <s v=" Uday Adeeb " u="1"/>
        <s v=" Serapio Castrelos " u="1"/>
        <s v=" Brunon Chuda " u="1"/>
        <s v=" Pepijn Zwaan " u="1"/>
        <s v=" Francesc Giró " u="1"/>
        <s v=" Lauri Piminäinen " u="1"/>
        <s v=" Michele Giampieri " u="1"/>
        <s v=" Pau Redondo " u="1"/>
        <s v=" Sejo Sáenz Marín " u="1"/>
        <s v=" Patrick Werner " u="1"/>
        <s v=" Venanci Oset " u="1"/>
        <s v=" Honesto Cousa " u="1"/>
        <s v=" Raúl Riquelme " u="1"/>
        <s v=" Miguel Fernández " u="1"/>
        <s v=" José Manuel Carneiro " u="1"/>
        <s v=" Enis Kalan " u="1"/>
        <s v=" Lech Sipinski " u="1"/>
        <s v=" Raffaele Sitter " u="1"/>
        <s v=" Xofre Taín " u="1"/>
        <s v=" Malte Neulinger " u="1"/>
        <s v=" David Erbiti " u="1"/>
        <s v=" Jurgen Muësen " u="1"/>
        <s v=" Damiano Clementi " u="1"/>
        <s v=" Ellák Deák " u="1"/>
        <s v=" Iacob Sarpe " u="1"/>
        <s v=" Erik Lemming " u="1"/>
        <s v=" Leo Hilpinen " u="1"/>
        <s v=" Dimitris Prokos " u="1"/>
        <s v=" Fabien Goncalves " u="1"/>
        <s v=" Eckardt Hägerling " u="1"/>
        <s v=" Sascha Gilch " u="1"/>
        <s v=" Renato Galeano " u="1"/>
        <s v=" Pieter Pelleboer " u="1"/>
        <s v=" Clifford Smallwood " u="1"/>
        <s v=" Nikolas Lakkotripi " u="1"/>
        <s v=" Fere Pulido " u="1"/>
        <s v=" Wil Duffill " u="1"/>
        <s v=" Ibiur Altxakoa " u="1"/>
        <s v=" Karst van Gils " u="1"/>
        <s v=" Meraj Siddiqui " u="1"/>
        <s v=" Fabien Fabre " u="1"/>
        <s v=" Steve Mckinnon " u="1"/>
        <s v=" Gongotzon Ialdebere " u="1"/>
        <s v=" Juan García Peñuela " u="1"/>
        <s v=" Ryan Clarke " u="1"/>
        <s v=" Manolo Negrín " u="1"/>
        <s v=" Mauro Vaz " u="1"/>
        <s v=" Martin Herber " u="1"/>
        <s v=" Andrea Chiu " u="1"/>
        <s v=" Gino van Hoesel " u="1"/>
        <s v=" Hansjürg Devier " u="1"/>
        <s v=" Olli Rambow " u="1"/>
        <s v=" Domenic Janjic " u="1"/>
        <s v=" Andrea Califano " u="1"/>
        <s v=" Christophe Bodin " u="1"/>
        <s v=" Mateusz Brzostowski " u="1"/>
        <s v=" Rodolfo Rinaldo Paso " u="1"/>
        <s v=" John Chung " u="1"/>
        <s v=" Richey Cowper " u="1"/>
        <s v=" Adolfo Vitulli " u="1"/>
        <s v=" Berto Abandero " u="1"/>
        <s v=" Alfonso Londoño " u="1"/>
        <s v=" Tijl van Hamburg " u="1"/>
        <s v=" Ofek Azuri " u="1"/>
        <s v=" Petru Pena " u="1"/>
        <s v=" Károly Serfel " u="1"/>
        <s v=" Nicolás Galaz " u="1"/>
        <s v=" Julian Gräbitz " u="1"/>
        <s v=" Melcior Calmet " u="1"/>
        <s v=" Ilari Santasalmi " u="1"/>
        <s v=" Luigi Tripodo " u="1"/>
        <s v=" Markus Currie " u="1"/>
        <s v=" Andrin Bärtsch " u="1"/>
        <s v=" Gustaw Bugajski " u="1"/>
        <s v=" Kendor Nagiturri " u="1"/>
        <s v=" ? (Ho) ?? (Minwei) " u="1"/>
        <s v=" Sansão Trindade Oliveira " u="1"/>
        <s v=" Morgan Gomes " u="1"/>
        <s v=" Alexander Pahl " u="1"/>
        <s v=" Nicolai Stentoft " u="1"/>
        <s v=" Miklós Gábriel " u="1"/>
        <s v=" Finlay MacGrory " u="1"/>
        <s v=" Karl Edwin " u="1"/>
        <s v=" Tristan Voet " u="1"/>
        <s v=" Casildo Abraldes " u="1"/>
        <s v=" Martijn Collinet " u="1"/>
        <s v=" Giulio Procaccianti " u="1"/>
        <s v=" Valeri Gomis " u="1"/>
        <s v=" Mattia Sambri " u="1"/>
        <s v=" Rasheed Da'na " u="1"/>
        <s v=" Stefano Spanu " u="1"/>
        <s v=" Gregor Freischläger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d v="2019-07-24T00:00:00"/>
    <s v="V@der SC"/>
    <s v="Fernando de Rojas"/>
    <x v="0"/>
    <n v="11.545454545454545"/>
    <n v="7"/>
    <n v="2"/>
    <n v="0.2857142857142857"/>
  </r>
  <r>
    <d v="2019-06-01T00:00:00"/>
    <s v="Prodigy Sucany"/>
    <s v="V@der SC"/>
    <x v="1"/>
    <n v="11.727272727272727"/>
    <n v="9"/>
    <n v="2"/>
    <n v="0.22222222222222221"/>
  </r>
  <r>
    <d v="2019-08-07T00:00:00"/>
    <s v="white widow"/>
    <s v="V@der SC"/>
    <x v="1"/>
    <n v="10.545454545454545"/>
    <n v="9"/>
    <n v="4"/>
    <n v="0.44444444444444442"/>
  </r>
  <r>
    <d v="2019-08-14T00:00:00"/>
    <s v="mehmet"/>
    <s v="V@der SC"/>
    <x v="1"/>
    <n v="10.818181818181818"/>
    <n v="6"/>
    <n v="2"/>
    <n v="0.33333333333333331"/>
  </r>
  <r>
    <d v="2019-08-03T00:00:00"/>
    <s v="V@der SC"/>
    <s v="Splug Team"/>
    <x v="2"/>
    <n v="11.818181818181818"/>
    <n v="4"/>
    <n v="1"/>
    <n v="0.25"/>
  </r>
  <r>
    <d v="2019-07-31T00:00:00"/>
    <s v="Los amiguitos de Don Pimpon"/>
    <s v="V@der SC"/>
    <x v="2"/>
    <n v="11"/>
    <n v="7"/>
    <n v="3"/>
    <n v="0.42857142857142855"/>
  </r>
  <r>
    <d v="2019-06-26T00:00:00"/>
    <s v="V@der SC"/>
    <s v="John Rebus F.c"/>
    <x v="2"/>
    <n v="12.181818181818182"/>
    <n v="9"/>
    <n v="3"/>
    <n v="0.33333333333333331"/>
  </r>
  <r>
    <d v="2019-06-25T00:00:00"/>
    <s v="VINATIKA FC 2"/>
    <s v="V@der SC"/>
    <x v="2"/>
    <n v="12.181818181818182"/>
    <n v="6"/>
    <n v="2"/>
    <n v="0.33333333333333331"/>
  </r>
  <r>
    <d v="2019-06-25T00:00:00"/>
    <s v="V@der SC"/>
    <s v="Basil444"/>
    <x v="2"/>
    <n v="12.181818181818182"/>
    <n v="4"/>
    <n v="2"/>
    <n v="0.5"/>
  </r>
  <r>
    <d v="2019-06-24T00:00:00"/>
    <s v="konary"/>
    <s v="V@der SC"/>
    <x v="2"/>
    <n v="12.181818181818182"/>
    <n v="3"/>
    <n v="2"/>
    <n v="0.66666666666666663"/>
  </r>
  <r>
    <d v="2019-06-20T00:00:00"/>
    <s v="Ladány City"/>
    <s v="V@der SC"/>
    <x v="2"/>
    <n v="12.181818181818182"/>
    <n v="9"/>
    <n v="2"/>
    <n v="0.22222222222222221"/>
  </r>
  <r>
    <d v="2019-06-19T00:00:00"/>
    <s v="V@der SC"/>
    <s v="Nie Zjednoczeni Kaczory"/>
    <x v="2"/>
    <n v="12.181818181818182"/>
    <n v="7"/>
    <n v="2"/>
    <n v="0.2857142857142857"/>
  </r>
  <r>
    <d v="2019-06-19T00:00:00"/>
    <s v="V@der SC"/>
    <s v="Cuchufritos F.C."/>
    <x v="2"/>
    <n v="12.181818181818182"/>
    <n v="5"/>
    <n v="2"/>
    <n v="0.4"/>
  </r>
  <r>
    <d v="2019-06-18T00:00:00"/>
    <s v="Ju.far72"/>
    <s v="V@der SC"/>
    <x v="2"/>
    <n v="12.181818181818182"/>
    <n v="9"/>
    <n v="3"/>
    <n v="0.33333333333333331"/>
  </r>
  <r>
    <d v="2019-06-18T00:00:00"/>
    <s v="Mks Pilica PEDEZET"/>
    <s v="V@der SC"/>
    <x v="2"/>
    <n v="12.181818181818182"/>
    <n v="6"/>
    <n v="2"/>
    <n v="0.33333333333333331"/>
  </r>
  <r>
    <d v="2019-06-17T00:00:00"/>
    <s v="V@der SC"/>
    <s v="FC Bayern München 16"/>
    <x v="2"/>
    <n v="12.181818181818182"/>
    <n v="10"/>
    <n v="3"/>
    <n v="0.3"/>
  </r>
  <r>
    <d v="2019-06-17T00:00:00"/>
    <s v="V@der SC"/>
    <s v="Grasshopper Club Nidwalden"/>
    <x v="2"/>
    <n v="12.181818181818182"/>
    <n v="7"/>
    <n v="3"/>
    <n v="0.42857142857142855"/>
  </r>
  <r>
    <d v="2019-06-08T00:00:00"/>
    <s v="CD Castalia"/>
    <s v="V@der SC"/>
    <x v="2"/>
    <n v="12.181818181818182"/>
    <n v="4"/>
    <n v="2"/>
    <n v="0.5"/>
  </r>
  <r>
    <d v="2019-06-01T00:00:00"/>
    <s v="Cogollos F.C"/>
    <s v="V@der SC"/>
    <x v="2"/>
    <n v="12"/>
    <n v="5"/>
    <n v="3"/>
    <n v="0.6"/>
  </r>
  <r>
    <d v="2019-05-30T00:00:00"/>
    <s v="V@der SC"/>
    <s v="Ulls de Gat Mesquer"/>
    <x v="2"/>
    <n v="12.363636363636363"/>
    <n v="9"/>
    <n v="4"/>
    <n v="0.44444444444444442"/>
  </r>
  <r>
    <d v="2019-05-25T00:00:00"/>
    <s v="V@der SC"/>
    <s v="iRatlle"/>
    <x v="2"/>
    <n v="12.090909090909092"/>
    <n v="5"/>
    <n v="3"/>
    <n v="0.6"/>
  </r>
  <r>
    <d v="2019-05-17T00:00:00"/>
    <s v="Hakom"/>
    <s v="V@der SC"/>
    <x v="2"/>
    <n v="12.090909090909092"/>
    <n v="6"/>
    <n v="3"/>
    <n v="0.5"/>
  </r>
  <r>
    <d v="2019-03-26T00:00:00"/>
    <s v="Santa Barbosa Aludosa"/>
    <s v="V@der SC"/>
    <x v="2"/>
    <n v="11.727272727272727"/>
    <n v="4"/>
    <n v="2"/>
    <n v="0.5"/>
  </r>
  <r>
    <d v="2019-06-28T00:00:00"/>
    <s v="V@der SC"/>
    <s v="Fc De Rositas"/>
    <x v="3"/>
    <n v="11.818181818181818"/>
    <n v="10"/>
    <n v="4"/>
    <n v="0.4"/>
  </r>
  <r>
    <d v="2019-06-27T00:00:00"/>
    <s v="Insulae Atlantis"/>
    <s v="V@der SC"/>
    <x v="3"/>
    <n v="12.181818181818182"/>
    <n v="4"/>
    <n v="2"/>
    <n v="0.5"/>
  </r>
  <r>
    <d v="2019-06-27T00:00:00"/>
    <s v="V@der SC"/>
    <s v="Bar Karakas C.F."/>
    <x v="3"/>
    <n v="12.181818181818182"/>
    <n v="6"/>
    <n v="1"/>
    <n v="0.16666666666666666"/>
  </r>
  <r>
    <d v="2019-06-27T00:00:00"/>
    <s v="Dzsoni Valkur"/>
    <s v="V@der SC"/>
    <x v="3"/>
    <n v="12.181818181818182"/>
    <n v="7"/>
    <n v="3"/>
    <n v="0.42857142857142855"/>
  </r>
  <r>
    <d v="2019-06-26T00:00:00"/>
    <s v="Wisla Skawina"/>
    <s v="V@der SC"/>
    <x v="3"/>
    <n v="12.181818181818182"/>
    <n v="7"/>
    <n v="1"/>
    <n v="0.14285714285714285"/>
  </r>
  <r>
    <d v="2019-06-25T00:00:00"/>
    <s v="V@der SC"/>
    <s v="Ornitorrincos Purpura"/>
    <x v="3"/>
    <n v="12.181818181818182"/>
    <n v="8"/>
    <n v="3"/>
    <n v="0.375"/>
  </r>
  <r>
    <d v="2019-06-20T00:00:00"/>
    <s v="USC Olaf Football"/>
    <s v="V@der SC"/>
    <x v="3"/>
    <n v="12.181818181818182"/>
    <n v="8"/>
    <n v="3"/>
    <n v="0.375"/>
  </r>
  <r>
    <d v="2019-05-18T00:00:00"/>
    <s v="Refucilo CF"/>
    <s v="V@der SC"/>
    <x v="3"/>
    <n v="12.090909090909092"/>
    <n v="9"/>
    <n v="5"/>
    <n v="0.55555555555555558"/>
  </r>
  <r>
    <d v="2019-05-11T00:00:00"/>
    <s v="V@der SC"/>
    <s v="Splug Team"/>
    <x v="3"/>
    <n v="12.090909090909092"/>
    <n v="6"/>
    <n v="1"/>
    <n v="0.16666666666666666"/>
  </r>
  <r>
    <d v="2019-05-04T00:00:00"/>
    <s v="Kersky"/>
    <s v="V@der SC"/>
    <x v="3"/>
    <n v="11.909090909090908"/>
    <n v="8"/>
    <n v="4"/>
    <n v="0.5"/>
  </r>
  <r>
    <d v="2019-03-23T00:00:00"/>
    <s v="V@der SC"/>
    <s v="CD Castalia"/>
    <x v="3"/>
    <n v="11.909090909090908"/>
    <n v="5"/>
    <n v="1"/>
    <n v="0.2"/>
  </r>
  <r>
    <d v="2019-03-16T00:00:00"/>
    <s v="Menkoko C.F."/>
    <s v="V@der SC"/>
    <x v="3"/>
    <n v="11.727272727272727"/>
    <n v="7"/>
    <n v="3"/>
    <n v="0.42857142857142855"/>
  </r>
  <r>
    <d v="2019-03-13T00:00:00"/>
    <s v="Tuviejahuelemal"/>
    <s v="V@der SC"/>
    <x v="3"/>
    <n v="11.727272727272727"/>
    <n v="7"/>
    <n v="4"/>
    <n v="0.5714285714285714"/>
  </r>
  <r>
    <d v="2019-08-27T00:00:00"/>
    <s v="V@der SC"/>
    <s v="CSD Avengers"/>
    <x v="4"/>
    <n v="12.545454545454545"/>
    <n v="4"/>
    <n v="1"/>
    <n v="0.25"/>
  </r>
  <r>
    <d v="2019-07-10T00:00:00"/>
    <s v="Lobos del Viento"/>
    <s v="V@der SC"/>
    <x v="4"/>
    <n v="12.181818181818182"/>
    <n v="6"/>
    <n v="2"/>
    <n v="0.33333333333333331"/>
  </r>
  <r>
    <d v="2019-07-10T00:00:00"/>
    <s v="V@der SC"/>
    <s v="US Women National Tema"/>
    <x v="4"/>
    <n v="12"/>
    <n v="3"/>
    <n v="1"/>
    <n v="0.33333333333333331"/>
  </r>
  <r>
    <d v="2019-07-09T00:00:00"/>
    <s v="V@der SC"/>
    <s v="S.H.M.Piast Gliwice"/>
    <x v="4"/>
    <n v="11.909090909090908"/>
    <n v="5"/>
    <n v="1"/>
    <n v="0.2"/>
  </r>
  <r>
    <d v="2019-04-27T00:00:00"/>
    <s v="V@der SC"/>
    <s v="Kersky"/>
    <x v="4"/>
    <n v="11.909090909090908"/>
    <n v="7"/>
    <n v="2"/>
    <n v="0.2857142857142857"/>
  </r>
  <r>
    <d v="2019-04-20T00:00:00"/>
    <s v="Splug Team"/>
    <s v="V@der SC"/>
    <x v="4"/>
    <n v="11.909090909090908"/>
    <n v="9"/>
    <n v="3"/>
    <n v="0.33333333333333331"/>
  </r>
  <r>
    <d v="2019-04-13T00:00:00"/>
    <s v="V@der SC"/>
    <s v="Refucilo CF"/>
    <x v="4"/>
    <n v="11.909090909090908"/>
    <n v="8"/>
    <n v="3"/>
    <n v="0.375"/>
  </r>
  <r>
    <d v="2019-04-06T00:00:00"/>
    <s v="iRatlle"/>
    <s v="V@der SC"/>
    <x v="4"/>
    <n v="11.909090909090908"/>
    <n v="8"/>
    <n v="3"/>
    <n v="0.375"/>
  </r>
  <r>
    <d v="2019-03-30T00:00:00"/>
    <s v="V@der SC"/>
    <s v="Cogollos F.C"/>
    <x v="4"/>
    <n v="11.909090909090908"/>
    <n v="6"/>
    <n v="1"/>
    <n v="0.16666666666666666"/>
  </r>
  <r>
    <d v="2019-08-10T00:00:00"/>
    <s v="TOERS TEAM"/>
    <s v="V@der SC"/>
    <x v="4"/>
    <n v="12.545454545454545"/>
    <n v="5"/>
    <n v="1"/>
    <n v="0.2"/>
  </r>
  <r>
    <d v="2019-08-24T00:00:00"/>
    <s v="V@der SC"/>
    <s v="Proxibecas"/>
    <x v="4"/>
    <n v="12.818181818181818"/>
    <n v="8"/>
    <n v="3"/>
    <n v="0.375"/>
  </r>
  <r>
    <d v="2019-07-20T00:00:00"/>
    <s v="CD Castalia"/>
    <s v="V@der SC"/>
    <x v="5"/>
    <n v="11.454545454545455"/>
    <n v="5"/>
    <n v="2"/>
    <n v="0.4"/>
  </r>
  <r>
    <d v="2019-07-11T00:00:00"/>
    <s v="V@der SC"/>
    <s v="I treni di Tozeur"/>
    <x v="5"/>
    <n v="11.909090909090908"/>
    <n v="12"/>
    <n v="5"/>
    <n v="0.41666666666666669"/>
  </r>
  <r>
    <d v="2019-07-06T00:00:00"/>
    <s v="V@der SC"/>
    <s v="The Pyramid Mystery"/>
    <x v="5"/>
    <n v="11.909090909090908"/>
    <n v="9"/>
    <n v="5"/>
    <n v="0.55555555555555558"/>
  </r>
  <r>
    <d v="2019-07-31T00:00:00"/>
    <s v="V@der SC"/>
    <s v="Wing Men"/>
    <x v="6"/>
    <n v="12.272727272727273"/>
    <n v="6"/>
    <n v="2"/>
    <n v="0.33333333333333331"/>
  </r>
  <r>
    <d v="2019-07-26T00:00:00"/>
    <s v="FC BvB"/>
    <s v="V@der SC"/>
    <x v="6"/>
    <n v="12.272727272727273"/>
    <n v="5"/>
    <n v="3"/>
    <n v="0.6"/>
  </r>
  <r>
    <d v="2019-07-17T00:00:00"/>
    <s v="V@der SC"/>
    <s v="Mendibil"/>
    <x v="6"/>
    <n v="12.409090909090908"/>
    <n v="7"/>
    <n v="4"/>
    <n v="0.5714285714285714"/>
  </r>
  <r>
    <d v="2019-08-31T00:00:00"/>
    <s v="V@der SC"/>
    <s v="TOWERS TEAM"/>
    <x v="3"/>
    <n v="12.545454545454545"/>
    <n v="4"/>
    <n v="2"/>
    <n v="0.5"/>
  </r>
  <r>
    <d v="2019-09-03T00:00:00"/>
    <s v="Romdi"/>
    <s v="V@der SC"/>
    <x v="2"/>
    <n v="12.727272727272727"/>
    <n v="7"/>
    <n v="4"/>
    <n v="0.5714285714285714"/>
  </r>
  <r>
    <d v="2019-09-05T00:00:00"/>
    <s v="V@der SC"/>
    <s v="Babbu team"/>
    <x v="5"/>
    <n v="13.090909090909092"/>
    <n v="10"/>
    <n v="3"/>
    <n v="0.3"/>
  </r>
  <r>
    <d v="2019-09-05T00:00:00"/>
    <s v="V@der SC"/>
    <s v="Club de Catalunya"/>
    <x v="4"/>
    <n v="13.090909090909092"/>
    <n v="4"/>
    <n v="2"/>
    <n v="0.5"/>
  </r>
  <r>
    <d v="2019-09-07T00:00:00"/>
    <s v="Splug Team"/>
    <s v="V@der SC"/>
    <x v="5"/>
    <n v="12.818181818181818"/>
    <n v="7"/>
    <n v="4"/>
    <n v="0.5714285714285714"/>
  </r>
  <r>
    <d v="2019-09-09T00:00:00"/>
    <s v="V@der SC"/>
    <s v="Atletico ius"/>
    <x v="4"/>
    <n v="11.909090909090908"/>
    <n v="6"/>
    <n v="3"/>
    <n v="0.5"/>
  </r>
  <r>
    <d v="2019-09-11T00:00:00"/>
    <s v="Funkickers zwarte Schapen"/>
    <s v="V@der SC"/>
    <x v="4"/>
    <n v="13.090909090909092"/>
    <n v="4"/>
    <n v="1"/>
    <n v="0.25"/>
  </r>
  <r>
    <d v="2019-09-14T00:00:00"/>
    <s v="Menkoko C.F."/>
    <s v="V@der SC"/>
    <x v="4"/>
    <n v="12.090909090909092"/>
    <n v="3"/>
    <n v="1"/>
    <n v="0.33333333333333331"/>
  </r>
  <r>
    <d v="2019-09-16T00:00:00"/>
    <s v="V@der SC"/>
    <s v="Bandurrias del Sur"/>
    <x v="5"/>
    <n v="12.818181818181818"/>
    <n v="6"/>
    <n v="2"/>
    <n v="0.33333333333333331"/>
  </r>
  <r>
    <d v="2019-09-23T00:00:00"/>
    <s v="von der veck"/>
    <s v="V@der SC"/>
    <x v="4"/>
    <n v="12.818181818181818"/>
    <n v="9"/>
    <n v="4"/>
    <n v="0.44444444444444442"/>
  </r>
  <r>
    <d v="2019-09-28T00:00:00"/>
    <s v="P.C.N"/>
    <s v="V@der SC"/>
    <x v="5"/>
    <n v="12.727272727272727"/>
    <n v="4"/>
    <n v="2"/>
    <n v="0.5"/>
  </r>
  <r>
    <d v="2019-09-30T00:00:00"/>
    <s v="V@der SC"/>
    <s v="Nacidos de la Bruma"/>
    <x v="5"/>
    <n v="13.090909090909092"/>
    <n v="9"/>
    <n v="5"/>
    <n v="0.55555555555555558"/>
  </r>
  <r>
    <d v="2019-10-01T00:00:00"/>
    <s v="F.c. de Rositas"/>
    <s v="V@der SC"/>
    <x v="4"/>
    <n v="13.181818181818182"/>
    <n v="7"/>
    <n v="3"/>
    <n v="0.42857142857142855"/>
  </r>
  <r>
    <d v="2019-10-04T00:00:00"/>
    <s v="V@der SC"/>
    <s v="La Pobla FC"/>
    <x v="5"/>
    <n v="13.181818181818182"/>
    <n v="6"/>
    <n v="3"/>
    <n v="0.5"/>
  </r>
  <r>
    <d v="2019-10-05T00:00:00"/>
    <s v="F.c. de Rositas"/>
    <s v="V@der SC"/>
    <x v="4"/>
    <n v="13.181818181818182"/>
    <n v="10"/>
    <n v="3"/>
    <n v="0.3"/>
  </r>
  <r>
    <d v="2019-10-07T00:00:00"/>
    <s v="Dinamo skiejef"/>
    <s v="V@der SC"/>
    <x v="5"/>
    <n v="13.181818181818182"/>
    <n v="7"/>
    <n v="4"/>
    <n v="0.5714285714285714"/>
  </r>
  <r>
    <d v="2019-10-07T00:00:00"/>
    <s v="Athletic MSS"/>
    <s v="V@der SC"/>
    <x v="5"/>
    <n v="13.181818181818182"/>
    <n v="7"/>
    <n v="2"/>
    <n v="0.2857142857142857"/>
  </r>
  <r>
    <d v="2019-10-07T00:00:00"/>
    <s v="V@der SC"/>
    <s v="Demos returns"/>
    <x v="5"/>
    <n v="13.181818181818182"/>
    <n v="12"/>
    <n v="3"/>
    <n v="0.25"/>
  </r>
  <r>
    <d v="2019-10-07T00:00:00"/>
    <s v="V@der SC"/>
    <s v="P.E.C. Zwolle"/>
    <x v="5"/>
    <n v="13.181818181818182"/>
    <n v="9"/>
    <n v="5"/>
    <n v="0.55555555555555558"/>
  </r>
  <r>
    <d v="2019-10-08T00:00:00"/>
    <s v="Luso Futebol do Dafundo"/>
    <s v="V@der SC"/>
    <x v="4"/>
    <n v="13.181818181818182"/>
    <n v="9"/>
    <n v="3"/>
    <n v="0.33333333333333331"/>
  </r>
  <r>
    <d v="2019-10-08T00:00:00"/>
    <s v="FC FLEW"/>
    <s v="V@der SC"/>
    <x v="5"/>
    <n v="13.181818181818182"/>
    <n v="10"/>
    <n v="5"/>
    <n v="0.5"/>
  </r>
  <r>
    <d v="2019-10-09T00:00:00"/>
    <s v="CF Crystynho 07"/>
    <s v="V@der SC"/>
    <x v="5"/>
    <n v="12.909090909090908"/>
    <n v="10"/>
    <n v="2"/>
    <n v="0.2"/>
  </r>
  <r>
    <d v="2019-10-10T00:00:00"/>
    <s v="V@der SC"/>
    <s v="Start Rudnik"/>
    <x v="4"/>
    <n v="12.909090909090908"/>
    <n v="8"/>
    <n v="3"/>
    <n v="0.375"/>
  </r>
  <r>
    <d v="2019-10-10T00:00:00"/>
    <s v="V@der SC"/>
    <s v="Vicers PS"/>
    <x v="5"/>
    <n v="12.909090909090908"/>
    <n v="7"/>
    <n v="3"/>
    <n v="0.42857142857142855"/>
  </r>
  <r>
    <d v="2019-10-10T00:00:00"/>
    <s v="V@der SC"/>
    <s v="Organización"/>
    <x v="5"/>
    <n v="12.909090909090908"/>
    <n v="8"/>
    <n v="3"/>
    <n v="0.375"/>
  </r>
  <r>
    <d v="2019-10-15T00:00:00"/>
    <s v="Legazpi de Maputo"/>
    <s v="V@der SC"/>
    <x v="4"/>
    <n v="12.909090909090908"/>
    <n v="8"/>
    <n v="3"/>
    <n v="0.375"/>
  </r>
  <r>
    <d v="2019-10-15T00:00:00"/>
    <s v="CMM Canoa Polo Triste"/>
    <s v="V@der SC"/>
    <x v="5"/>
    <n v="12.909090909090908"/>
    <n v="6"/>
    <n v="1"/>
    <n v="0.16666666666666666"/>
  </r>
  <r>
    <d v="2019-10-15T00:00:00"/>
    <s v="Gälka Warriors"/>
    <s v="V@der SC"/>
    <x v="5"/>
    <n v="12.909090909090908"/>
    <n v="9"/>
    <n v="4"/>
    <n v="0.44444444444444442"/>
  </r>
  <r>
    <d v="2019-10-16T00:00:00"/>
    <s v="V@der SC"/>
    <s v="Jyderups Jubelasnor"/>
    <x v="5"/>
    <n v="12.909090909090908"/>
    <n v="9"/>
    <n v="4"/>
    <n v="0.44444444444444442"/>
  </r>
  <r>
    <d v="2019-10-16T00:00:00"/>
    <s v="Die Nashorner Logans"/>
    <s v="V@der SC"/>
    <x v="5"/>
    <n v="12.909090909090908"/>
    <n v="7"/>
    <n v="3"/>
    <n v="0.42857142857142855"/>
  </r>
  <r>
    <d v="2019-10-16T00:00:00"/>
    <s v="V@der SC"/>
    <s v="CabaretVoltaire"/>
    <x v="5"/>
    <n v="12.909090909090908"/>
    <n v="6"/>
    <n v="2"/>
    <n v="0.33333333333333331"/>
  </r>
  <r>
    <d v="2019-10-17T00:00:00"/>
    <s v="V@der SC"/>
    <s v="UF_United"/>
    <x v="5"/>
    <n v="12.909090909090908"/>
    <n v="8"/>
    <n v="4"/>
    <n v="0.5"/>
  </r>
  <r>
    <d v="2019-10-26T00:00:00"/>
    <s v="V@der SC"/>
    <s v="Profesioteam."/>
    <x v="5"/>
    <m/>
    <n v="6"/>
    <n v="3"/>
    <n v="0.5"/>
  </r>
  <r>
    <d v="2019-11-02T00:00:00"/>
    <s v="Los Recios de Gonzus"/>
    <s v="V@der SC"/>
    <x v="5"/>
    <m/>
    <n v="8"/>
    <n v="4"/>
    <n v="0.5"/>
  </r>
  <r>
    <d v="2019-11-04T00:00:00"/>
    <s v="Thea F.C."/>
    <s v="V@der SC"/>
    <x v="6"/>
    <m/>
    <n v="6"/>
    <n v="3"/>
    <n v="0.5"/>
  </r>
  <r>
    <d v="2019-11-06T00:00:00"/>
    <s v="Papuchis CF"/>
    <s v="V@der SC"/>
    <x v="6"/>
    <m/>
    <n v="9"/>
    <n v="2"/>
    <n v="0.22222222222222221"/>
  </r>
  <r>
    <d v="2019-11-12T00:00:00"/>
    <s v="White Shark Team"/>
    <s v="V@der SC"/>
    <x v="6"/>
    <m/>
    <n v="8"/>
    <n v="3"/>
    <n v="0.375"/>
  </r>
  <r>
    <d v="2019-11-13T00:00:00"/>
    <s v="V@der SC"/>
    <s v="27_juni_2000"/>
    <x v="4"/>
    <m/>
    <n v="6"/>
    <n v="3"/>
    <n v="0.5"/>
  </r>
  <r>
    <d v="2019-11-16T00:00:00"/>
    <s v="FC Los Urrutias"/>
    <s v="V@der SC"/>
    <x v="7"/>
    <m/>
    <n v="9"/>
    <n v="4"/>
    <n v="0.44444444444444442"/>
  </r>
  <r>
    <d v="2019-11-18T00:00:00"/>
    <s v="Club de Catalunya"/>
    <s v="V@der SC"/>
    <x v="5"/>
    <m/>
    <n v="10"/>
    <n v="5"/>
    <n v="0.5"/>
  </r>
  <r>
    <d v="2019-11-20T00:00:00"/>
    <s v="V@der SC"/>
    <s v="tikitaca"/>
    <x v="7"/>
    <m/>
    <n v="7"/>
    <n v="2"/>
    <n v="0.2857142857142857"/>
  </r>
  <r>
    <d v="2019-11-23T00:00:00"/>
    <s v="V@der SC"/>
    <s v="Baden5400"/>
    <x v="7"/>
    <m/>
    <n v="7"/>
    <n v="2"/>
    <n v="0.2857142857142857"/>
  </r>
  <r>
    <d v="2019-11-25T00:00:00"/>
    <s v="V@der SC"/>
    <s v="Racmio F.C."/>
    <x v="5"/>
    <m/>
    <n v="6"/>
    <n v="2"/>
    <n v="0.33333333333333331"/>
  </r>
  <r>
    <d v="2019-11-27T00:00:00"/>
    <s v="V@der SC"/>
    <s v="Polgas Coin"/>
    <x v="5"/>
    <m/>
    <n v="6"/>
    <n v="3"/>
    <n v="0.5"/>
  </r>
  <r>
    <d v="2019-11-27T00:00:00"/>
    <s v="White Shark Team"/>
    <s v="V@der SC"/>
    <x v="5"/>
    <m/>
    <n v="7"/>
    <n v="2"/>
    <n v="0.2857142857142857"/>
  </r>
  <r>
    <d v="2019-11-30T00:00:00"/>
    <s v="CuatroK"/>
    <s v="V@der SC"/>
    <x v="5"/>
    <m/>
    <n v="8"/>
    <n v="3"/>
    <n v="0.375"/>
  </r>
  <r>
    <d v="2019-12-01T00:00:00"/>
    <s v="C.I.D. Tigers"/>
    <s v="V@der SC"/>
    <x v="5"/>
    <m/>
    <n v="6"/>
    <n v="3"/>
    <n v="0.5"/>
  </r>
  <r>
    <d v="2019-12-04T00:00:00"/>
    <s v="ventura c.f."/>
    <s v="V@der SC"/>
    <x v="6"/>
    <m/>
    <n v="7"/>
    <n v="3"/>
    <n v="0.42857142857142855"/>
  </r>
  <r>
    <d v="2019-12-05T00:00:00"/>
    <s v="LECH Poznan"/>
    <s v="V@der SC"/>
    <x v="6"/>
    <m/>
    <n v="8"/>
    <n v="3"/>
    <n v="0.375"/>
  </r>
  <r>
    <d v="2019-12-07T00:00:00"/>
    <s v="V@der SC"/>
    <s v="FC Kalambrazo"/>
    <x v="5"/>
    <m/>
    <n v="5"/>
    <n v="1"/>
    <n v="0.2"/>
  </r>
  <r>
    <d v="2019-12-11T00:00:00"/>
    <s v="V@der SC"/>
    <s v="Yarca Athletic"/>
    <x v="6"/>
    <m/>
    <n v="7"/>
    <n v="2"/>
    <n v="0.2857142857142857"/>
  </r>
  <r>
    <d v="2019-12-21T00:00:00"/>
    <s v="V@der SC"/>
    <s v="CuatroK"/>
    <x v="6"/>
    <m/>
    <n v="9"/>
    <n v="5"/>
    <n v="0.55555555555555558"/>
  </r>
  <r>
    <d v="2019-12-28T00:00:00"/>
    <s v="Baden5400"/>
    <s v="V@der SC"/>
    <x v="6"/>
    <m/>
    <n v="9"/>
    <n v="3"/>
    <n v="0.33333333333333331"/>
  </r>
  <r>
    <d v="2020-01-07T00:00:00"/>
    <s v="Fc De Rositas"/>
    <s v="V@der SC"/>
    <x v="7"/>
    <m/>
    <n v="9"/>
    <n v="4"/>
    <n v="0.44444444444444442"/>
  </r>
  <r>
    <d v="2020-01-11T00:00:00"/>
    <s v="HotNumbers"/>
    <s v="V@der SC"/>
    <x v="7"/>
    <m/>
    <n v="8"/>
    <n v="3"/>
    <n v="0.375"/>
  </r>
  <r>
    <d v="2020-01-11T00:00:00"/>
    <s v="shalke_temeto"/>
    <s v="V@der SC"/>
    <x v="7"/>
    <m/>
    <n v="9"/>
    <n v="4"/>
    <n v="0.44444444444444442"/>
  </r>
  <r>
    <d v="2020-01-18T00:00:00"/>
    <s v="V@der SC"/>
    <s v="Los Recios de Gonzus"/>
    <x v="6"/>
    <m/>
    <n v="7"/>
    <n v="2"/>
    <n v="0.2857142857142857"/>
  </r>
  <r>
    <d v="2020-01-24T00:00:00"/>
    <s v="Buchs FC"/>
    <s v="V@der SC"/>
    <x v="7"/>
    <m/>
    <n v="6"/>
    <n v="2"/>
    <n v="0.33333333333333331"/>
  </r>
  <r>
    <d v="2020-01-25T00:00:00"/>
    <s v="Profesioteam."/>
    <s v="V@der SC"/>
    <x v="6"/>
    <m/>
    <n v="7"/>
    <n v="3"/>
    <n v="0.42857142857142855"/>
  </r>
  <r>
    <d v="2020-02-01T00:00:00"/>
    <s v="Los de castellon"/>
    <s v="V@der SC"/>
    <x v="7"/>
    <m/>
    <n v="11"/>
    <n v="4"/>
    <n v="0.36363636363636365"/>
  </r>
  <r>
    <d v="2020-02-19T00:00:00"/>
    <s v="Cordura Bajo Cero"/>
    <s v="V@der SC"/>
    <x v="7"/>
    <m/>
    <n v="10"/>
    <n v="6"/>
    <n v="0.6"/>
  </r>
  <r>
    <d v="2020-02-22T00:00:00"/>
    <s v="Enxebre FC"/>
    <s v="V@der SC"/>
    <x v="8"/>
    <m/>
    <n v="10"/>
    <n v="4"/>
    <n v="0.4"/>
  </r>
  <r>
    <d v="2020-02-26T00:00:00"/>
    <s v="Lluisos de Gràcia"/>
    <s v="V@der SC"/>
    <x v="9"/>
    <m/>
    <n v="6"/>
    <n v="2"/>
    <n v="0.33333333333333331"/>
  </r>
  <r>
    <d v="2020-02-29T00:00:00"/>
    <s v="Lirio de Oña"/>
    <s v="V@der SC"/>
    <x v="8"/>
    <m/>
    <n v="8"/>
    <n v="2"/>
    <n v="0.25"/>
  </r>
  <r>
    <d v="2020-03-07T00:00:00"/>
    <s v="V@der SC"/>
    <s v="Menorca Horses"/>
    <x v="7"/>
    <m/>
    <n v="6"/>
    <n v="4"/>
    <n v="0.66666666666666663"/>
  </r>
  <r>
    <d v="2020-03-11T00:00:00"/>
    <s v="RRDG F.C."/>
    <s v="V@der SC"/>
    <x v="6"/>
    <m/>
    <n v="9"/>
    <n v="4"/>
    <n v="0.44444444444444442"/>
  </r>
  <r>
    <d v="2020-03-14T00:00:00"/>
    <s v="AKELARRE U.D."/>
    <s v="V@der SC"/>
    <x v="7"/>
    <m/>
    <n v="9"/>
    <n v="5"/>
    <n v="0.55555555555555558"/>
  </r>
  <r>
    <d v="2020-03-18T00:00:00"/>
    <s v="V@der SC"/>
    <s v="Granota UE"/>
    <x v="7"/>
    <m/>
    <n v="8"/>
    <n v="2"/>
    <n v="0.25"/>
  </r>
  <r>
    <d v="2020-03-20T00:00:00"/>
    <s v="V@der SC"/>
    <s v="GrimReapers"/>
    <x v="7"/>
    <m/>
    <n v="10"/>
    <n v="7"/>
    <n v="0.7"/>
  </r>
  <r>
    <d v="2020-03-21T00:00:00"/>
    <s v="V@der SC"/>
    <s v="Rayo Txamberi"/>
    <x v="9"/>
    <m/>
    <n v="8"/>
    <n v="3"/>
    <n v="0.375"/>
  </r>
  <r>
    <d v="2020-03-21T00:00:00"/>
    <s v="V@der SC"/>
    <s v="Xtra's"/>
    <x v="9"/>
    <m/>
    <n v="9"/>
    <n v="3"/>
    <n v="0.33333333333333331"/>
  </r>
  <r>
    <d v="2020-03-23T00:00:00"/>
    <s v="V@der SC"/>
    <s v="REALUSIA"/>
    <x v="7"/>
    <m/>
    <n v="10"/>
    <n v="5"/>
    <n v="0.5"/>
  </r>
  <r>
    <d v="2020-03-25T00:00:00"/>
    <s v="Mañariako taldea"/>
    <s v="V@der SC"/>
    <x v="7"/>
    <m/>
    <n v="9"/>
    <n v="3"/>
    <n v="0.33333333333333331"/>
  </r>
  <r>
    <d v="2020-03-26T00:00:00"/>
    <s v="V@der SC"/>
    <s v="ronkis78 FC"/>
    <x v="7"/>
    <m/>
    <n v="10"/>
    <n v="3"/>
    <n v="0.3"/>
  </r>
  <r>
    <d v="2020-03-26T00:00:00"/>
    <s v="V@der SC"/>
    <s v="Sporting Rukkel F.C."/>
    <x v="7"/>
    <m/>
    <n v="11"/>
    <n v="4"/>
    <n v="0.36363636363636365"/>
  </r>
  <r>
    <d v="2020-03-28T00:00:00"/>
    <s v="Amics del futbol"/>
    <s v="V@der SC"/>
    <x v="9"/>
    <m/>
    <n v="8"/>
    <n v="2"/>
    <n v="0.25"/>
  </r>
  <r>
    <d v="2020-04-04T00:00:00"/>
    <s v="V@der SC"/>
    <s v="Amics del futbol"/>
    <x v="8"/>
    <m/>
    <n v="9"/>
    <n v="4"/>
    <n v="0.44444444444444442"/>
  </r>
  <r>
    <d v="2020-04-08T00:00:00"/>
    <s v="TJ Zitenice"/>
    <s v="V@der SC"/>
    <x v="8"/>
    <m/>
    <n v="6"/>
    <n v="4"/>
    <n v="0.66666666666666663"/>
  </r>
  <r>
    <d v="2020-04-11T00:00:00"/>
    <s v="Rayo Txamberi"/>
    <s v="V@der SC"/>
    <x v="8"/>
    <m/>
    <n v="8"/>
    <n v="5"/>
    <n v="0.625"/>
  </r>
  <r>
    <d v="2020-04-18T00:00:00"/>
    <s v="V@der SC"/>
    <s v="AKELARRE U.D"/>
    <x v="9"/>
    <m/>
    <n v="7"/>
    <n v="2"/>
    <n v="0.2857142857142857"/>
  </r>
  <r>
    <d v="2020-04-22T00:00:00"/>
    <s v="martina titus cinta fc"/>
    <s v="V@der SC"/>
    <x v="9"/>
    <m/>
    <n v="9"/>
    <n v="4"/>
    <n v="0.44444444444444442"/>
  </r>
  <r>
    <d v="2020-04-25T00:00:00"/>
    <s v="Menorca Horses"/>
    <s v="V@der SC"/>
    <x v="10"/>
    <m/>
    <n v="9"/>
    <n v="4"/>
    <n v="0.44444444444444442"/>
  </r>
  <r>
    <d v="2020-04-28T00:00:00"/>
    <s v="martina titus cinta fc"/>
    <s v="V@der SC"/>
    <x v="10"/>
    <m/>
    <n v="9"/>
    <n v="5"/>
    <n v="0.55555555555555558"/>
  </r>
  <r>
    <d v="2020-05-02T00:00:00"/>
    <s v="V@der SC"/>
    <s v="Lirio de Oña"/>
    <x v="8"/>
    <m/>
    <n v="8"/>
    <n v="4"/>
    <n v="0.5"/>
  </r>
  <r>
    <d v="2020-05-09T00:00:00"/>
    <s v="V@der SC"/>
    <s v="Enxebre FC"/>
    <x v="10"/>
    <m/>
    <n v="7"/>
    <n v="4"/>
    <n v="0.5714285714285714"/>
  </r>
  <r>
    <d v="2020-05-16T00:00:00"/>
    <s v="Atlético Uzumaki"/>
    <s v="V@der SC"/>
    <x v="7"/>
    <m/>
    <n v="9"/>
    <n v="4"/>
    <n v="0.44444444444444442"/>
  </r>
  <r>
    <d v="2020-05-18T00:00:00"/>
    <s v="V@der SC"/>
    <s v="Fc kickers ZH"/>
    <x v="8"/>
    <m/>
    <n v="9"/>
    <n v="4"/>
    <n v="0.44444444444444442"/>
  </r>
  <r>
    <d v="2020-05-19T00:00:00"/>
    <s v="Brattforce"/>
    <s v="V@der SC"/>
    <x v="8"/>
    <m/>
    <n v="8"/>
    <n v="5"/>
    <n v="0.625"/>
  </r>
  <r>
    <d v="2020-05-19T00:00:00"/>
    <s v="El Dorado F.C"/>
    <s v="V@der SC"/>
    <x v="7"/>
    <m/>
    <n v="9"/>
    <n v="5"/>
    <n v="0.55555555555555558"/>
  </r>
  <r>
    <d v="2020-05-20T00:00:00"/>
    <s v="V@der SC"/>
    <s v="iSoccer"/>
    <x v="8"/>
    <m/>
    <n v="9"/>
    <n v="3"/>
    <n v="0.33333333333333331"/>
  </r>
  <r>
    <d v="2020-05-20T00:00:00"/>
    <s v="TIGRII FURIOSI"/>
    <s v="V@der SC"/>
    <x v="9"/>
    <m/>
    <n v="9"/>
    <n v="2"/>
    <n v="0.22222222222222221"/>
  </r>
  <r>
    <d v="2020-05-21T00:00:00"/>
    <s v="Royal lions 2"/>
    <s v="V@der SC"/>
    <x v="8"/>
    <m/>
    <n v="8"/>
    <n v="5"/>
    <n v="0.625"/>
  </r>
  <r>
    <d v="2020-05-21T00:00:00"/>
    <s v="V@der SC"/>
    <s v="Sant Andreu"/>
    <x v="9"/>
    <m/>
    <n v="5"/>
    <n v="2"/>
    <n v="0.4"/>
  </r>
  <r>
    <d v="2020-05-21T00:00:00"/>
    <s v="FC Myth"/>
    <s v="V@der SC"/>
    <x v="7"/>
    <m/>
    <n v="5"/>
    <n v="2"/>
    <n v="0.4"/>
  </r>
  <r>
    <d v="2020-05-22T00:00:00"/>
    <s v="Brocklers"/>
    <s v="V@der SC"/>
    <x v="7"/>
    <m/>
    <n v="10"/>
    <n v="4"/>
    <n v="0.4"/>
  </r>
  <r>
    <d v="2020-05-25T00:00:00"/>
    <s v="V@der SC"/>
    <s v="FC HV 1964"/>
    <x v="9"/>
    <m/>
    <n v="6"/>
    <n v="4"/>
    <n v="0.66666666666666663"/>
  </r>
  <r>
    <d v="2020-05-26T00:00:00"/>
    <s v="V@der SC"/>
    <s v="SALSEPAREILLE"/>
    <x v="8"/>
    <m/>
    <n v="6"/>
    <n v="4"/>
    <n v="0.66666666666666663"/>
  </r>
  <r>
    <d v="2020-05-26T00:00:00"/>
    <s v="Divine Overconfidence"/>
    <s v="V@der SC"/>
    <x v="8"/>
    <m/>
    <n v="8"/>
    <n v="3"/>
    <n v="0.375"/>
  </r>
  <r>
    <d v="2020-05-26T00:00:00"/>
    <s v="Os Marcos do Nordeste"/>
    <s v="V@der SC"/>
    <x v="8"/>
    <m/>
    <n v="6"/>
    <n v="2"/>
    <n v="0.33333333333333331"/>
  </r>
  <r>
    <d v="2020-05-27T00:00:00"/>
    <s v="V@der SC"/>
    <s v="Lazio Princes Town"/>
    <x v="8"/>
    <m/>
    <n v="7"/>
    <n v="3"/>
    <n v="0.42857142857142855"/>
  </r>
  <r>
    <d v="2020-05-27T00:00:00"/>
    <s v="SS Scappati di Casa"/>
    <s v="V@der SC"/>
    <x v="8"/>
    <m/>
    <n v="7"/>
    <n v="3"/>
    <n v="0.42857142857142855"/>
  </r>
  <r>
    <d v="2020-05-27T00:00:00"/>
    <s v="V@der SC"/>
    <s v="FC Glasscherbenviertel"/>
    <x v="10"/>
    <m/>
    <n v="9"/>
    <n v="4"/>
    <n v="0.44444444444444442"/>
  </r>
  <r>
    <d v="2020-05-28T00:00:00"/>
    <s v="V@der SC"/>
    <s v="Blues Nord"/>
    <x v="8"/>
    <m/>
    <n v="7"/>
    <n v="4"/>
    <n v="0.5714285714285714"/>
  </r>
  <r>
    <d v="2020-05-28T00:00:00"/>
    <s v="V@der SC"/>
    <s v="Juventus de kudus"/>
    <x v="8"/>
    <m/>
    <n v="8"/>
    <n v="3"/>
    <n v="0.375"/>
  </r>
  <r>
    <d v="2020-05-28T00:00:00"/>
    <s v="Clerks II"/>
    <s v="V@der SC"/>
    <x v="10"/>
    <m/>
    <n v="8"/>
    <n v="3"/>
    <n v="0.375"/>
  </r>
  <r>
    <d v="2020-06-06T00:00:00"/>
    <s v="Amics del futbol"/>
    <s v="V@der SC"/>
    <x v="8"/>
    <m/>
    <n v="7"/>
    <n v="3"/>
    <n v="0.42857142857142855"/>
  </r>
  <r>
    <d v="2020-06-10T00:00:00"/>
    <s v="PIRA TEAM"/>
    <s v="V@der SC"/>
    <x v="3"/>
    <m/>
    <n v="5"/>
    <n v="1"/>
    <n v="0.2"/>
  </r>
  <r>
    <d v="2020-06-13T00:00:00"/>
    <m/>
    <s v="C.D. Badajoz"/>
    <x v="9"/>
    <m/>
    <n v="7"/>
    <n v="3"/>
    <n v="0.42857142857142855"/>
  </r>
  <r>
    <d v="2020-06-17T00:00:00"/>
    <s v="C.F. Establiments"/>
    <m/>
    <x v="7"/>
    <m/>
    <n v="5"/>
    <n v="2"/>
    <n v="0.4"/>
  </r>
  <r>
    <d v="2020-06-20T00:00:00"/>
    <s v="AKELARRE U.D."/>
    <m/>
    <x v="8"/>
    <m/>
    <n v="9"/>
    <n v="4"/>
    <n v="0.44444444444444442"/>
  </r>
  <r>
    <d v="2020-06-24T00:00:00"/>
    <s v="Lucentum!!!!!"/>
    <m/>
    <x v="9"/>
    <m/>
    <n v="9"/>
    <n v="5"/>
    <n v="0.55555555555555558"/>
  </r>
  <r>
    <d v="2020-06-25T00:00:00"/>
    <s v="C.E. Badalona S.A.D."/>
    <m/>
    <x v="8"/>
    <m/>
    <n v="8"/>
    <n v="5"/>
    <n v="0.625"/>
  </r>
  <r>
    <d v="2020-06-26T00:00:00"/>
    <s v="CSIII"/>
    <m/>
    <x v="10"/>
    <m/>
    <n v="7"/>
    <n v="3"/>
    <n v="0.42857142857142855"/>
  </r>
  <r>
    <d v="2020-06-28T00:00:00"/>
    <m/>
    <s v="FC Aversi"/>
    <x v="10"/>
    <m/>
    <n v="7"/>
    <n v="2"/>
    <n v="0.2857142857142857"/>
  </r>
  <r>
    <d v="2020-06-30T00:00:00"/>
    <s v="Bayern de Sants"/>
    <m/>
    <x v="10"/>
    <m/>
    <n v="7"/>
    <n v="4"/>
    <n v="0.5714285714285714"/>
  </r>
  <r>
    <d v="2020-07-01T00:00:00"/>
    <s v="abrams"/>
    <m/>
    <x v="8"/>
    <m/>
    <n v="7"/>
    <n v="2"/>
    <n v="0.2857142857142857"/>
  </r>
  <r>
    <d v="2020-07-02T00:00:00"/>
    <m/>
    <s v="Estel Roig Genovès"/>
    <x v="10"/>
    <m/>
    <n v="9"/>
    <n v="6"/>
    <n v="0.66666666666666663"/>
  </r>
  <r>
    <d v="2020-07-03T00:00:00"/>
    <s v="Cosecha Roja"/>
    <m/>
    <x v="10"/>
    <m/>
    <n v="7"/>
    <n v="2"/>
    <n v="0.2857142857142857"/>
  </r>
  <r>
    <d v="2020-07-05T00:00:00"/>
    <s v="AVG Hostafrancs"/>
    <m/>
    <x v="10"/>
    <m/>
    <n v="9"/>
    <n v="5"/>
    <n v="0.55555555555555558"/>
  </r>
  <r>
    <d v="2020-07-07T00:00:00"/>
    <m/>
    <s v="FC Virrei Amat"/>
    <x v="10"/>
    <m/>
    <n v="9"/>
    <n v="5"/>
    <n v="0.55555555555555558"/>
  </r>
  <r>
    <d v="2020-07-08T00:00:00"/>
    <s v="Som-hi un altre cop!!"/>
    <m/>
    <x v="8"/>
    <m/>
    <n v="8"/>
    <n v="2"/>
    <n v="0.25"/>
  </r>
  <r>
    <d v="2020-07-11T00:00:00"/>
    <s v="La gabarra a pique"/>
    <m/>
    <x v="10"/>
    <m/>
    <n v="8"/>
    <n v="5"/>
    <n v="0.625"/>
  </r>
  <r>
    <d v="2020-07-14T00:00:00"/>
    <s v="Birreri Sabadell"/>
    <m/>
    <x v="10"/>
    <m/>
    <n v="9"/>
    <n v="5"/>
    <n v="0.55555555555555558"/>
  </r>
  <r>
    <d v="2020-07-15T00:00:00"/>
    <s v="coco's tema"/>
    <m/>
    <x v="9"/>
    <m/>
    <n v="9"/>
    <n v="4"/>
    <n v="0.44444444444444442"/>
  </r>
  <r>
    <d v="2020-07-16T00:00:00"/>
    <m/>
    <s v="Monkey 47"/>
    <x v="8"/>
    <m/>
    <n v="9"/>
    <n v="4"/>
    <n v="0.44444444444444442"/>
  </r>
  <r>
    <d v="2020-07-17T00:00:00"/>
    <s v="Treskitos Team"/>
    <m/>
    <x v="10"/>
    <m/>
    <n v="8"/>
    <n v="3"/>
    <n v="0.375"/>
  </r>
  <r>
    <d v="2020-07-18T00:00:00"/>
    <m/>
    <s v="AS Nano CF"/>
    <x v="8"/>
    <m/>
    <n v="10"/>
    <n v="4"/>
    <n v="0.4"/>
  </r>
  <r>
    <d v="2020-07-19T00:00:00"/>
    <s v="Inedit CF"/>
    <m/>
    <x v="8"/>
    <m/>
    <n v="8"/>
    <n v="3"/>
    <n v="0.375"/>
  </r>
  <r>
    <d v="2020-07-21T00:00:00"/>
    <m/>
    <s v="SE Europa"/>
    <x v="10"/>
    <m/>
    <n v="7"/>
    <n v="3"/>
    <n v="0.42857142857142855"/>
  </r>
  <r>
    <d v="2020-07-22T00:00:00"/>
    <m/>
    <s v="Sinsen Racing Club"/>
    <x v="8"/>
    <m/>
    <n v="3"/>
    <n v="2"/>
    <n v="0.66666666666666663"/>
  </r>
  <r>
    <d v="2020-07-23T00:00:00"/>
    <m/>
    <s v="Real Mollet"/>
    <x v="8"/>
    <m/>
    <n v="7"/>
    <n v="4"/>
    <n v="0.5714285714285714"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5">
  <r>
    <s v="1. Rodolfo Rinaldo Paso "/>
    <n v="7"/>
    <s v="Actual"/>
    <x v="0"/>
  </r>
  <r>
    <s v="10. Leandro Faias "/>
    <n v="1"/>
    <s v="Actual"/>
    <x v="1"/>
  </r>
  <r>
    <s v="11. Francesc Añigas "/>
    <n v="1"/>
    <s v="Actual"/>
    <x v="2"/>
  </r>
  <r>
    <s v="12. Cosme Fonteboa "/>
    <n v="1"/>
    <s v="Actual"/>
    <x v="3"/>
  </r>
  <r>
    <s v="2. Nicolás Galaz "/>
    <n v="4"/>
    <s v="Actual"/>
    <x v="4"/>
  </r>
  <r>
    <s v="3. Julian Gräbitz "/>
    <n v="4"/>
    <s v="Actual"/>
    <x v="5"/>
  </r>
  <r>
    <s v="4. Berto Abandero "/>
    <n v="3"/>
    <s v="Actual"/>
    <x v="6"/>
  </r>
  <r>
    <s v="5. Enrique Cubas "/>
    <n v="3"/>
    <s v="Actual"/>
    <x v="7"/>
  </r>
  <r>
    <s v="6. Valeri Gomis "/>
    <n v="3"/>
    <s v="Actual"/>
    <x v="8"/>
  </r>
  <r>
    <s v="7. Wil Duffill "/>
    <n v="2"/>
    <s v="Actual"/>
    <x v="9"/>
  </r>
  <r>
    <s v="8. Juan García Peñuela "/>
    <n v="2"/>
    <s v="Actual"/>
    <x v="10"/>
  </r>
  <r>
    <s v="9. Meraj Siddiqui "/>
    <n v="2"/>
    <s v="Actual"/>
    <x v="11"/>
  </r>
  <r>
    <s v="1. Enrique Cubas "/>
    <n v="19"/>
    <s v="x"/>
    <x v="7"/>
  </r>
  <r>
    <s v="1. Enrique Cubas "/>
    <n v="10"/>
    <s v="x"/>
    <x v="7"/>
  </r>
  <r>
    <s v="1. Enrique Cubas "/>
    <n v="9"/>
    <s v="x"/>
    <x v="7"/>
  </r>
  <r>
    <s v="1. Enrique Cubas "/>
    <n v="8"/>
    <s v="x"/>
    <x v="7"/>
  </r>
  <r>
    <s v="1. Rodolfo Rinaldo Paso "/>
    <n v="12"/>
    <s v="x"/>
    <x v="0"/>
  </r>
  <r>
    <s v="1. Rodolfo Rinaldo Paso "/>
    <n v="14"/>
    <s v="x"/>
    <x v="0"/>
  </r>
  <r>
    <s v="1. Rodolfo Rinaldo Paso "/>
    <n v="10"/>
    <s v="x"/>
    <x v="0"/>
  </r>
  <r>
    <s v="1. Wil Duffill "/>
    <n v="6"/>
    <s v="x"/>
    <x v="9"/>
  </r>
  <r>
    <s v="10. Berto Abandero "/>
    <n v="2"/>
    <s v="x"/>
    <x v="6"/>
  </r>
  <r>
    <s v="10. Francesc Añigas "/>
    <n v="2"/>
    <s v="x"/>
    <x v="2"/>
  </r>
  <r>
    <s v="10. Iván Real Figueroa "/>
    <n v="2"/>
    <s v="x"/>
    <x v="12"/>
  </r>
  <r>
    <s v="10. Valeri Gomis "/>
    <n v="4"/>
    <s v="x"/>
    <x v="8"/>
  </r>
  <r>
    <s v="10. Valeri Gomis "/>
    <n v="3"/>
    <s v="x"/>
    <x v="8"/>
  </r>
  <r>
    <s v="10. Valeri Gomis "/>
    <n v="1"/>
    <s v="x"/>
    <x v="8"/>
  </r>
  <r>
    <s v="10. Venanci Oset "/>
    <n v="3"/>
    <s v="x"/>
    <x v="13"/>
  </r>
  <r>
    <s v="11. Berto Abandero "/>
    <n v="1"/>
    <s v="x"/>
    <x v="6"/>
  </r>
  <r>
    <s v="11. Iván Real Figueroa "/>
    <n v="3"/>
    <s v="x"/>
    <x v="12"/>
  </r>
  <r>
    <s v="11. Leandro Faias "/>
    <n v="3"/>
    <s v="x"/>
    <x v="1"/>
  </r>
  <r>
    <s v="11. Venanci Oset "/>
    <n v="2"/>
    <s v="x"/>
    <x v="13"/>
  </r>
  <r>
    <s v="12. Berto Abandero "/>
    <n v="2"/>
    <s v="x"/>
    <x v="6"/>
  </r>
  <r>
    <s v="12. Francesc Añigas "/>
    <n v="3"/>
    <s v="x"/>
    <x v="2"/>
  </r>
  <r>
    <s v="12. Francesc Añigas "/>
    <n v="2"/>
    <s v="x"/>
    <x v="2"/>
  </r>
  <r>
    <s v="12. Iván Real Figueroa "/>
    <n v="1"/>
    <s v="x"/>
    <x v="12"/>
  </r>
  <r>
    <s v="12. Valeri Gomis "/>
    <n v="1"/>
    <s v="x"/>
    <x v="8"/>
  </r>
  <r>
    <s v="12. Valeri Gomis "/>
    <n v="1"/>
    <s v="x"/>
    <x v="8"/>
  </r>
  <r>
    <s v="12. Venanci Oset "/>
    <n v="2"/>
    <s v="x"/>
    <x v="13"/>
  </r>
  <r>
    <s v="12. Wil Duffill "/>
    <n v="1"/>
    <s v="x"/>
    <x v="9"/>
  </r>
  <r>
    <s v="13. Guillermo Pedrajas "/>
    <n v="2"/>
    <s v="x"/>
    <x v="14"/>
  </r>
  <r>
    <s v="13. Guillermo Pedrajas "/>
    <n v="2"/>
    <s v="x"/>
    <x v="14"/>
  </r>
  <r>
    <s v="13. Iván Real Figueroa "/>
    <n v="1"/>
    <s v="x"/>
    <x v="12"/>
  </r>
  <r>
    <s v="13. Iván Real Figueroa "/>
    <n v="2"/>
    <s v="x"/>
    <x v="12"/>
  </r>
  <r>
    <s v="13. Leandro Faias "/>
    <n v="3"/>
    <s v="x"/>
    <x v="1"/>
  </r>
  <r>
    <s v="14. Berto Abandero "/>
    <n v="2"/>
    <s v="x"/>
    <x v="6"/>
  </r>
  <r>
    <s v="14. Berto Abandero "/>
    <n v="1"/>
    <s v="x"/>
    <x v="6"/>
  </r>
  <r>
    <s v="14. Francesc Añigas "/>
    <n v="1"/>
    <s v="x"/>
    <x v="2"/>
  </r>
  <r>
    <s v="14. Iván Real Figueroa "/>
    <n v="2"/>
    <s v="x"/>
    <x v="12"/>
  </r>
  <r>
    <s v="14. Iván Real Figueroa "/>
    <n v="1"/>
    <s v="x"/>
    <x v="12"/>
  </r>
  <r>
    <s v="14. Valeri Gomis "/>
    <n v="2"/>
    <s v="x"/>
    <x v="8"/>
  </r>
  <r>
    <s v="14. Venanci Oset "/>
    <n v="1"/>
    <s v="x"/>
    <x v="13"/>
  </r>
  <r>
    <s v="15. Guillermo Pedrajas "/>
    <n v="1"/>
    <s v="x"/>
    <x v="14"/>
  </r>
  <r>
    <s v="15. Iván Real Figueroa "/>
    <n v="1"/>
    <s v="x"/>
    <x v="12"/>
  </r>
  <r>
    <s v="16. Cosme Fonteboa "/>
    <n v="1"/>
    <s v="x"/>
    <x v="3"/>
  </r>
  <r>
    <s v="16. Guillermo Pedrajas "/>
    <n v="1"/>
    <s v="x"/>
    <x v="14"/>
  </r>
  <r>
    <s v="17. Cosme Fonteboa "/>
    <n v="1"/>
    <s v="x"/>
    <x v="3"/>
  </r>
  <r>
    <s v="2. Enrique Cubas "/>
    <n v="8"/>
    <s v="x"/>
    <x v="7"/>
  </r>
  <r>
    <s v="2. Francesc Añigas "/>
    <n v="6"/>
    <s v="x"/>
    <x v="2"/>
  </r>
  <r>
    <s v="2. Francesc Añigas "/>
    <n v="3"/>
    <s v="x"/>
    <x v="2"/>
  </r>
  <r>
    <s v="2. Juan García Peñuela "/>
    <n v="5"/>
    <s v="x"/>
    <x v="10"/>
  </r>
  <r>
    <s v="2. Wil Duffill "/>
    <n v="15"/>
    <s v="x"/>
    <x v="9"/>
  </r>
  <r>
    <s v="2. Wil Duffill "/>
    <n v="9"/>
    <s v="x"/>
    <x v="9"/>
  </r>
  <r>
    <s v="3. Enrique Cubas "/>
    <n v="7"/>
    <s v="x"/>
    <x v="7"/>
  </r>
  <r>
    <s v="3. Enrique Cubas "/>
    <n v="8"/>
    <s v="x"/>
    <x v="7"/>
  </r>
  <r>
    <s v="3. Enrique Cubas "/>
    <n v="12"/>
    <s v="x"/>
    <x v="7"/>
  </r>
  <r>
    <s v="3. Enrique Cubas "/>
    <n v="4"/>
    <s v="x"/>
    <x v="7"/>
  </r>
  <r>
    <s v="3. Meraj Siddiqui "/>
    <n v="13"/>
    <s v="x"/>
    <x v="11"/>
  </r>
  <r>
    <s v="3. Wil Duffill "/>
    <n v="8"/>
    <s v="x"/>
    <x v="9"/>
  </r>
  <r>
    <s v="4. Juan García Peñuela "/>
    <n v="6"/>
    <s v="x"/>
    <x v="10"/>
  </r>
  <r>
    <s v="4. Juan García Peñuela "/>
    <n v="7"/>
    <s v="x"/>
    <x v="10"/>
  </r>
  <r>
    <s v="4. Juan García Peñuela "/>
    <n v="4"/>
    <s v="x"/>
    <x v="10"/>
  </r>
  <r>
    <s v="4. Juan García Peñuela "/>
    <n v="2"/>
    <s v="x"/>
    <x v="10"/>
  </r>
  <r>
    <s v="4. Julian Gräbitz "/>
    <n v="6"/>
    <s v="x"/>
    <x v="5"/>
  </r>
  <r>
    <s v="4. Rodolfo Rinaldo Paso "/>
    <n v="12"/>
    <s v="x"/>
    <x v="0"/>
  </r>
  <r>
    <s v="4. Valeri Gomis "/>
    <n v="2"/>
    <s v="x"/>
    <x v="8"/>
  </r>
  <r>
    <s v="4. Wil Duffill "/>
    <n v="6"/>
    <s v="x"/>
    <x v="9"/>
  </r>
  <r>
    <s v="4. Wil Duffill "/>
    <n v="5"/>
    <s v="x"/>
    <x v="9"/>
  </r>
  <r>
    <s v="5. Francesc Añigas "/>
    <n v="6"/>
    <s v="x"/>
    <x v="2"/>
  </r>
  <r>
    <s v="5. Guillermo Pedrajas "/>
    <n v="5"/>
    <s v="x"/>
    <x v="14"/>
  </r>
  <r>
    <s v="5. Guillermo Pedrajas "/>
    <n v="4"/>
    <s v="x"/>
    <x v="14"/>
  </r>
  <r>
    <s v="5. Juan García Peñuela "/>
    <n v="5"/>
    <s v="x"/>
    <x v="10"/>
  </r>
  <r>
    <s v="5. Julian Gräbitz "/>
    <n v="6"/>
    <s v="x"/>
    <x v="5"/>
  </r>
  <r>
    <s v="5. Julian Gräbitz "/>
    <n v="6"/>
    <s v="x"/>
    <x v="5"/>
  </r>
  <r>
    <s v="5. Nicolás Galaz "/>
    <n v="6"/>
    <s v="x"/>
    <x v="4"/>
  </r>
  <r>
    <s v="5. Valeri Gomis "/>
    <n v="6"/>
    <s v="x"/>
    <x v="8"/>
  </r>
  <r>
    <s v="6. Berto Abandero "/>
    <n v="3"/>
    <s v="x"/>
    <x v="6"/>
  </r>
  <r>
    <s v="6. Enrique Cubas "/>
    <n v="6"/>
    <s v="x"/>
    <x v="7"/>
  </r>
  <r>
    <s v="6. Guillermo Pedrajas "/>
    <n v="4"/>
    <s v="x"/>
    <x v="14"/>
  </r>
  <r>
    <s v="6. Juan García Peñuela "/>
    <n v="5"/>
    <s v="x"/>
    <x v="10"/>
  </r>
  <r>
    <s v="6. Valeri Gomis "/>
    <n v="5"/>
    <s v="x"/>
    <x v="8"/>
  </r>
  <r>
    <s v="6. Wil Duffill "/>
    <n v="6"/>
    <s v="x"/>
    <x v="9"/>
  </r>
  <r>
    <s v="6. Wil Duffill "/>
    <n v="6"/>
    <s v="x"/>
    <x v="9"/>
  </r>
  <r>
    <s v="7. Enrique Cubas "/>
    <n v="4"/>
    <s v="x"/>
    <x v="7"/>
  </r>
  <r>
    <s v="7. Francesc Añigas "/>
    <n v="5"/>
    <s v="x"/>
    <x v="2"/>
  </r>
  <r>
    <s v="7. Francesc Añigas "/>
    <n v="5"/>
    <s v="x"/>
    <x v="2"/>
  </r>
  <r>
    <s v="7. Francesc Añigas "/>
    <n v="5"/>
    <s v="x"/>
    <x v="2"/>
  </r>
  <r>
    <s v="7. Guillermo Pedrajas "/>
    <n v="5"/>
    <s v="x"/>
    <x v="14"/>
  </r>
  <r>
    <s v="7. Juan García Peñuela "/>
    <n v="2"/>
    <s v="x"/>
    <x v="10"/>
  </r>
  <r>
    <s v="7. Julian Gräbitz "/>
    <n v="4"/>
    <s v="x"/>
    <x v="5"/>
  </r>
  <r>
    <s v="8. Berto Abandero "/>
    <n v="1"/>
    <s v="x"/>
    <x v="6"/>
  </r>
  <r>
    <s v="8. Juan García Peñuela "/>
    <n v="3"/>
    <s v="x"/>
    <x v="10"/>
  </r>
  <r>
    <s v="8. Juan García Peñuela "/>
    <n v="3"/>
    <s v="x"/>
    <x v="10"/>
  </r>
  <r>
    <s v="8. Meraj Siddiqui "/>
    <n v="4"/>
    <s v="x"/>
    <x v="11"/>
  </r>
  <r>
    <s v="8. Valeri Gomis "/>
    <n v="3"/>
    <s v="x"/>
    <x v="8"/>
  </r>
  <r>
    <s v="8. Venanci Oset "/>
    <n v="5"/>
    <s v="x"/>
    <x v="13"/>
  </r>
  <r>
    <s v="9. Berto Abandero "/>
    <n v="3"/>
    <s v="x"/>
    <x v="6"/>
  </r>
  <r>
    <s v="9. Juan García Peñuela "/>
    <n v="3"/>
    <s v="x"/>
    <x v="10"/>
  </r>
  <r>
    <s v="9. Julian Gräbitz "/>
    <n v="3"/>
    <s v="x"/>
    <x v="5"/>
  </r>
  <r>
    <s v="9. Wil Duffill "/>
    <n v="3"/>
    <s v="x"/>
    <x v="9"/>
  </r>
  <r>
    <s v="1. Adam Moss "/>
    <n v="15"/>
    <m/>
    <x v="15"/>
  </r>
  <r>
    <s v="1. Augustin Demaison "/>
    <n v="8"/>
    <m/>
    <x v="16"/>
  </r>
  <r>
    <s v="1. Brunon Chuda "/>
    <n v="10"/>
    <m/>
    <x v="17"/>
  </r>
  <r>
    <s v="1. David Garcia-Spiess "/>
    <n v="6"/>
    <m/>
    <x v="18"/>
  </r>
  <r>
    <s v="1. Emilio Rojas "/>
    <n v="11"/>
    <m/>
    <x v="19"/>
  </r>
  <r>
    <s v="1. Erik Lemming "/>
    <n v="7"/>
    <m/>
    <x v="20"/>
  </r>
  <r>
    <s v="1. Ilari Santasalmi "/>
    <n v="2"/>
    <m/>
    <x v="21"/>
  </r>
  <r>
    <s v="1. Joãozinho do Mato "/>
    <n v="15"/>
    <m/>
    <x v="22"/>
  </r>
  <r>
    <s v="1. Leo Hilpinen "/>
    <n v="17"/>
    <m/>
    <x v="23"/>
  </r>
  <r>
    <s v="1. Leonardo Baltico "/>
    <n v="18"/>
    <m/>
    <x v="24"/>
  </r>
  <r>
    <s v="1. Leonardo Baltico "/>
    <n v="12"/>
    <m/>
    <x v="24"/>
  </r>
  <r>
    <s v="1. Leonardo Baltico "/>
    <n v="14"/>
    <m/>
    <x v="24"/>
  </r>
  <r>
    <s v="1. Malte Neulinger "/>
    <n v="9"/>
    <m/>
    <x v="25"/>
  </r>
  <r>
    <s v="1. Malte Neulinger "/>
    <n v="7"/>
    <m/>
    <x v="25"/>
  </r>
  <r>
    <s v="1. Malte Neulinger "/>
    <n v="9"/>
    <m/>
    <x v="25"/>
  </r>
  <r>
    <s v="1. Manolo Negrín "/>
    <n v="6"/>
    <m/>
    <x v="26"/>
  </r>
  <r>
    <s v="1. Martin Kilev "/>
    <n v="6"/>
    <m/>
    <x v="27"/>
  </r>
  <r>
    <s v="1. Melcior Calmet "/>
    <n v="9"/>
    <m/>
    <x v="28"/>
  </r>
  <r>
    <s v="1. Nikolas Lakkotripi "/>
    <n v="14"/>
    <m/>
    <x v="29"/>
  </r>
  <r>
    <s v="1. Pere Beltran "/>
    <n v="8"/>
    <m/>
    <x v="30"/>
  </r>
  <r>
    <s v="1. Roelant Bierman "/>
    <n v="14"/>
    <m/>
    <x v="31"/>
  </r>
  <r>
    <s v="1. Saúl Piña "/>
    <n v="15"/>
    <m/>
    <x v="32"/>
  </r>
  <r>
    <s v="1. Saúl Piña "/>
    <n v="13"/>
    <m/>
    <x v="32"/>
  </r>
  <r>
    <s v="1. Saúl Piña "/>
    <n v="22"/>
    <m/>
    <x v="32"/>
  </r>
  <r>
    <s v="10. ? (Ho) ?? (Minwei) "/>
    <n v="3"/>
    <m/>
    <x v="33"/>
  </r>
  <r>
    <s v="10. Adamantios Fikias "/>
    <n v="2"/>
    <m/>
    <x v="34"/>
  </r>
  <r>
    <s v="10. Andrija Miškovic "/>
    <n v="1"/>
    <m/>
    <x v="35"/>
  </r>
  <r>
    <s v="10. Andrin Bärtsch "/>
    <n v="4"/>
    <m/>
    <x v="36"/>
  </r>
  <r>
    <s v="10. Antoine Dupré "/>
    <n v="4"/>
    <m/>
    <x v="37"/>
  </r>
  <r>
    <s v="10. Antoine Dupré "/>
    <n v="6"/>
    <m/>
    <x v="37"/>
  </r>
  <r>
    <s v="10. Cezary Pauch "/>
    <n v="2"/>
    <m/>
    <x v="38"/>
  </r>
  <r>
    <s v="10. Clifford Smallwood "/>
    <n v="3"/>
    <m/>
    <x v="39"/>
  </r>
  <r>
    <s v="10. Eckardt Hägerling "/>
    <n v="1"/>
    <m/>
    <x v="40"/>
  </r>
  <r>
    <s v="10. Erik Lemming "/>
    <n v="3"/>
    <m/>
    <x v="20"/>
  </r>
  <r>
    <s v="10. Fabien Goncalves "/>
    <n v="2"/>
    <m/>
    <x v="41"/>
  </r>
  <r>
    <s v="10. Gregor Freischläger "/>
    <n v="3"/>
    <m/>
    <x v="42"/>
  </r>
  <r>
    <s v="10. Jacobo Ferrueros "/>
    <n v="2"/>
    <m/>
    <x v="43"/>
  </r>
  <r>
    <s v="10. Jorge Walter Whitaker "/>
    <n v="2"/>
    <m/>
    <x v="44"/>
  </r>
  <r>
    <s v="10. Jurgen Muësen "/>
    <n v="2"/>
    <m/>
    <x v="45"/>
  </r>
  <r>
    <s v="10. Károly Serfel "/>
    <n v="3"/>
    <m/>
    <x v="46"/>
  </r>
  <r>
    <s v="10. Lars Pouilliers "/>
    <n v="1"/>
    <m/>
    <x v="47"/>
  </r>
  <r>
    <s v="10. Manolo Negrín "/>
    <n v="2"/>
    <m/>
    <x v="26"/>
  </r>
  <r>
    <s v="10. Markus Currie "/>
    <n v="2"/>
    <m/>
    <x v="48"/>
  </r>
  <r>
    <s v="10. Morgan Thomas "/>
    <n v="1"/>
    <m/>
    <x v="49"/>
  </r>
  <r>
    <s v="10. Nicolai Stentoft "/>
    <n v="4"/>
    <m/>
    <x v="50"/>
  </r>
  <r>
    <s v="10. Ofek Azuri "/>
    <n v="2"/>
    <m/>
    <x v="51"/>
  </r>
  <r>
    <s v="10. Olli Rambow "/>
    <n v="1"/>
    <m/>
    <x v="52"/>
  </r>
  <r>
    <s v="10. Roberto Montero "/>
    <n v="1"/>
    <m/>
    <x v="53"/>
  </r>
  <r>
    <s v="10. Saúl Piña "/>
    <n v="5"/>
    <m/>
    <x v="32"/>
  </r>
  <r>
    <s v="11. Adamantios Fikias "/>
    <n v="4"/>
    <m/>
    <x v="34"/>
  </r>
  <r>
    <s v="11. Adolfo Vitulli "/>
    <n v="1"/>
    <m/>
    <x v="54"/>
  </r>
  <r>
    <s v="11. Aleksi Alarotu "/>
    <n v="5"/>
    <m/>
    <x v="55"/>
  </r>
  <r>
    <s v="11. Aureliusz Staszczuk "/>
    <n v="2"/>
    <m/>
    <x v="56"/>
  </r>
  <r>
    <s v="11. Barnabás Borsányi "/>
    <n v="1"/>
    <m/>
    <x v="57"/>
  </r>
  <r>
    <s v="11. Boleslaw Starzomski "/>
    <n v="1"/>
    <m/>
    <x v="58"/>
  </r>
  <r>
    <s v="11. Emilio Mochelato "/>
    <n v="1"/>
    <m/>
    <x v="59"/>
  </r>
  <r>
    <s v="11. Fabien Fabre "/>
    <n v="2"/>
    <m/>
    <x v="60"/>
  </r>
  <r>
    <s v="11. Fabien Fabre "/>
    <n v="1"/>
    <m/>
    <x v="60"/>
  </r>
  <r>
    <s v="11. Honesto Cousa "/>
    <n v="3"/>
    <m/>
    <x v="61"/>
  </r>
  <r>
    <s v="11. Karl Edwin "/>
    <n v="2"/>
    <m/>
    <x v="62"/>
  </r>
  <r>
    <s v="11. Lars Pouilliers "/>
    <n v="4"/>
    <m/>
    <x v="47"/>
  </r>
  <r>
    <s v="11. Leonardo Baltico "/>
    <n v="3"/>
    <m/>
    <x v="24"/>
  </r>
  <r>
    <s v="11. Martin Kilev "/>
    <n v="1"/>
    <m/>
    <x v="27"/>
  </r>
  <r>
    <s v="11. Miguel Fernández "/>
    <n v="2"/>
    <m/>
    <x v="63"/>
  </r>
  <r>
    <s v="11. Miguel Fernández "/>
    <n v="2"/>
    <m/>
    <x v="63"/>
  </r>
  <r>
    <s v="11. Morgan Thomas "/>
    <n v="2"/>
    <m/>
    <x v="49"/>
  </r>
  <r>
    <s v="11. Patrick Werner "/>
    <n v="3"/>
    <m/>
    <x v="64"/>
  </r>
  <r>
    <s v="11. Percy Alfredsson "/>
    <n v="2"/>
    <m/>
    <x v="65"/>
  </r>
  <r>
    <s v="11. Pere Beltran "/>
    <n v="2"/>
    <m/>
    <x v="30"/>
  </r>
  <r>
    <s v="11. Rasheed Da'na "/>
    <n v="1"/>
    <m/>
    <x v="66"/>
  </r>
  <r>
    <s v="11. Rasheed Da'na "/>
    <n v="4"/>
    <m/>
    <x v="66"/>
  </r>
  <r>
    <s v="11. Roberto Montero "/>
    <n v="1"/>
    <m/>
    <x v="53"/>
  </r>
  <r>
    <s v="11. Romain Grière "/>
    <n v="2"/>
    <m/>
    <x v="67"/>
  </r>
  <r>
    <s v="11. Seran Aranguren "/>
    <n v="1"/>
    <m/>
    <x v="68"/>
  </r>
  <r>
    <s v="11. Serapio Castrelos "/>
    <n v="1"/>
    <m/>
    <x v="69"/>
  </r>
  <r>
    <s v="11. Uday Adeeb "/>
    <n v="2"/>
    <m/>
    <x v="70"/>
  </r>
  <r>
    <s v="12. Andrea Califano "/>
    <n v="1"/>
    <m/>
    <x v="71"/>
  </r>
  <r>
    <s v="12. Arnold Kalckstein "/>
    <n v="2"/>
    <m/>
    <x v="72"/>
  </r>
  <r>
    <s v="12. Christophe Reinhart "/>
    <n v="4"/>
    <m/>
    <x v="73"/>
  </r>
  <r>
    <s v="12. Csaba Mezo "/>
    <n v="1"/>
    <m/>
    <x v="74"/>
  </r>
  <r>
    <s v="12. David Garcia-Spiess "/>
    <n v="1"/>
    <m/>
    <x v="18"/>
  </r>
  <r>
    <s v="12. David Garcia-Spiess "/>
    <n v="2"/>
    <m/>
    <x v="18"/>
  </r>
  <r>
    <s v="12. David Knuff "/>
    <n v="2"/>
    <m/>
    <x v="75"/>
  </r>
  <r>
    <s v="12. Dolf Fohringer "/>
    <n v="3"/>
    <m/>
    <x v="76"/>
  </r>
  <r>
    <s v="12. Eckardt Hägerling "/>
    <n v="1"/>
    <m/>
    <x v="40"/>
  </r>
  <r>
    <s v="12. Emilio Mochelato "/>
    <n v="2"/>
    <m/>
    <x v="59"/>
  </r>
  <r>
    <s v="12. Gino van Hoesel "/>
    <n v="2"/>
    <m/>
    <x v="77"/>
  </r>
  <r>
    <s v="12. Igli Volpicelli "/>
    <n v="2"/>
    <m/>
    <x v="78"/>
  </r>
  <r>
    <s v="12. Jos Pittoors "/>
    <n v="4"/>
    <m/>
    <x v="79"/>
  </r>
  <r>
    <s v="12. Károly Serfel "/>
    <n v="4"/>
    <m/>
    <x v="46"/>
  </r>
  <r>
    <s v="12. Lauri Piminäinen "/>
    <n v="2"/>
    <m/>
    <x v="80"/>
  </r>
  <r>
    <s v="12. Ludwik Mojescik "/>
    <n v="3"/>
    <m/>
    <x v="81"/>
  </r>
  <r>
    <s v="12. Ludwik Mojescik "/>
    <n v="2"/>
    <m/>
    <x v="81"/>
  </r>
  <r>
    <s v="12. Massimiliano Jula "/>
    <n v="1"/>
    <m/>
    <x v="82"/>
  </r>
  <r>
    <s v="12. Pieter Pelleboer "/>
    <n v="1"/>
    <m/>
    <x v="83"/>
  </r>
  <r>
    <s v="12. Raffaele Sitter "/>
    <n v="1"/>
    <m/>
    <x v="84"/>
  </r>
  <r>
    <s v="12. Steve Mckinnon "/>
    <n v="1"/>
    <m/>
    <x v="85"/>
  </r>
  <r>
    <s v="12. Tomasz Artymiuk "/>
    <n v="1"/>
    <m/>
    <x v="86"/>
  </r>
  <r>
    <s v="13. ? (Pan) ?? (Yuandong) "/>
    <n v="1"/>
    <m/>
    <x v="87"/>
  </r>
  <r>
    <s v="13. Aamos Vara "/>
    <n v="1"/>
    <m/>
    <x v="88"/>
  </r>
  <r>
    <s v="13. Arjo Olthuis "/>
    <n v="3"/>
    <m/>
    <x v="89"/>
  </r>
  <r>
    <s v="13. Christophe Reinhart "/>
    <n v="1"/>
    <m/>
    <x v="73"/>
  </r>
  <r>
    <s v="13. Christophe Reinhart "/>
    <n v="1"/>
    <m/>
    <x v="73"/>
  </r>
  <r>
    <s v="13. Cornel Caraba "/>
    <n v="2"/>
    <m/>
    <x v="90"/>
  </r>
  <r>
    <s v="13. Emilio Mochelato "/>
    <n v="1"/>
    <m/>
    <x v="59"/>
  </r>
  <r>
    <s v="13. Fere Pulido "/>
    <n v="1"/>
    <m/>
    <x v="91"/>
  </r>
  <r>
    <s v="13. Fernando Gazón "/>
    <n v="1"/>
    <m/>
    <x v="92"/>
  </r>
  <r>
    <s v="13. Gino van Hoesel "/>
    <n v="3"/>
    <m/>
    <x v="77"/>
  </r>
  <r>
    <s v="13. Horacy Dzienis "/>
    <n v="3"/>
    <m/>
    <x v="93"/>
  </r>
  <r>
    <s v="13. Jacobo Ferrueros "/>
    <n v="2"/>
    <m/>
    <x v="43"/>
  </r>
  <r>
    <s v="13. Jos Pittoors "/>
    <n v="2"/>
    <m/>
    <x v="79"/>
  </r>
  <r>
    <s v="13. Mario Omarini "/>
    <n v="1"/>
    <m/>
    <x v="94"/>
  </r>
  <r>
    <s v="13. Matteo Omacini "/>
    <n v="2"/>
    <m/>
    <x v="95"/>
  </r>
  <r>
    <s v="13. Matteo Omacini "/>
    <n v="1"/>
    <m/>
    <x v="95"/>
  </r>
  <r>
    <s v="13. Miguel Fernández "/>
    <n v="1"/>
    <m/>
    <x v="63"/>
  </r>
  <r>
    <s v="13. Nikolay Gerasimenko "/>
    <n v="4"/>
    <m/>
    <x v="96"/>
  </r>
  <r>
    <s v="13. Pasqual Vilar "/>
    <n v="1"/>
    <m/>
    <x v="97"/>
  </r>
  <r>
    <s v="13. Pau Redondo "/>
    <n v="1"/>
    <m/>
    <x v="98"/>
  </r>
  <r>
    <s v="13. Pere Beltran "/>
    <n v="2"/>
    <m/>
    <x v="30"/>
  </r>
  <r>
    <s v="13. Raffaele Sitter "/>
    <n v="2"/>
    <m/>
    <x v="84"/>
  </r>
  <r>
    <s v="13. Ryan Clarke "/>
    <n v="1"/>
    <m/>
    <x v="99"/>
  </r>
  <r>
    <s v="13. Xofre Taín "/>
    <n v="1"/>
    <m/>
    <x v="100"/>
  </r>
  <r>
    <s v="14. Arkadiusz Dembek "/>
    <n v="2"/>
    <m/>
    <x v="101"/>
  </r>
  <r>
    <s v="14. Ellák Deák "/>
    <n v="1"/>
    <m/>
    <x v="102"/>
  </r>
  <r>
    <s v="14. Gianfranco Rezza "/>
    <n v="1"/>
    <m/>
    <x v="103"/>
  </r>
  <r>
    <s v="14. Lech Sipinski "/>
    <n v="3"/>
    <m/>
    <x v="104"/>
  </r>
  <r>
    <s v="14. Mateusz Brzostowski "/>
    <n v="1"/>
    <m/>
    <x v="105"/>
  </r>
  <r>
    <s v="14. Melcior Calmet "/>
    <n v="1"/>
    <m/>
    <x v="28"/>
  </r>
  <r>
    <s v="14. Miklós Gábriel "/>
    <n v="1"/>
    <m/>
    <x v="106"/>
  </r>
  <r>
    <s v="14. Pere Beltran "/>
    <n v="1"/>
    <m/>
    <x v="30"/>
  </r>
  <r>
    <s v="14. Raffaele Sitter "/>
    <n v="3"/>
    <m/>
    <x v="84"/>
  </r>
  <r>
    <s v="14. Ragip Övgü "/>
    <n v="3"/>
    <m/>
    <x v="107"/>
  </r>
  <r>
    <s v="14. Ragip Övgü "/>
    <n v="2"/>
    <m/>
    <x v="107"/>
  </r>
  <r>
    <s v="14. Ricardo Esquerdo "/>
    <n v="3"/>
    <m/>
    <x v="108"/>
  </r>
  <r>
    <s v="14. Sansão Trindade Oliveira "/>
    <n v="1"/>
    <m/>
    <x v="109"/>
  </r>
  <r>
    <s v="14. Sansão Trindade Oliveira "/>
    <n v="1"/>
    <m/>
    <x v="109"/>
  </r>
  <r>
    <s v="14. Sascha Gilch "/>
    <n v="2"/>
    <m/>
    <x v="110"/>
  </r>
  <r>
    <s v="14. Stefano Spanu "/>
    <n v="2"/>
    <m/>
    <x v="111"/>
  </r>
  <r>
    <s v="14. Vincent Gautsch "/>
    <n v="1"/>
    <m/>
    <x v="112"/>
  </r>
  <r>
    <s v="15. Andrea Chiu "/>
    <n v="1"/>
    <m/>
    <x v="113"/>
  </r>
  <r>
    <s v="15. Carlos Ipinza "/>
    <n v="1"/>
    <m/>
    <x v="114"/>
  </r>
  <r>
    <s v="15. Csaba Mezo "/>
    <n v="1"/>
    <m/>
    <x v="74"/>
  </r>
  <r>
    <s v="15. Dan Lindgren "/>
    <n v="1"/>
    <m/>
    <x v="115"/>
  </r>
  <r>
    <s v="15. Fernando Gazón "/>
    <n v="1"/>
    <m/>
    <x v="92"/>
  </r>
  <r>
    <s v="15. Francesc Giró "/>
    <n v="1"/>
    <m/>
    <x v="116"/>
  </r>
  <r>
    <s v="15. Hjalte Egede "/>
    <n v="1"/>
    <m/>
    <x v="117"/>
  </r>
  <r>
    <s v="15. Jos Pittoors "/>
    <n v="2"/>
    <m/>
    <x v="79"/>
  </r>
  <r>
    <s v="15. Miguel Fernández "/>
    <n v="1"/>
    <m/>
    <x v="63"/>
  </r>
  <r>
    <s v="15. Pasqual Vilar "/>
    <n v="2"/>
    <m/>
    <x v="97"/>
  </r>
  <r>
    <s v="15. Pasqual Vilar "/>
    <n v="2"/>
    <m/>
    <x v="97"/>
  </r>
  <r>
    <s v="15. Pere Beltran "/>
    <n v="2"/>
    <m/>
    <x v="30"/>
  </r>
  <r>
    <s v="15. Roberto Montero "/>
    <n v="1"/>
    <m/>
    <x v="53"/>
  </r>
  <r>
    <s v="15. Tristan Voet "/>
    <n v="3"/>
    <m/>
    <x v="118"/>
  </r>
  <r>
    <s v="15. Uday Adeeb "/>
    <n v="2"/>
    <m/>
    <x v="70"/>
  </r>
  <r>
    <s v="15. Zsolt Novák "/>
    <n v="1"/>
    <m/>
    <x v="119"/>
  </r>
  <r>
    <s v="16. Adamantios Fikias "/>
    <n v="1"/>
    <m/>
    <x v="34"/>
  </r>
  <r>
    <s v="16. Adamantios Fikias "/>
    <n v="1"/>
    <m/>
    <x v="34"/>
  </r>
  <r>
    <s v="16. Andrija Miškovic "/>
    <n v="1"/>
    <m/>
    <x v="35"/>
  </r>
  <r>
    <s v="16. Dan Veneau "/>
    <n v="1"/>
    <m/>
    <x v="120"/>
  </r>
  <r>
    <s v="16. Gastone Cianelli "/>
    <n v="1"/>
    <m/>
    <x v="121"/>
  </r>
  <r>
    <s v="16. Horacy Dzienis "/>
    <n v="1"/>
    <m/>
    <x v="93"/>
  </r>
  <r>
    <s v="16. Joãozinho do Mato "/>
    <n v="2"/>
    <m/>
    <x v="22"/>
  </r>
  <r>
    <s v="16. José Luis Valdés Saavedra "/>
    <n v="1"/>
    <m/>
    <x v="122"/>
  </r>
  <r>
    <s v="16. Ludovic Gygax "/>
    <n v="1"/>
    <m/>
    <x v="123"/>
  </r>
  <r>
    <s v="16. Ludwik Mojescik "/>
    <n v="2"/>
    <m/>
    <x v="81"/>
  </r>
  <r>
    <s v="16. Martijn Collinet "/>
    <n v="2"/>
    <m/>
    <x v="124"/>
  </r>
  <r>
    <s v="16. Ulf Schenkel "/>
    <n v="2"/>
    <m/>
    <x v="125"/>
  </r>
  <r>
    <s v="17. Andres Kalvet "/>
    <n v="1"/>
    <m/>
    <x v="126"/>
  </r>
  <r>
    <s v="17. Catalin Corobea "/>
    <n v="1"/>
    <m/>
    <x v="127"/>
  </r>
  <r>
    <s v="17. Dimitris Prokos "/>
    <n v="1"/>
    <m/>
    <x v="128"/>
  </r>
  <r>
    <s v="17. Ellák Deák "/>
    <n v="1"/>
    <m/>
    <x v="102"/>
  </r>
  <r>
    <s v="17. Fernando Juárez Sierra "/>
    <n v="1"/>
    <m/>
    <x v="129"/>
  </r>
  <r>
    <s v="17. Iacob Sarpe "/>
    <n v="1"/>
    <m/>
    <x v="130"/>
  </r>
  <r>
    <s v="17. Krzysztof Buras "/>
    <n v="1"/>
    <m/>
    <x v="131"/>
  </r>
  <r>
    <s v="17. Morgan Gomes "/>
    <n v="1"/>
    <m/>
    <x v="132"/>
  </r>
  <r>
    <s v="17. Nicolai Stentoft "/>
    <n v="2"/>
    <m/>
    <x v="50"/>
  </r>
  <r>
    <s v="17. Zsolt Novák "/>
    <n v="1"/>
    <m/>
    <x v="119"/>
  </r>
  <r>
    <s v="18. Carlos Ipinza "/>
    <n v="1"/>
    <m/>
    <x v="114"/>
  </r>
  <r>
    <s v="18. Dolf Fohringer "/>
    <n v="1"/>
    <m/>
    <x v="76"/>
  </r>
  <r>
    <s v="18. Finlay MacGrory "/>
    <n v="1"/>
    <m/>
    <x v="133"/>
  </r>
  <r>
    <s v="18. Marcin Lulewicz "/>
    <n v="1"/>
    <m/>
    <x v="134"/>
  </r>
  <r>
    <s v="18. Nicolau Caraduxe "/>
    <n v="1"/>
    <m/>
    <x v="135"/>
  </r>
  <r>
    <s v="18. Pau Redondo "/>
    <n v="1"/>
    <m/>
    <x v="98"/>
  </r>
  <r>
    <s v="18. Stefano Spanu "/>
    <n v="1"/>
    <m/>
    <x v="111"/>
  </r>
  <r>
    <s v="19. Christophe Méjean "/>
    <n v="1"/>
    <m/>
    <x v="136"/>
  </r>
  <r>
    <s v="19. Fere Pulido "/>
    <n v="1"/>
    <m/>
    <x v="91"/>
  </r>
  <r>
    <s v="19. Gawel Nanowski "/>
    <n v="1"/>
    <m/>
    <x v="137"/>
  </r>
  <r>
    <s v="19. Jacobo Ferrueros "/>
    <n v="1"/>
    <m/>
    <x v="43"/>
  </r>
  <r>
    <s v="2. Adam Moss "/>
    <n v="9"/>
    <m/>
    <x v="15"/>
  </r>
  <r>
    <s v="2. Adamantios Fikias "/>
    <n v="8"/>
    <m/>
    <x v="34"/>
  </r>
  <r>
    <s v="2. Alex Txantre "/>
    <n v="6"/>
    <m/>
    <x v="138"/>
  </r>
  <r>
    <s v="2. Andrin Bärtsch "/>
    <n v="10"/>
    <m/>
    <x v="36"/>
  </r>
  <r>
    <s v="2. Brunon Chuda "/>
    <n v="5"/>
    <m/>
    <x v="17"/>
  </r>
  <r>
    <s v="2. Co Wolbers "/>
    <n v="7"/>
    <m/>
    <x v="139"/>
  </r>
  <r>
    <s v="2. Cornel Boicea "/>
    <n v="10"/>
    <m/>
    <x v="140"/>
  </r>
  <r>
    <s v="2. David Garcia-Spiess "/>
    <n v="15"/>
    <m/>
    <x v="18"/>
  </r>
  <r>
    <s v="2. Gianfranco Rezza "/>
    <n v="7"/>
    <m/>
    <x v="103"/>
  </r>
  <r>
    <s v="2. Joãozinho do Mato "/>
    <n v="2"/>
    <m/>
    <x v="22"/>
  </r>
  <r>
    <s v="2. John Chung "/>
    <n v="6"/>
    <m/>
    <x v="141"/>
  </r>
  <r>
    <s v="2. Kendor Nagiturri "/>
    <n v="16"/>
    <m/>
    <x v="142"/>
  </r>
  <r>
    <s v="2. Kendor Nagiturri "/>
    <n v="8"/>
    <m/>
    <x v="142"/>
  </r>
  <r>
    <s v="2. Leo Hilpinen "/>
    <n v="7"/>
    <m/>
    <x v="23"/>
  </r>
  <r>
    <s v="2. Manolo Negrín "/>
    <n v="7"/>
    <m/>
    <x v="26"/>
  </r>
  <r>
    <s v="2. Mattia Sambri "/>
    <n v="4"/>
    <m/>
    <x v="143"/>
  </r>
  <r>
    <s v="2. Melcior Calmet "/>
    <n v="6"/>
    <m/>
    <x v="28"/>
  </r>
  <r>
    <s v="2. Nicolau Caraduxe "/>
    <n v="9"/>
    <m/>
    <x v="135"/>
  </r>
  <r>
    <s v="2. Pere Beltran "/>
    <n v="5"/>
    <m/>
    <x v="30"/>
  </r>
  <r>
    <s v="2. Pere Beltran "/>
    <n v="4"/>
    <m/>
    <x v="30"/>
  </r>
  <r>
    <s v="2. Rasheed Da'na "/>
    <n v="13"/>
    <m/>
    <x v="66"/>
  </r>
  <r>
    <s v="2. Renato Galeano "/>
    <n v="7"/>
    <m/>
    <x v="144"/>
  </r>
  <r>
    <s v="2. Roberto Abenoza "/>
    <n v="5"/>
    <m/>
    <x v="145"/>
  </r>
  <r>
    <s v="2. Saúl Piña "/>
    <n v="14"/>
    <m/>
    <x v="32"/>
  </r>
  <r>
    <s v="2. Saúl Piña "/>
    <n v="10"/>
    <m/>
    <x v="32"/>
  </r>
  <r>
    <s v="2. Tommaso Niscola "/>
    <n v="12"/>
    <m/>
    <x v="146"/>
  </r>
  <r>
    <s v="20. David Erbiti "/>
    <n v="1"/>
    <m/>
    <x v="147"/>
  </r>
  <r>
    <s v="20. David Knuff "/>
    <n v="1"/>
    <m/>
    <x v="75"/>
  </r>
  <r>
    <s v="20. Harald Georg Berchthold "/>
    <n v="1"/>
    <m/>
    <x v="148"/>
  </r>
  <r>
    <s v="20. Jan Jessen "/>
    <n v="1"/>
    <m/>
    <x v="149"/>
  </r>
  <r>
    <s v="21. Enis Kalan "/>
    <n v="1"/>
    <m/>
    <x v="150"/>
  </r>
  <r>
    <s v="21. José Manuel Carneiro "/>
    <n v="1"/>
    <m/>
    <x v="151"/>
  </r>
  <r>
    <s v="22. Ludvig Andreasson "/>
    <n v="1"/>
    <m/>
    <x v="152"/>
  </r>
  <r>
    <s v="23. Luigi Tripodo "/>
    <n v="1"/>
    <m/>
    <x v="153"/>
  </r>
  <r>
    <s v="24. Christophe Méjean "/>
    <n v="1"/>
    <m/>
    <x v="136"/>
  </r>
  <r>
    <s v="25. Aamos Vara "/>
    <n v="1"/>
    <m/>
    <x v="88"/>
  </r>
  <r>
    <s v="3. Adam Moss "/>
    <n v="14"/>
    <m/>
    <x v="15"/>
  </r>
  <r>
    <s v="3. Adamantios Fikias "/>
    <n v="5"/>
    <m/>
    <x v="34"/>
  </r>
  <r>
    <s v="3. Andrin Bärtsch "/>
    <n v="10"/>
    <m/>
    <x v="36"/>
  </r>
  <r>
    <s v="3. Andrin Bärtsch "/>
    <n v="7"/>
    <m/>
    <x v="36"/>
  </r>
  <r>
    <s v="3. Brunon Chuda "/>
    <n v="8"/>
    <m/>
    <x v="17"/>
  </r>
  <r>
    <s v="3. Brunon Chuda "/>
    <n v="5"/>
    <m/>
    <x v="17"/>
  </r>
  <r>
    <s v="3. Co Wolbers "/>
    <n v="6"/>
    <m/>
    <x v="139"/>
  </r>
  <r>
    <s v="3. Cornel Boicea "/>
    <n v="9"/>
    <m/>
    <x v="140"/>
  </r>
  <r>
    <s v="3. Damiano Clementi "/>
    <n v="3"/>
    <m/>
    <x v="154"/>
  </r>
  <r>
    <s v="3. Gianfranco Rezza "/>
    <n v="11"/>
    <m/>
    <x v="103"/>
  </r>
  <r>
    <s v="3. Harald Georg Berchthold "/>
    <n v="4"/>
    <m/>
    <x v="148"/>
  </r>
  <r>
    <s v="3. John Chung "/>
    <n v="8"/>
    <m/>
    <x v="141"/>
  </r>
  <r>
    <s v="3. Jos Pittoors "/>
    <n v="8"/>
    <m/>
    <x v="79"/>
  </r>
  <r>
    <s v="3. Leonardo Baltico "/>
    <n v="2"/>
    <m/>
    <x v="24"/>
  </r>
  <r>
    <s v="3. Mario Omarini "/>
    <n v="7"/>
    <m/>
    <x v="94"/>
  </r>
  <r>
    <s v="3. Miklós Gábriel "/>
    <n v="6"/>
    <m/>
    <x v="106"/>
  </r>
  <r>
    <s v="3. Miklós Gábriel "/>
    <n v="5"/>
    <m/>
    <x v="106"/>
  </r>
  <r>
    <s v="3. Nikolay Gerasimenko "/>
    <n v="5"/>
    <m/>
    <x v="96"/>
  </r>
  <r>
    <s v="3. Nikolay Gerasimenko "/>
    <n v="3"/>
    <m/>
    <x v="96"/>
  </r>
  <r>
    <s v="3. Pablo Gil Fano "/>
    <n v="4"/>
    <m/>
    <x v="155"/>
  </r>
  <r>
    <s v="3. Rasheed Da'na "/>
    <n v="6"/>
    <m/>
    <x v="66"/>
  </r>
  <r>
    <s v="3. Rasheed Da'na "/>
    <n v="13"/>
    <m/>
    <x v="66"/>
  </r>
  <r>
    <s v="3. Raúl Riquelme "/>
    <n v="2"/>
    <m/>
    <x v="156"/>
  </r>
  <r>
    <s v="3. Roberto Abenoza "/>
    <n v="3"/>
    <m/>
    <x v="145"/>
  </r>
  <r>
    <s v="3. Sejo Sáenz Marín "/>
    <n v="4"/>
    <m/>
    <x v="157"/>
  </r>
  <r>
    <s v="3. Tommaso Niscola "/>
    <n v="7"/>
    <m/>
    <x v="146"/>
  </r>
  <r>
    <s v="4. Aimar Lasalde "/>
    <n v="9"/>
    <m/>
    <x v="158"/>
  </r>
  <r>
    <s v="4. Ellák Deák "/>
    <n v="5"/>
    <m/>
    <x v="102"/>
  </r>
  <r>
    <s v="4. Ellák Deák "/>
    <n v="6"/>
    <m/>
    <x v="102"/>
  </r>
  <r>
    <s v="4. Gianfranco Rezza "/>
    <n v="6"/>
    <m/>
    <x v="103"/>
  </r>
  <r>
    <s v="4. Gianfranco Rezza "/>
    <n v="12"/>
    <m/>
    <x v="103"/>
  </r>
  <r>
    <s v="4. Gongotzon Ialdebere "/>
    <n v="7"/>
    <m/>
    <x v="159"/>
  </r>
  <r>
    <s v="4. Hansjürg Devier "/>
    <n v="4"/>
    <m/>
    <x v="160"/>
  </r>
  <r>
    <s v="4. Iyad Chaabo "/>
    <n v="6"/>
    <m/>
    <x v="161"/>
  </r>
  <r>
    <s v="4. Jörg Londorf "/>
    <n v="4"/>
    <m/>
    <x v="162"/>
  </r>
  <r>
    <s v="4. Leonardo Baltico "/>
    <n v="11"/>
    <m/>
    <x v="24"/>
  </r>
  <r>
    <s v="4. Ludwik Mojescik "/>
    <n v="7"/>
    <m/>
    <x v="81"/>
  </r>
  <r>
    <s v="4. Nikolas Lakkotripi "/>
    <n v="7"/>
    <m/>
    <x v="29"/>
  </r>
  <r>
    <s v="4. Nikolay Gerasimenko "/>
    <n v="8"/>
    <m/>
    <x v="96"/>
  </r>
  <r>
    <s v="4. Pepijn Zwaan "/>
    <n v="6"/>
    <m/>
    <x v="163"/>
  </r>
  <r>
    <s v="4. Pere Beltran "/>
    <n v="2"/>
    <m/>
    <x v="30"/>
  </r>
  <r>
    <s v="4. Petru Pena "/>
    <n v="3"/>
    <m/>
    <x v="164"/>
  </r>
  <r>
    <s v="4. Ragip Övgü "/>
    <n v="5"/>
    <m/>
    <x v="107"/>
  </r>
  <r>
    <s v="4. Rasheed Da'na "/>
    <n v="9"/>
    <m/>
    <x v="66"/>
  </r>
  <r>
    <s v="4. Relf Härteis "/>
    <n v="3"/>
    <m/>
    <x v="165"/>
  </r>
  <r>
    <s v="4. Relf Härteis "/>
    <n v="4"/>
    <m/>
    <x v="165"/>
  </r>
  <r>
    <s v="4. Renato Galeano "/>
    <n v="8"/>
    <m/>
    <x v="144"/>
  </r>
  <r>
    <s v="4. Roberto Abenoza "/>
    <n v="4"/>
    <m/>
    <x v="145"/>
  </r>
  <r>
    <s v="4. Zeno Baets "/>
    <n v="3"/>
    <m/>
    <x v="166"/>
  </r>
  <r>
    <s v="5. Adam Moss "/>
    <n v="10"/>
    <m/>
    <x v="15"/>
  </r>
  <r>
    <s v="5. Adam Moss "/>
    <n v="6"/>
    <m/>
    <x v="15"/>
  </r>
  <r>
    <s v="5. Aimar Lasalde "/>
    <n v="6"/>
    <m/>
    <x v="158"/>
  </r>
  <r>
    <s v="5. Aiurdi Azpileta "/>
    <n v="3"/>
    <m/>
    <x v="167"/>
  </r>
  <r>
    <s v="5. Casildo Abraldes "/>
    <n v="2"/>
    <m/>
    <x v="168"/>
  </r>
  <r>
    <s v="5. David Erbiti "/>
    <n v="3"/>
    <m/>
    <x v="147"/>
  </r>
  <r>
    <s v="5. Ernst Lammers "/>
    <n v="4"/>
    <m/>
    <x v="169"/>
  </r>
  <r>
    <s v="5. Fere Pulido "/>
    <n v="5"/>
    <m/>
    <x v="91"/>
  </r>
  <r>
    <s v="5. Gianfranco Rezza "/>
    <n v="6"/>
    <m/>
    <x v="103"/>
  </r>
  <r>
    <s v="5. Gino van Hoesel "/>
    <n v="6"/>
    <m/>
    <x v="77"/>
  </r>
  <r>
    <s v="5. Horacy Dzienis "/>
    <n v="7"/>
    <m/>
    <x v="93"/>
  </r>
  <r>
    <s v="5. Ibiur Altxakoa "/>
    <n v="5"/>
    <m/>
    <x v="170"/>
  </r>
  <r>
    <s v="5. Iuliu Pana "/>
    <n v="3"/>
    <m/>
    <x v="171"/>
  </r>
  <r>
    <s v="5. Joãozinho do Mato "/>
    <n v="8"/>
    <m/>
    <x v="22"/>
  </r>
  <r>
    <s v="5. Mauro Vaz "/>
    <n v="2"/>
    <m/>
    <x v="172"/>
  </r>
  <r>
    <s v="5. Michele Giampieri "/>
    <n v="6"/>
    <m/>
    <x v="173"/>
  </r>
  <r>
    <s v="5. Nikolay Gerasimenko "/>
    <n v="4"/>
    <m/>
    <x v="96"/>
  </r>
  <r>
    <s v="5. Pablo Gil Fano "/>
    <n v="2"/>
    <m/>
    <x v="155"/>
  </r>
  <r>
    <s v="5. Pere Beltran "/>
    <n v="8"/>
    <m/>
    <x v="30"/>
  </r>
  <r>
    <s v="5. Rasheed Da'na "/>
    <n v="6"/>
    <m/>
    <x v="66"/>
  </r>
  <r>
    <s v="5. Rasheed Da'na "/>
    <n v="11"/>
    <m/>
    <x v="66"/>
  </r>
  <r>
    <s v="5. Raúl Riquelme "/>
    <n v="3"/>
    <m/>
    <x v="156"/>
  </r>
  <r>
    <s v="5. Richey Cowper "/>
    <n v="3"/>
    <m/>
    <x v="174"/>
  </r>
  <r>
    <s v="5. Zbyšek Hamrozi "/>
    <n v="1"/>
    <m/>
    <x v="175"/>
  </r>
  <r>
    <s v="6. Aimar Lasalde "/>
    <n v="6"/>
    <m/>
    <x v="158"/>
  </r>
  <r>
    <s v="6. Boleslaw Starzomski "/>
    <n v="5"/>
    <m/>
    <x v="58"/>
  </r>
  <r>
    <s v="6. Brunon Chuda "/>
    <n v="5"/>
    <m/>
    <x v="17"/>
  </r>
  <r>
    <s v="6. Christophe Bodin "/>
    <n v="2"/>
    <m/>
    <x v="176"/>
  </r>
  <r>
    <s v="6. David Berkenbosch "/>
    <n v="3"/>
    <m/>
    <x v="177"/>
  </r>
  <r>
    <s v="6. David Knuff "/>
    <n v="3"/>
    <m/>
    <x v="75"/>
  </r>
  <r>
    <s v="6. Domenic Janjic "/>
    <n v="2"/>
    <m/>
    <x v="178"/>
  </r>
  <r>
    <s v="6. Fernando Gazón "/>
    <n v="2"/>
    <m/>
    <x v="92"/>
  </r>
  <r>
    <s v="6. Fernando Gazón "/>
    <n v="2"/>
    <m/>
    <x v="92"/>
  </r>
  <r>
    <s v="6. Gastone Cianelli "/>
    <n v="3"/>
    <m/>
    <x v="121"/>
  </r>
  <r>
    <s v="6. Ibiur Altxakoa "/>
    <n v="4"/>
    <m/>
    <x v="170"/>
  </r>
  <r>
    <s v="6. Jorge Walter Whitaker "/>
    <n v="4"/>
    <m/>
    <x v="44"/>
  </r>
  <r>
    <s v="6. Juan Gabriel de Minaya "/>
    <n v="2"/>
    <m/>
    <x v="179"/>
  </r>
  <r>
    <s v="6. Kendor Nagiturri "/>
    <n v="6"/>
    <m/>
    <x v="142"/>
  </r>
  <r>
    <s v="6. Krzysztof Buras "/>
    <n v="3"/>
    <m/>
    <x v="131"/>
  </r>
  <r>
    <s v="6. Ludwik Mojescik "/>
    <n v="7"/>
    <m/>
    <x v="81"/>
  </r>
  <r>
    <s v="6. Malte Neulinger "/>
    <n v="5"/>
    <m/>
    <x v="25"/>
  </r>
  <r>
    <s v="6. Nikolas Lakkotripi "/>
    <n v="1"/>
    <m/>
    <x v="29"/>
  </r>
  <r>
    <s v="6. Pasqual Vilar "/>
    <n v="7"/>
    <m/>
    <x v="97"/>
  </r>
  <r>
    <s v="6. Pepijn Zwaan "/>
    <n v="10"/>
    <m/>
    <x v="163"/>
  </r>
  <r>
    <s v="6. Roelant Bierman "/>
    <n v="5"/>
    <m/>
    <x v="31"/>
  </r>
  <r>
    <s v="6. Romain Grière "/>
    <n v="4"/>
    <m/>
    <x v="67"/>
  </r>
  <r>
    <s v="6. Saúl Piña "/>
    <n v="11"/>
    <m/>
    <x v="32"/>
  </r>
  <r>
    <s v="6. Stanislaw Zdankiewicz "/>
    <n v="5"/>
    <m/>
    <x v="180"/>
  </r>
  <r>
    <s v="6. Torsten Kortenhof "/>
    <n v="6"/>
    <m/>
    <x v="181"/>
  </r>
  <r>
    <s v="7. ? (Pan) ?? (Yuandong) "/>
    <n v="3"/>
    <m/>
    <x v="87"/>
  </r>
  <r>
    <s v="7. Adam Moss "/>
    <n v="4"/>
    <m/>
    <x v="15"/>
  </r>
  <r>
    <s v="7. Alexander Pahl "/>
    <n v="1"/>
    <m/>
    <x v="182"/>
  </r>
  <r>
    <s v="7. Alfonso Londoño "/>
    <n v="1"/>
    <m/>
    <x v="183"/>
  </r>
  <r>
    <s v="7. Andrea Califano "/>
    <n v="4"/>
    <m/>
    <x v="71"/>
  </r>
  <r>
    <s v="7. Andrin Bärtsch "/>
    <n v="9"/>
    <m/>
    <x v="36"/>
  </r>
  <r>
    <s v="7. Andrin Bärtsch "/>
    <n v="10"/>
    <m/>
    <x v="36"/>
  </r>
  <r>
    <s v="7. Arjo Olthuis "/>
    <n v="6"/>
    <m/>
    <x v="89"/>
  </r>
  <r>
    <s v="7. Aureliusz Staszczuk "/>
    <n v="3"/>
    <m/>
    <x v="56"/>
  </r>
  <r>
    <s v="7. Eckardt Hägerling "/>
    <n v="2"/>
    <m/>
    <x v="40"/>
  </r>
  <r>
    <s v="7. Fabien Fabre "/>
    <n v="3"/>
    <m/>
    <x v="60"/>
  </r>
  <r>
    <s v="7. Giulio Procaccianti "/>
    <n v="4"/>
    <m/>
    <x v="184"/>
  </r>
  <r>
    <s v="7. Honesto Cousa "/>
    <n v="3"/>
    <m/>
    <x v="61"/>
  </r>
  <r>
    <s v="7. Iacob Sarpe "/>
    <n v="2"/>
    <m/>
    <x v="130"/>
  </r>
  <r>
    <s v="7. Jaime Ocón "/>
    <n v="2"/>
    <m/>
    <x v="185"/>
  </r>
  <r>
    <s v="7. Lars Pouilliers "/>
    <n v="5"/>
    <m/>
    <x v="47"/>
  </r>
  <r>
    <s v="7. Manuel Parejo "/>
    <n v="2"/>
    <m/>
    <x v="186"/>
  </r>
  <r>
    <s v="7. Markus Currie "/>
    <n v="5"/>
    <m/>
    <x v="48"/>
  </r>
  <r>
    <s v="7. Michele Giampieri "/>
    <n v="3"/>
    <m/>
    <x v="173"/>
  </r>
  <r>
    <s v="7. Pasqual Vilar "/>
    <n v="6"/>
    <m/>
    <x v="97"/>
  </r>
  <r>
    <s v="7. Patrick Werner "/>
    <n v="5"/>
    <m/>
    <x v="64"/>
  </r>
  <r>
    <s v="7. Stanislaw Zdankiewicz "/>
    <n v="3"/>
    <m/>
    <x v="180"/>
  </r>
  <r>
    <s v="7. Tomasz Artymiuk "/>
    <n v="5"/>
    <m/>
    <x v="86"/>
  </r>
  <r>
    <s v="7. Vincent Gautsch "/>
    <n v="2"/>
    <m/>
    <x v="112"/>
  </r>
  <r>
    <s v="7. Wicher Ossedrijver "/>
    <n v="6"/>
    <m/>
    <x v="187"/>
  </r>
  <r>
    <s v="8. Andrin Bärtsch "/>
    <n v="1"/>
    <m/>
    <x v="36"/>
  </r>
  <r>
    <s v="8. Arnold Kalckstein "/>
    <n v="9"/>
    <m/>
    <x v="72"/>
  </r>
  <r>
    <s v="8. Carlos Ipinza "/>
    <n v="2"/>
    <m/>
    <x v="114"/>
  </r>
  <r>
    <s v="8. Christophe Méjean "/>
    <n v="2"/>
    <m/>
    <x v="136"/>
  </r>
  <r>
    <s v="8. Co Wolbers "/>
    <n v="2"/>
    <m/>
    <x v="139"/>
  </r>
  <r>
    <s v="8. Csaba Mezo "/>
    <n v="3"/>
    <m/>
    <x v="74"/>
  </r>
  <r>
    <s v="8. Emilio Rojas "/>
    <n v="3"/>
    <m/>
    <x v="19"/>
  </r>
  <r>
    <s v="8. Felipe Andrés Massarelli "/>
    <n v="2"/>
    <m/>
    <x v="188"/>
  </r>
  <r>
    <s v="8. Fernando Juárez Sierra "/>
    <n v="4"/>
    <m/>
    <x v="129"/>
  </r>
  <r>
    <s v="8. Gregor Freischläger "/>
    <n v="9"/>
    <m/>
    <x v="42"/>
  </r>
  <r>
    <s v="8. Gregorio Manrique "/>
    <n v="1"/>
    <m/>
    <x v="189"/>
  </r>
  <r>
    <s v="8. Ibiur Altxakoa "/>
    <n v="4"/>
    <m/>
    <x v="170"/>
  </r>
  <r>
    <s v="8. Iuliu Pana "/>
    <n v="4"/>
    <m/>
    <x v="171"/>
  </r>
  <r>
    <s v="8. José Rubianes "/>
    <n v="2"/>
    <m/>
    <x v="190"/>
  </r>
  <r>
    <s v="8. Manuel Parejo "/>
    <n v="1"/>
    <m/>
    <x v="186"/>
  </r>
  <r>
    <s v="8. Martin Herber "/>
    <n v="5"/>
    <m/>
    <x v="191"/>
  </r>
  <r>
    <s v="8. Morgan Thomas "/>
    <n v="3"/>
    <m/>
    <x v="49"/>
  </r>
  <r>
    <s v="8. Pau Redondo "/>
    <n v="3"/>
    <m/>
    <x v="98"/>
  </r>
  <r>
    <s v="8. Ragip Övgü "/>
    <n v="6"/>
    <m/>
    <x v="107"/>
  </r>
  <r>
    <s v="8. Ricardo Esquerdo "/>
    <n v="4"/>
    <m/>
    <x v="108"/>
  </r>
  <r>
    <s v="8. Ricardo Esquerdo "/>
    <n v="4"/>
    <m/>
    <x v="108"/>
  </r>
  <r>
    <s v="8. Roelant Bierman "/>
    <n v="3"/>
    <m/>
    <x v="31"/>
  </r>
  <r>
    <s v="8. Stanislaw Zdankiewicz "/>
    <n v="4"/>
    <m/>
    <x v="180"/>
  </r>
  <r>
    <s v="8. Tijl van Hamburg "/>
    <n v="2"/>
    <m/>
    <x v="192"/>
  </r>
  <r>
    <s v="8. Tommaso Niscola "/>
    <n v="3"/>
    <m/>
    <x v="146"/>
  </r>
  <r>
    <s v="8. Xofre Taín "/>
    <n v="2"/>
    <m/>
    <x v="100"/>
  </r>
  <r>
    <s v="9. Adam Moss "/>
    <n v="5"/>
    <m/>
    <x v="15"/>
  </r>
  <r>
    <s v="9. Adamantios Fikias "/>
    <n v="1"/>
    <m/>
    <x v="34"/>
  </r>
  <r>
    <s v="9. Aimar Lasalde "/>
    <n v="3"/>
    <m/>
    <x v="158"/>
  </r>
  <r>
    <s v="9. Arnold Kalckstein "/>
    <n v="3"/>
    <m/>
    <x v="72"/>
  </r>
  <r>
    <s v="9. Cornel Caraba "/>
    <n v="3"/>
    <m/>
    <x v="90"/>
  </r>
  <r>
    <s v="9. Dan Veneau "/>
    <n v="3"/>
    <m/>
    <x v="120"/>
  </r>
  <r>
    <s v="9. David Erbiti "/>
    <n v="2"/>
    <m/>
    <x v="147"/>
  </r>
  <r>
    <s v="9. Emilio Rojas "/>
    <n v="3"/>
    <m/>
    <x v="19"/>
  </r>
  <r>
    <s v="9. Enis Kalan "/>
    <n v="2"/>
    <m/>
    <x v="150"/>
  </r>
  <r>
    <s v="9. Feliciano Becerril "/>
    <n v="8"/>
    <m/>
    <x v="193"/>
  </r>
  <r>
    <s v="9. Giulio Procaccianti "/>
    <n v="5"/>
    <m/>
    <x v="184"/>
  </r>
  <r>
    <s v="9. Gustaw Bugajski "/>
    <n v="1"/>
    <m/>
    <x v="194"/>
  </r>
  <r>
    <s v="9. Ilari Santasalmi "/>
    <n v="3"/>
    <m/>
    <x v="21"/>
  </r>
  <r>
    <s v="9. Jos Pittoors "/>
    <n v="1"/>
    <m/>
    <x v="79"/>
  </r>
  <r>
    <s v="9. Karst van Gils "/>
    <n v="2"/>
    <m/>
    <x v="195"/>
  </r>
  <r>
    <s v="9. Leonardo Baltico "/>
    <n v="3"/>
    <m/>
    <x v="24"/>
  </r>
  <r>
    <s v="9. Manolo Negrín "/>
    <n v="2"/>
    <m/>
    <x v="26"/>
  </r>
  <r>
    <s v="9. Mateusz Brzostowski "/>
    <n v="1"/>
    <m/>
    <x v="105"/>
  </r>
  <r>
    <s v="9. Mauro Vaz "/>
    <n v="1"/>
    <m/>
    <x v="172"/>
  </r>
  <r>
    <s v="9. Miguel Fernández "/>
    <n v="2"/>
    <m/>
    <x v="63"/>
  </r>
  <r>
    <s v="9. Morgan Thomas "/>
    <n v="3"/>
    <m/>
    <x v="49"/>
  </r>
  <r>
    <s v="9. Pepijn Zwaan "/>
    <n v="2"/>
    <m/>
    <x v="163"/>
  </r>
  <r>
    <s v="9. Pere Beltran "/>
    <n v="4"/>
    <m/>
    <x v="30"/>
  </r>
  <r>
    <s v="9. Raffaele Sitter "/>
    <n v="5"/>
    <m/>
    <x v="84"/>
  </r>
  <r>
    <s v="9. Raúl Riquelme "/>
    <n v="1"/>
    <m/>
    <x v="156"/>
  </r>
  <r>
    <s v="9. Renato Galeano "/>
    <n v="4"/>
    <m/>
    <x v="144"/>
  </r>
  <r>
    <s v="9. Udo Mier "/>
    <n v="2"/>
    <m/>
    <x v="196"/>
  </r>
  <r>
    <s v="9. Ulf Schenkel "/>
    <n v="3"/>
    <m/>
    <x v="125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D477ED-5AC2-4BBA-ABD9-AE68B170C5CE}" name="TablaDinámica1" cacheId="1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1:H200" firstHeaderRow="1" firstDataRow="1" firstDataCol="1"/>
  <pivotFields count="4">
    <pivotField showAll="0"/>
    <pivotField dataField="1" showAll="0"/>
    <pivotField showAll="0"/>
    <pivotField axis="axisRow" showAll="0" sortType="descending">
      <items count="396">
        <item m="1" x="378"/>
        <item m="1" x="268"/>
        <item m="1" x="273"/>
        <item m="1" x="216"/>
        <item m="1" x="235"/>
        <item m="1" x="362"/>
        <item m="1" x="238"/>
        <item m="1" x="301"/>
        <item m="1" x="209"/>
        <item m="1" x="240"/>
        <item m="1" x="381"/>
        <item m="1" x="364"/>
        <item m="1" x="356"/>
        <item m="1" x="351"/>
        <item m="1" x="236"/>
        <item m="1" x="219"/>
        <item m="1" x="375"/>
        <item m="1" x="269"/>
        <item m="1" x="198"/>
        <item m="1" x="222"/>
        <item m="1" x="293"/>
        <item m="1" x="266"/>
        <item m="1" x="299"/>
        <item m="1" x="297"/>
        <item m="1" x="363"/>
        <item m="1" x="300"/>
        <item m="1" x="305"/>
        <item m="1" x="260"/>
        <item m="1" x="387"/>
        <item m="1" x="262"/>
        <item m="1" x="278"/>
        <item m="1" x="357"/>
        <item m="1" x="245"/>
        <item m="1" x="242"/>
        <item m="1" x="336"/>
        <item m="1" x="210"/>
        <item m="1" x="206"/>
        <item m="1" x="237"/>
        <item m="1" x="215"/>
        <item m="1" x="230"/>
        <item m="1" x="325"/>
        <item m="1" x="253"/>
        <item m="1" x="291"/>
        <item m="1" x="267"/>
        <item m="1" x="323"/>
        <item m="1" x="232"/>
        <item m="1" x="295"/>
        <item m="1" x="330"/>
        <item m="1" x="256"/>
        <item m="1" x="355"/>
        <item m="1" x="332"/>
        <item m="1" x="326"/>
        <item m="1" x="298"/>
        <item m="1" x="204"/>
        <item m="1" x="318"/>
        <item m="1" x="261"/>
        <item m="1" x="328"/>
        <item m="1" x="208"/>
        <item m="1" x="343"/>
        <item m="1" x="331"/>
        <item m="1" x="255"/>
        <item m="1" x="225"/>
        <item m="1" x="338"/>
        <item m="1" x="289"/>
        <item m="1" x="281"/>
        <item m="1" x="384"/>
        <item m="1" x="244"/>
        <item m="1" x="307"/>
        <item m="1" x="223"/>
        <item m="1" x="213"/>
        <item m="1" x="272"/>
        <item m="1" x="352"/>
        <item m="1" x="389"/>
        <item m="1" x="345"/>
        <item m="1" x="394"/>
        <item m="1" x="283"/>
        <item m="1" x="294"/>
        <item m="1" x="376"/>
        <item m="1" x="353"/>
        <item m="1" x="284"/>
        <item m="1" x="288"/>
        <item m="1" x="314"/>
        <item m="1" x="214"/>
        <item m="1" x="327"/>
        <item m="1" x="340"/>
        <item m="1" x="250"/>
        <item m="1" x="372"/>
        <item m="1" x="211"/>
        <item m="1" x="276"/>
        <item m="1" x="203"/>
        <item m="1" x="201"/>
        <item m="1" x="259"/>
        <item m="1" x="264"/>
        <item m="1" x="212"/>
        <item m="1" x="360"/>
        <item m="1" x="279"/>
        <item m="1" x="228"/>
        <item m="1" x="286"/>
        <item m="1" x="226"/>
        <item m="1" x="317"/>
        <item m="1" x="227"/>
        <item m="1" x="248"/>
        <item m="1" x="346"/>
        <item m="1" x="370"/>
        <item m="1" x="324"/>
        <item m="1" x="385"/>
        <item m="1" x="368"/>
        <item m="1" x="341"/>
        <item m="1" x="377"/>
        <item m="1" x="199"/>
        <item m="1" x="254"/>
        <item m="1" x="308"/>
        <item m="1" x="233"/>
        <item m="1" x="319"/>
        <item m="1" x="329"/>
        <item m="1" x="247"/>
        <item m="1" x="239"/>
        <item m="1" x="287"/>
        <item m="1" x="292"/>
        <item m="1" x="373"/>
        <item m="1" x="322"/>
        <item m="1" x="348"/>
        <item m="1" x="220"/>
        <item m="1" x="290"/>
        <item m="1" x="221"/>
        <item m="1" x="374"/>
        <item m="1" x="388"/>
        <item m="1" x="350"/>
        <item m="1" x="217"/>
        <item m="1" x="263"/>
        <item m="1" x="358"/>
        <item m="1" x="234"/>
        <item m="1" x="391"/>
        <item m="1" x="349"/>
        <item m="1" x="371"/>
        <item m="1" x="342"/>
        <item m="1" x="309"/>
        <item m="1" x="316"/>
        <item m="1" x="383"/>
        <item m="1" x="380"/>
        <item m="1" x="270"/>
        <item m="1" x="382"/>
        <item m="1" x="369"/>
        <item m="1" x="275"/>
        <item m="1" x="337"/>
        <item m="1" x="202"/>
        <item m="1" x="366"/>
        <item m="1" x="354"/>
        <item m="1" x="200"/>
        <item m="1" x="231"/>
        <item m="1" x="312"/>
        <item m="1" x="310"/>
        <item m="1" x="306"/>
        <item m="1" x="257"/>
        <item m="1" x="243"/>
        <item m="1" x="367"/>
        <item m="1" x="335"/>
        <item m="1" x="320"/>
        <item m="1" x="277"/>
        <item m="1" x="392"/>
        <item m="1" x="315"/>
        <item m="1" x="282"/>
        <item m="1" x="334"/>
        <item m="1" x="302"/>
        <item m="1" x="361"/>
        <item m="1" x="271"/>
        <item m="1" x="207"/>
        <item m="1" x="359"/>
        <item m="1" x="241"/>
        <item m="1" x="296"/>
        <item m="1" x="347"/>
        <item m="1" x="379"/>
        <item m="1" x="333"/>
        <item m="1" x="249"/>
        <item m="1" x="311"/>
        <item m="1" x="251"/>
        <item m="1" x="304"/>
        <item m="1" x="258"/>
        <item m="1" x="393"/>
        <item m="1" x="344"/>
        <item m="1" x="365"/>
        <item m="1" x="246"/>
        <item m="1" x="265"/>
        <item m="1" x="224"/>
        <item m="1" x="386"/>
        <item m="1" x="303"/>
        <item m="1" x="229"/>
        <item m="1" x="218"/>
        <item m="1" x="390"/>
        <item m="1" x="313"/>
        <item m="1" x="280"/>
        <item m="1" x="205"/>
        <item m="1" x="339"/>
        <item m="1" x="321"/>
        <item m="1" x="274"/>
        <item m="1" x="252"/>
        <item m="1" x="285"/>
        <item x="19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199">
    <i>
      <x v="205"/>
    </i>
    <i>
      <x v="230"/>
    </i>
    <i>
      <x v="207"/>
    </i>
    <i>
      <x v="264"/>
    </i>
    <i>
      <x v="213"/>
    </i>
    <i>
      <x v="222"/>
    </i>
    <i>
      <x v="198"/>
    </i>
    <i>
      <x v="234"/>
    </i>
    <i>
      <x v="208"/>
    </i>
    <i>
      <x v="301"/>
    </i>
    <i>
      <x v="200"/>
    </i>
    <i>
      <x v="228"/>
    </i>
    <i>
      <x v="215"/>
    </i>
    <i>
      <x v="206"/>
    </i>
    <i>
      <x v="340"/>
    </i>
    <i>
      <x v="223"/>
    </i>
    <i>
      <x v="203"/>
    </i>
    <i>
      <x v="220"/>
    </i>
    <i>
      <x v="294"/>
    </i>
    <i>
      <x v="356"/>
    </i>
    <i>
      <x v="221"/>
    </i>
    <i>
      <x v="216"/>
    </i>
    <i>
      <x v="212"/>
    </i>
    <i>
      <x v="227"/>
    </i>
    <i>
      <x v="344"/>
    </i>
    <i>
      <x v="229"/>
    </i>
    <i>
      <x v="232"/>
    </i>
    <i>
      <x v="279"/>
    </i>
    <i>
      <x v="342"/>
    </i>
    <i>
      <x v="338"/>
    </i>
    <i>
      <x v="209"/>
    </i>
    <i>
      <x v="361"/>
    </i>
    <i>
      <x v="204"/>
    </i>
    <i>
      <x v="295"/>
    </i>
    <i>
      <x v="277"/>
    </i>
    <i>
      <x v="217"/>
    </i>
    <i>
      <x v="224"/>
    </i>
    <i>
      <x v="226"/>
    </i>
    <i>
      <x v="305"/>
    </i>
    <i>
      <x v="337"/>
    </i>
    <i>
      <x v="339"/>
    </i>
    <i>
      <x v="270"/>
    </i>
    <i>
      <x v="210"/>
    </i>
    <i>
      <x v="211"/>
    </i>
    <i>
      <x v="368"/>
    </i>
    <i>
      <x v="300"/>
    </i>
    <i>
      <x v="240"/>
    </i>
    <i>
      <x v="343"/>
    </i>
    <i>
      <x v="378"/>
    </i>
    <i>
      <x v="304"/>
    </i>
    <i>
      <x v="282"/>
    </i>
    <i>
      <x v="275"/>
    </i>
    <i>
      <x v="306"/>
    </i>
    <i>
      <x v="291"/>
    </i>
    <i>
      <x v="218"/>
    </i>
    <i>
      <x v="333"/>
    </i>
    <i>
      <x v="245"/>
    </i>
    <i>
      <x v="235"/>
    </i>
    <i>
      <x v="202"/>
    </i>
    <i>
      <x v="247"/>
    </i>
    <i>
      <x v="371"/>
    </i>
    <i>
      <x v="287"/>
    </i>
    <i>
      <x v="382"/>
    </i>
    <i>
      <x v="262"/>
    </i>
    <i>
      <x v="214"/>
    </i>
    <i>
      <x v="261"/>
    </i>
    <i>
      <x v="292"/>
    </i>
    <i>
      <x v="391"/>
    </i>
    <i>
      <x v="363"/>
    </i>
    <i>
      <x v="289"/>
    </i>
    <i>
      <x v="357"/>
    </i>
    <i>
      <x v="246"/>
    </i>
    <i>
      <x v="199"/>
    </i>
    <i>
      <x v="369"/>
    </i>
    <i>
      <x v="244"/>
    </i>
    <i>
      <x v="225"/>
    </i>
    <i>
      <x v="336"/>
    </i>
    <i>
      <x v="359"/>
    </i>
    <i>
      <x v="290"/>
    </i>
    <i>
      <x v="242"/>
    </i>
    <i>
      <x v="379"/>
    </i>
    <i>
      <x v="256"/>
    </i>
    <i>
      <x v="354"/>
    </i>
    <i>
      <x v="273"/>
    </i>
    <i>
      <x v="248"/>
    </i>
    <i>
      <x v="258"/>
    </i>
    <i>
      <x v="271"/>
    </i>
    <i>
      <x v="259"/>
    </i>
    <i>
      <x v="385"/>
    </i>
    <i>
      <x v="345"/>
    </i>
    <i>
      <x v="265"/>
    </i>
    <i>
      <x v="353"/>
    </i>
    <i>
      <x v="284"/>
    </i>
    <i>
      <x v="219"/>
    </i>
    <i>
      <x v="389"/>
    </i>
    <i>
      <x v="254"/>
    </i>
    <i>
      <x v="272"/>
    </i>
    <i>
      <x v="241"/>
    </i>
    <i>
      <x v="288"/>
    </i>
    <i>
      <x v="346"/>
    </i>
    <i>
      <x v="253"/>
    </i>
    <i>
      <x v="323"/>
    </i>
    <i>
      <x v="269"/>
    </i>
    <i>
      <x v="327"/>
    </i>
    <i>
      <x v="296"/>
    </i>
    <i>
      <x v="334"/>
    </i>
    <i>
      <x v="355"/>
    </i>
    <i>
      <x v="274"/>
    </i>
    <i>
      <x v="341"/>
    </i>
    <i>
      <x v="268"/>
    </i>
    <i>
      <x v="360"/>
    </i>
    <i>
      <x v="238"/>
    </i>
    <i>
      <x v="285"/>
    </i>
    <i>
      <x v="318"/>
    </i>
    <i>
      <x v="329"/>
    </i>
    <i>
      <x v="319"/>
    </i>
    <i>
      <x v="367"/>
    </i>
    <i>
      <x v="358"/>
    </i>
    <i>
      <x v="257"/>
    </i>
    <i>
      <x v="312"/>
    </i>
    <i>
      <x v="372"/>
    </i>
    <i>
      <x v="365"/>
    </i>
    <i>
      <x v="316"/>
    </i>
    <i>
      <x v="251"/>
    </i>
    <i>
      <x v="370"/>
    </i>
    <i>
      <x v="328"/>
    </i>
    <i>
      <x v="231"/>
    </i>
    <i>
      <x v="201"/>
    </i>
    <i>
      <x v="364"/>
    </i>
    <i>
      <x v="237"/>
    </i>
    <i>
      <x v="309"/>
    </i>
    <i>
      <x v="293"/>
    </i>
    <i>
      <x v="310"/>
    </i>
    <i>
      <x v="348"/>
    </i>
    <i>
      <x v="375"/>
    </i>
    <i>
      <x v="352"/>
    </i>
    <i>
      <x v="384"/>
    </i>
    <i>
      <x v="298"/>
    </i>
    <i>
      <x v="302"/>
    </i>
    <i>
      <x v="362"/>
    </i>
    <i>
      <x v="376"/>
    </i>
    <i>
      <x v="322"/>
    </i>
    <i>
      <x v="260"/>
    </i>
    <i>
      <x v="276"/>
    </i>
    <i>
      <x v="374"/>
    </i>
    <i>
      <x v="394"/>
    </i>
    <i>
      <x v="249"/>
    </i>
    <i>
      <x v="278"/>
    </i>
    <i>
      <x v="388"/>
    </i>
    <i>
      <x v="263"/>
    </i>
    <i>
      <x v="303"/>
    </i>
    <i>
      <x v="233"/>
    </i>
    <i>
      <x v="317"/>
    </i>
    <i>
      <x v="366"/>
    </i>
    <i>
      <x v="377"/>
    </i>
    <i>
      <x v="307"/>
    </i>
    <i>
      <x v="383"/>
    </i>
    <i>
      <x v="308"/>
    </i>
    <i>
      <x v="386"/>
    </i>
    <i>
      <x v="243"/>
    </i>
    <i>
      <x v="390"/>
    </i>
    <i>
      <x v="286"/>
    </i>
    <i>
      <x v="393"/>
    </i>
    <i>
      <x v="239"/>
    </i>
    <i>
      <x v="236"/>
    </i>
    <i>
      <x v="299"/>
    </i>
    <i>
      <x v="332"/>
    </i>
    <i>
      <x v="387"/>
    </i>
    <i>
      <x v="280"/>
    </i>
    <i>
      <x v="255"/>
    </i>
    <i>
      <x v="267"/>
    </i>
    <i>
      <x v="326"/>
    </i>
    <i>
      <x v="381"/>
    </i>
    <i>
      <x v="320"/>
    </i>
    <i>
      <x v="314"/>
    </i>
    <i>
      <x v="321"/>
    </i>
    <i>
      <x v="315"/>
    </i>
    <i>
      <x v="283"/>
    </i>
    <i>
      <x v="250"/>
    </i>
    <i>
      <x v="347"/>
    </i>
    <i>
      <x v="380"/>
    </i>
    <i>
      <x v="330"/>
    </i>
    <i>
      <x v="313"/>
    </i>
    <i>
      <x v="349"/>
    </i>
    <i>
      <x v="252"/>
    </i>
    <i>
      <x v="373"/>
    </i>
    <i>
      <x v="335"/>
    </i>
    <i>
      <x v="350"/>
    </i>
    <i>
      <x v="281"/>
    </i>
    <i>
      <x v="351"/>
    </i>
    <i>
      <x v="266"/>
    </i>
    <i>
      <x v="331"/>
    </i>
    <i>
      <x v="392"/>
    </i>
    <i>
      <x v="297"/>
    </i>
    <i>
      <x v="324"/>
    </i>
    <i>
      <x v="325"/>
    </i>
    <i>
      <x v="311"/>
    </i>
    <i>
      <x v="197"/>
    </i>
    <i t="grand">
      <x/>
    </i>
  </rowItems>
  <colItems count="1">
    <i/>
  </colItems>
  <dataFields count="1">
    <dataField name="Suma de Goles" fld="1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TablaDinámica1" cacheId="115" applyNumberFormats="0" applyBorderFormats="0" applyFontFormats="0" applyPatternFormats="0" applyAlignmentFormats="0" applyWidthHeightFormats="1" dataCaption="Valores" missingCaption="" updatedVersion="6" minRefreshableVersion="3" useAutoFormatting="1" createdVersion="4" indent="0" multipleFieldFilters="0">
  <location ref="J1:M13" firstHeaderRow="0" firstDataRow="1" firstDataCol="1"/>
  <pivotFields count="8">
    <pivotField dataField="1" showAll="0" includeNewItemsInFilter="1" sortType="ascending"/>
    <pivotField showAll="0" includeNewItemsInFilter="1" sortType="ascending"/>
    <pivotField showAll="0" includeNewItemsInFilter="1" sortType="ascending"/>
    <pivotField axis="axisRow" showAll="0" includeNewItemsInFilter="1" sortType="ascending">
      <items count="14">
        <item m="1" x="12"/>
        <item x="0"/>
        <item x="1"/>
        <item x="2"/>
        <item x="3"/>
        <item x="4"/>
        <item x="5"/>
        <item x="6"/>
        <item x="7"/>
        <item x="9"/>
        <item x="8"/>
        <item x="10"/>
        <item h="1" x="11"/>
        <item t="default"/>
      </items>
    </pivotField>
    <pivotField showAll="0" includeNewItemsInFilter="1" sortType="ascending"/>
    <pivotField dataField="1" showAll="0" includeNewItemsInFilter="1" sortType="ascending"/>
    <pivotField dataField="1" showAll="0" includeNewItemsInFilter="1" sortType="ascending"/>
    <pivotField showAll="0" includeNewItemsInFilter="1" sortType="ascending"/>
  </pivotFields>
  <rowFields count="1">
    <field x="3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rtidos" fld="0" subtotal="count" baseField="0" baseItem="0"/>
    <dataField name="Suma de OcasionesFalladas" fld="5" baseField="0" baseItem="0"/>
    <dataField name="Suma de CAs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79998168889431442"/>
  </sheetPr>
  <dimension ref="A20:A26"/>
  <sheetViews>
    <sheetView workbookViewId="0">
      <selection activeCell="B21" sqref="B21"/>
    </sheetView>
  </sheetViews>
  <sheetFormatPr baseColWidth="10" defaultColWidth="10.7109375" defaultRowHeight="15" x14ac:dyDescent="0.25"/>
  <sheetData>
    <row r="20" spans="1:1" x14ac:dyDescent="0.25">
      <c r="A20" s="266">
        <v>44412</v>
      </c>
    </row>
    <row r="26" spans="1:1" x14ac:dyDescent="0.25">
      <c r="A26" s="283"/>
    </row>
  </sheetData>
  <pageMargins left="0.7" right="0.7" top="0.75" bottom="0.75" header="0.3" footer="0.3"/>
  <pageSetup paperSize="9" fitToWidth="0" pageOrder="overThenDown"/>
  <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DEE8"/>
  </sheetPr>
  <dimension ref="A1:S31"/>
  <sheetViews>
    <sheetView workbookViewId="0">
      <selection activeCell="L10" sqref="L10"/>
    </sheetView>
  </sheetViews>
  <sheetFormatPr baseColWidth="10" defaultColWidth="11.42578125" defaultRowHeight="15" x14ac:dyDescent="0.25"/>
  <cols>
    <col min="1" max="1" width="18.85546875" customWidth="1"/>
    <col min="2" max="2" width="5.42578125" customWidth="1"/>
    <col min="3" max="3" width="3" customWidth="1"/>
    <col min="4" max="4" width="4.85546875" customWidth="1"/>
    <col min="5" max="6" width="6" customWidth="1"/>
    <col min="7" max="8" width="4.85546875" customWidth="1"/>
    <col min="9" max="10" width="7.7109375" customWidth="1"/>
    <col min="12" max="12" width="48.140625" customWidth="1"/>
    <col min="14" max="14" width="7.7109375" customWidth="1"/>
    <col min="15" max="15" width="22" customWidth="1"/>
    <col min="16" max="17" width="6" customWidth="1"/>
    <col min="18" max="18" width="8.7109375" customWidth="1"/>
    <col min="19" max="19" width="4.85546875" customWidth="1"/>
  </cols>
  <sheetData>
    <row r="1" spans="1:19" x14ac:dyDescent="0.25">
      <c r="A1" s="23">
        <v>43062</v>
      </c>
      <c r="E1" s="78" t="s">
        <v>373</v>
      </c>
      <c r="F1" s="79" t="s">
        <v>374</v>
      </c>
      <c r="G1" s="80"/>
      <c r="H1" s="80"/>
      <c r="I1" s="81" t="s">
        <v>373</v>
      </c>
      <c r="J1" s="82" t="s">
        <v>374</v>
      </c>
      <c r="P1" s="78" t="s">
        <v>373</v>
      </c>
      <c r="Q1" s="79" t="s">
        <v>374</v>
      </c>
      <c r="R1" s="78"/>
      <c r="S1" s="79"/>
    </row>
    <row r="2" spans="1:19" x14ac:dyDescent="0.25">
      <c r="A2" s="83" t="s">
        <v>180</v>
      </c>
      <c r="B2" s="83" t="s">
        <v>375</v>
      </c>
      <c r="C2" s="83" t="s">
        <v>376</v>
      </c>
      <c r="D2" s="83" t="s">
        <v>132</v>
      </c>
      <c r="E2" s="78" t="s">
        <v>114</v>
      </c>
      <c r="F2" s="79" t="s">
        <v>114</v>
      </c>
      <c r="G2" s="80" t="s">
        <v>113</v>
      </c>
      <c r="H2" s="80" t="s">
        <v>113</v>
      </c>
      <c r="I2" s="81" t="s">
        <v>377</v>
      </c>
      <c r="J2" s="82" t="s">
        <v>377</v>
      </c>
      <c r="P2" s="78" t="s">
        <v>114</v>
      </c>
      <c r="Q2" s="79" t="s">
        <v>114</v>
      </c>
      <c r="R2" s="78" t="s">
        <v>113</v>
      </c>
      <c r="S2" s="79" t="s">
        <v>113</v>
      </c>
    </row>
    <row r="3" spans="1:19" x14ac:dyDescent="0.25">
      <c r="A3" s="41" t="str">
        <f>PLANTILLA!D4</f>
        <v>Cosme Fonteboa</v>
      </c>
      <c r="B3">
        <f>PLANTILLA!E4</f>
        <v>29</v>
      </c>
      <c r="C3">
        <f>PLANTILLA!H4</f>
        <v>4</v>
      </c>
      <c r="D3" s="24">
        <f>PLANTILLA!I4</f>
        <v>11.2</v>
      </c>
      <c r="E3" s="84">
        <f t="shared" ref="E3" si="0">D3</f>
        <v>11.2</v>
      </c>
      <c r="F3" s="84">
        <f t="shared" ref="F3" si="1">E3+0.1</f>
        <v>11.299999999999999</v>
      </c>
      <c r="G3" s="84">
        <f t="shared" ref="G3" si="2">C3</f>
        <v>4</v>
      </c>
      <c r="H3" s="84">
        <f t="shared" ref="H3" si="3">G3+0.99</f>
        <v>4.99</v>
      </c>
      <c r="I3" s="85">
        <f t="shared" ref="I3" si="4">G3*G3*E3</f>
        <v>179.2</v>
      </c>
      <c r="J3" s="85">
        <f t="shared" ref="J3" si="5">H3*H3*F3</f>
        <v>281.37112999999999</v>
      </c>
      <c r="K3" s="86"/>
      <c r="N3" s="41" t="s">
        <v>377</v>
      </c>
      <c r="O3" s="25" t="str">
        <f>A12</f>
        <v>Valeri Gomis</v>
      </c>
      <c r="P3" s="87">
        <f>E12</f>
        <v>9.1</v>
      </c>
      <c r="Q3" s="87">
        <f t="shared" ref="Q3:S3" si="6">F12</f>
        <v>9.1999999999999993</v>
      </c>
      <c r="R3" s="87">
        <f t="shared" si="6"/>
        <v>6</v>
      </c>
      <c r="S3" s="87">
        <f t="shared" si="6"/>
        <v>6.99</v>
      </c>
    </row>
    <row r="4" spans="1:19" x14ac:dyDescent="0.25">
      <c r="A4" s="41" t="str">
        <f>PLANTILLA!D5</f>
        <v>Nicolae Hornet</v>
      </c>
      <c r="B4">
        <f>PLANTILLA!E5</f>
        <v>29</v>
      </c>
      <c r="C4">
        <f>PLANTILLA!H5</f>
        <v>5</v>
      </c>
      <c r="D4" s="24">
        <f>PLANTILLA!I5</f>
        <v>2.2999999999999998</v>
      </c>
      <c r="E4" s="84">
        <f t="shared" ref="E4:E19" si="7">D4</f>
        <v>2.2999999999999998</v>
      </c>
      <c r="F4" s="84">
        <f t="shared" ref="F4:F19" si="8">E4+0.1</f>
        <v>2.4</v>
      </c>
      <c r="G4" s="84">
        <f t="shared" ref="G4:G19" si="9">C4</f>
        <v>5</v>
      </c>
      <c r="H4" s="84">
        <f t="shared" ref="H4:H19" si="10">G4+0.99</f>
        <v>5.99</v>
      </c>
      <c r="I4" s="85">
        <f t="shared" ref="I4:I19" si="11">G4*G4*E4</f>
        <v>57.499999999999993</v>
      </c>
      <c r="J4" s="85">
        <f t="shared" ref="J4:J19" si="12">H4*H4*F4</f>
        <v>86.112240000000014</v>
      </c>
      <c r="K4" s="86"/>
      <c r="O4" t="str">
        <f>A18</f>
        <v>Meraj Siddiqui</v>
      </c>
      <c r="P4" s="87">
        <f>E18</f>
        <v>15</v>
      </c>
      <c r="Q4" s="87">
        <f t="shared" ref="Q4:S4" si="13">F18</f>
        <v>15.1</v>
      </c>
      <c r="R4" s="87">
        <f t="shared" si="13"/>
        <v>2</v>
      </c>
      <c r="S4" s="87">
        <f t="shared" si="13"/>
        <v>2.99</v>
      </c>
    </row>
    <row r="5" spans="1:19" x14ac:dyDescent="0.25">
      <c r="A5" s="41" t="str">
        <f>PLANTILLA!D17</f>
        <v>Roxelio Reboredo</v>
      </c>
      <c r="B5">
        <f>PLANTILLA!E17</f>
        <v>34</v>
      </c>
      <c r="C5">
        <f>PLANTILLA!H17</f>
        <v>3</v>
      </c>
      <c r="D5" s="24">
        <f>PLANTILLA!I17</f>
        <v>10.3</v>
      </c>
      <c r="E5" s="84">
        <f t="shared" si="7"/>
        <v>10.3</v>
      </c>
      <c r="F5" s="84">
        <f t="shared" si="8"/>
        <v>10.4</v>
      </c>
      <c r="G5" s="84">
        <f t="shared" si="9"/>
        <v>3</v>
      </c>
      <c r="H5" s="84">
        <f t="shared" si="10"/>
        <v>3.99</v>
      </c>
      <c r="I5" s="85">
        <f t="shared" si="11"/>
        <v>92.7</v>
      </c>
      <c r="J5" s="85">
        <f t="shared" si="12"/>
        <v>165.56904000000003</v>
      </c>
      <c r="K5" s="86"/>
      <c r="O5" t="str">
        <f>A3</f>
        <v>Cosme Fonteboa</v>
      </c>
      <c r="P5" s="87">
        <f>E3</f>
        <v>11.2</v>
      </c>
      <c r="Q5" s="87">
        <f t="shared" ref="Q5:S5" si="14">F3</f>
        <v>11.299999999999999</v>
      </c>
      <c r="R5" s="87">
        <f t="shared" si="14"/>
        <v>4</v>
      </c>
      <c r="S5" s="87">
        <f t="shared" si="14"/>
        <v>4.99</v>
      </c>
    </row>
    <row r="6" spans="1:19" x14ac:dyDescent="0.25">
      <c r="A6" s="41" t="str">
        <f>PLANTILLA!D6</f>
        <v>Iván Real Figueroa</v>
      </c>
      <c r="B6">
        <f>PLANTILLA!E6</f>
        <v>29</v>
      </c>
      <c r="C6">
        <f>PLANTILLA!H6</f>
        <v>4</v>
      </c>
      <c r="D6" s="24">
        <f>PLANTILLA!I6</f>
        <v>7.9</v>
      </c>
      <c r="E6" s="84">
        <f t="shared" si="7"/>
        <v>7.9</v>
      </c>
      <c r="F6" s="84">
        <f t="shared" si="8"/>
        <v>8</v>
      </c>
      <c r="G6" s="84">
        <f t="shared" si="9"/>
        <v>4</v>
      </c>
      <c r="H6" s="84">
        <f t="shared" si="10"/>
        <v>4.99</v>
      </c>
      <c r="I6" s="85">
        <f t="shared" si="11"/>
        <v>126.4</v>
      </c>
      <c r="J6" s="85">
        <f t="shared" si="12"/>
        <v>199.20080000000002</v>
      </c>
      <c r="K6" s="86"/>
      <c r="O6" t="str">
        <f>A16</f>
        <v>Lenadro Faias</v>
      </c>
      <c r="P6" s="87">
        <f>E16</f>
        <v>7.5</v>
      </c>
      <c r="Q6" s="87">
        <f t="shared" ref="Q6:S6" si="15">F16</f>
        <v>7.6</v>
      </c>
      <c r="R6" s="87">
        <f t="shared" si="15"/>
        <v>1</v>
      </c>
      <c r="S6" s="87">
        <f t="shared" si="15"/>
        <v>1.99</v>
      </c>
    </row>
    <row r="7" spans="1:19" x14ac:dyDescent="0.25">
      <c r="A7" s="41" t="str">
        <f>PLANTILLA!D7</f>
        <v>Berto Abandero</v>
      </c>
      <c r="B7">
        <f>PLANTILLA!E7</f>
        <v>29</v>
      </c>
      <c r="C7">
        <f>PLANTILLA!H7</f>
        <v>1</v>
      </c>
      <c r="D7" s="24">
        <f>PLANTILLA!I7</f>
        <v>8.1</v>
      </c>
      <c r="E7" s="84">
        <f t="shared" si="7"/>
        <v>8.1</v>
      </c>
      <c r="F7" s="84">
        <f t="shared" si="8"/>
        <v>8.1999999999999993</v>
      </c>
      <c r="G7" s="84">
        <f t="shared" si="9"/>
        <v>1</v>
      </c>
      <c r="H7" s="84">
        <f t="shared" si="10"/>
        <v>1.99</v>
      </c>
      <c r="I7" s="85">
        <f t="shared" si="11"/>
        <v>8.1</v>
      </c>
      <c r="J7" s="85">
        <f t="shared" si="12"/>
        <v>32.472819999999999</v>
      </c>
      <c r="K7" s="86"/>
      <c r="O7" t="str">
        <f>A13</f>
        <v>Enrique Cubas</v>
      </c>
      <c r="P7" s="87">
        <f>E13</f>
        <v>10.4</v>
      </c>
      <c r="Q7" s="87">
        <f t="shared" ref="Q7:S7" si="16">F13</f>
        <v>10.5</v>
      </c>
      <c r="R7" s="87">
        <f t="shared" si="16"/>
        <v>1</v>
      </c>
      <c r="S7" s="87">
        <f t="shared" si="16"/>
        <v>1.99</v>
      </c>
    </row>
    <row r="8" spans="1:19" x14ac:dyDescent="0.25">
      <c r="A8" s="41" t="str">
        <f>PLANTILLA!D8</f>
        <v>Guillermo Pedrajas</v>
      </c>
      <c r="B8">
        <f>PLANTILLA!E8</f>
        <v>29</v>
      </c>
      <c r="C8">
        <f>PLANTILLA!H8</f>
        <v>4</v>
      </c>
      <c r="D8" s="24">
        <f>PLANTILLA!I8</f>
        <v>9</v>
      </c>
      <c r="E8" s="84">
        <f t="shared" si="7"/>
        <v>9</v>
      </c>
      <c r="F8" s="84">
        <f t="shared" si="8"/>
        <v>9.1</v>
      </c>
      <c r="G8" s="84">
        <f t="shared" si="9"/>
        <v>4</v>
      </c>
      <c r="H8" s="84">
        <f t="shared" si="10"/>
        <v>4.99</v>
      </c>
      <c r="I8" s="85">
        <f t="shared" si="11"/>
        <v>144</v>
      </c>
      <c r="J8" s="85">
        <f t="shared" si="12"/>
        <v>226.59091000000001</v>
      </c>
      <c r="K8" s="86"/>
      <c r="O8" t="str">
        <f>A10</f>
        <v>Francesc Añigas</v>
      </c>
      <c r="P8" s="87">
        <f>E10</f>
        <v>10</v>
      </c>
      <c r="Q8" s="87">
        <f t="shared" ref="Q8:S8" si="17">F10</f>
        <v>10.1</v>
      </c>
      <c r="R8" s="87">
        <f t="shared" si="17"/>
        <v>5</v>
      </c>
      <c r="S8" s="87">
        <f t="shared" si="17"/>
        <v>5.99</v>
      </c>
    </row>
    <row r="9" spans="1:19" x14ac:dyDescent="0.25">
      <c r="A9" s="41" t="str">
        <f>PLANTILLA!D9</f>
        <v>Venanci Oset</v>
      </c>
      <c r="B9">
        <f>PLANTILLA!E9</f>
        <v>29</v>
      </c>
      <c r="C9">
        <f>PLANTILLA!H9</f>
        <v>2</v>
      </c>
      <c r="D9" s="24">
        <f>PLANTILLA!I9</f>
        <v>8.1</v>
      </c>
      <c r="E9" s="84">
        <f t="shared" si="7"/>
        <v>8.1</v>
      </c>
      <c r="F9" s="84">
        <f t="shared" si="8"/>
        <v>8.1999999999999993</v>
      </c>
      <c r="G9" s="84">
        <f t="shared" si="9"/>
        <v>2</v>
      </c>
      <c r="H9" s="84">
        <f t="shared" si="10"/>
        <v>2.99</v>
      </c>
      <c r="I9" s="85">
        <f t="shared" si="11"/>
        <v>32.4</v>
      </c>
      <c r="J9" s="85">
        <f t="shared" si="12"/>
        <v>73.308819999999997</v>
      </c>
      <c r="K9" s="86"/>
      <c r="O9" t="str">
        <f>A11</f>
        <v>Will Duffill</v>
      </c>
      <c r="P9" s="87">
        <f>E11</f>
        <v>10.1</v>
      </c>
      <c r="Q9" s="87">
        <f t="shared" ref="Q9:S9" si="18">F11</f>
        <v>10.199999999999999</v>
      </c>
      <c r="R9" s="87">
        <f t="shared" si="18"/>
        <v>3</v>
      </c>
      <c r="S9" s="87">
        <f t="shared" si="18"/>
        <v>3.99</v>
      </c>
    </row>
    <row r="10" spans="1:19" x14ac:dyDescent="0.25">
      <c r="A10" s="41" t="str">
        <f>PLANTILLA!D10</f>
        <v>Francesc Añigas</v>
      </c>
      <c r="B10">
        <f>PLANTILLA!E10</f>
        <v>29</v>
      </c>
      <c r="C10">
        <f>PLANTILLA!H10</f>
        <v>5</v>
      </c>
      <c r="D10" s="24">
        <f>PLANTILLA!I10</f>
        <v>10</v>
      </c>
      <c r="E10" s="84">
        <f t="shared" si="7"/>
        <v>10</v>
      </c>
      <c r="F10" s="84">
        <f t="shared" si="8"/>
        <v>10.1</v>
      </c>
      <c r="G10" s="84">
        <f t="shared" si="9"/>
        <v>5</v>
      </c>
      <c r="H10" s="84">
        <f t="shared" si="10"/>
        <v>5.99</v>
      </c>
      <c r="I10" s="85">
        <f t="shared" si="11"/>
        <v>250</v>
      </c>
      <c r="J10" s="85">
        <f t="shared" si="12"/>
        <v>362.38901000000004</v>
      </c>
      <c r="K10" s="86"/>
      <c r="O10" t="str">
        <f>A17</f>
        <v>Nicolás Galaz</v>
      </c>
      <c r="P10" s="87">
        <f>E17</f>
        <v>7.2</v>
      </c>
      <c r="Q10" s="87">
        <f t="shared" ref="Q10:S10" si="19">F17</f>
        <v>7.3</v>
      </c>
      <c r="R10" s="87">
        <f t="shared" si="19"/>
        <v>1</v>
      </c>
      <c r="S10" s="87">
        <f t="shared" si="19"/>
        <v>1.99</v>
      </c>
    </row>
    <row r="11" spans="1:19" x14ac:dyDescent="0.25">
      <c r="A11" s="41" t="str">
        <f>PLANTILLA!D11</f>
        <v>Will Duffill</v>
      </c>
      <c r="B11">
        <f>PLANTILLA!E11</f>
        <v>28</v>
      </c>
      <c r="C11">
        <f>PLANTILLA!H11</f>
        <v>3</v>
      </c>
      <c r="D11" s="24">
        <f>PLANTILLA!I11</f>
        <v>10.1</v>
      </c>
      <c r="E11" s="84">
        <f t="shared" si="7"/>
        <v>10.1</v>
      </c>
      <c r="F11" s="84">
        <f t="shared" si="8"/>
        <v>10.199999999999999</v>
      </c>
      <c r="G11" s="84">
        <f t="shared" si="9"/>
        <v>3</v>
      </c>
      <c r="H11" s="84">
        <f t="shared" si="10"/>
        <v>3.99</v>
      </c>
      <c r="I11" s="85">
        <f t="shared" si="11"/>
        <v>90.899999999999991</v>
      </c>
      <c r="J11" s="85">
        <f t="shared" si="12"/>
        <v>162.38502</v>
      </c>
      <c r="K11" s="86"/>
      <c r="O11" t="str">
        <f>A8</f>
        <v>Guillermo Pedrajas</v>
      </c>
      <c r="P11" s="87">
        <f>E8</f>
        <v>9</v>
      </c>
      <c r="Q11" s="87">
        <f t="shared" ref="Q11:S11" si="20">F8</f>
        <v>9.1</v>
      </c>
      <c r="R11" s="87">
        <f t="shared" si="20"/>
        <v>4</v>
      </c>
      <c r="S11" s="87">
        <f t="shared" si="20"/>
        <v>4.99</v>
      </c>
    </row>
    <row r="12" spans="1:19" x14ac:dyDescent="0.25">
      <c r="A12" s="41" t="str">
        <f>PLANTILLA!D12</f>
        <v>Valeri Gomis</v>
      </c>
      <c r="B12">
        <f>PLANTILLA!E12</f>
        <v>29</v>
      </c>
      <c r="C12">
        <f>PLANTILLA!H12</f>
        <v>6</v>
      </c>
      <c r="D12" s="24">
        <f>PLANTILLA!I12</f>
        <v>9.1</v>
      </c>
      <c r="E12" s="84">
        <f t="shared" si="7"/>
        <v>9.1</v>
      </c>
      <c r="F12" s="84">
        <f t="shared" si="8"/>
        <v>9.1999999999999993</v>
      </c>
      <c r="G12" s="84">
        <f t="shared" si="9"/>
        <v>6</v>
      </c>
      <c r="H12" s="84">
        <f t="shared" si="10"/>
        <v>6.99</v>
      </c>
      <c r="I12" s="85">
        <f t="shared" si="11"/>
        <v>327.59999999999997</v>
      </c>
      <c r="J12" s="85">
        <f t="shared" si="12"/>
        <v>449.51292000000001</v>
      </c>
      <c r="K12" s="86"/>
      <c r="O12" t="str">
        <f>A7</f>
        <v>Berto Abandero</v>
      </c>
      <c r="P12" s="87">
        <f>E7</f>
        <v>8.1</v>
      </c>
      <c r="Q12" s="87">
        <f t="shared" ref="Q12:S12" si="21">F7</f>
        <v>8.1999999999999993</v>
      </c>
      <c r="R12" s="87">
        <f t="shared" si="21"/>
        <v>1</v>
      </c>
      <c r="S12" s="87">
        <f t="shared" si="21"/>
        <v>1.99</v>
      </c>
    </row>
    <row r="13" spans="1:19" x14ac:dyDescent="0.25">
      <c r="A13" s="41" t="str">
        <f>PLANTILLA!D13</f>
        <v>Enrique Cubas</v>
      </c>
      <c r="B13">
        <f>PLANTILLA!E13</f>
        <v>29</v>
      </c>
      <c r="C13">
        <f>PLANTILLA!H13</f>
        <v>1</v>
      </c>
      <c r="D13" s="24">
        <f>PLANTILLA!I13</f>
        <v>10.4</v>
      </c>
      <c r="E13" s="84">
        <f t="shared" si="7"/>
        <v>10.4</v>
      </c>
      <c r="F13" s="84">
        <f t="shared" si="8"/>
        <v>10.5</v>
      </c>
      <c r="G13" s="84">
        <f t="shared" si="9"/>
        <v>1</v>
      </c>
      <c r="H13" s="84">
        <f t="shared" si="10"/>
        <v>1.99</v>
      </c>
      <c r="I13" s="85">
        <f t="shared" si="11"/>
        <v>10.4</v>
      </c>
      <c r="J13" s="85">
        <f t="shared" si="12"/>
        <v>41.581050000000005</v>
      </c>
      <c r="K13" s="86"/>
      <c r="O13" t="str">
        <f>A9</f>
        <v>Venanci Oset</v>
      </c>
      <c r="P13" s="87">
        <f>E9</f>
        <v>8.1</v>
      </c>
      <c r="Q13" s="87">
        <f t="shared" ref="Q13:S13" si="22">F9</f>
        <v>8.1999999999999993</v>
      </c>
      <c r="R13" s="87">
        <f t="shared" si="22"/>
        <v>2</v>
      </c>
      <c r="S13" s="87">
        <f t="shared" si="22"/>
        <v>2.99</v>
      </c>
    </row>
    <row r="14" spans="1:19" x14ac:dyDescent="0.25">
      <c r="A14" s="41" t="str">
        <f>PLANTILLA!D14</f>
        <v>J. G. Peñuela</v>
      </c>
      <c r="B14">
        <f>PLANTILLA!E14</f>
        <v>29</v>
      </c>
      <c r="C14">
        <f>PLANTILLA!H14</f>
        <v>6</v>
      </c>
      <c r="D14" s="24">
        <f>PLANTILLA!I14</f>
        <v>8.9</v>
      </c>
      <c r="E14" s="84">
        <f t="shared" si="7"/>
        <v>8.9</v>
      </c>
      <c r="F14" s="84">
        <f t="shared" si="8"/>
        <v>9</v>
      </c>
      <c r="G14" s="84">
        <f t="shared" si="9"/>
        <v>6</v>
      </c>
      <c r="H14" s="84">
        <f t="shared" si="10"/>
        <v>6.99</v>
      </c>
      <c r="I14" s="85">
        <f t="shared" si="11"/>
        <v>320.40000000000003</v>
      </c>
      <c r="J14" s="85">
        <f t="shared" si="12"/>
        <v>439.74090000000001</v>
      </c>
      <c r="K14" s="86"/>
      <c r="P14" s="27">
        <f>SUM(P4:P13)/10</f>
        <v>9.66</v>
      </c>
      <c r="Q14" s="27">
        <f>SUM(Q4:Q13)/10</f>
        <v>9.76</v>
      </c>
      <c r="R14" s="27"/>
      <c r="S14" s="27"/>
    </row>
    <row r="15" spans="1:19" x14ac:dyDescent="0.25">
      <c r="A15" s="41" t="str">
        <f>PLANTILLA!D15</f>
        <v>Julian Gräbitz</v>
      </c>
      <c r="B15">
        <f>PLANTILLA!E15</f>
        <v>29</v>
      </c>
      <c r="C15">
        <f>PLANTILLA!H15</f>
        <v>2</v>
      </c>
      <c r="D15" s="24">
        <f>PLANTILLA!I15</f>
        <v>6.7</v>
      </c>
      <c r="E15" s="84">
        <f t="shared" si="7"/>
        <v>6.7</v>
      </c>
      <c r="F15" s="84">
        <f t="shared" si="8"/>
        <v>6.8</v>
      </c>
      <c r="G15" s="84">
        <f t="shared" si="9"/>
        <v>2</v>
      </c>
      <c r="H15" s="84">
        <f t="shared" si="10"/>
        <v>2.99</v>
      </c>
      <c r="I15" s="85">
        <f t="shared" si="11"/>
        <v>26.8</v>
      </c>
      <c r="J15" s="85">
        <f t="shared" si="12"/>
        <v>60.792680000000004</v>
      </c>
      <c r="K15" s="86"/>
    </row>
    <row r="16" spans="1:19" x14ac:dyDescent="0.25">
      <c r="A16" s="41" t="str">
        <f>PLANTILLA!D16</f>
        <v>Lenadro Faias</v>
      </c>
      <c r="B16">
        <f>PLANTILLA!E16</f>
        <v>32</v>
      </c>
      <c r="C16">
        <f>PLANTILLA!H16</f>
        <v>1</v>
      </c>
      <c r="D16" s="24">
        <f>PLANTILLA!I16</f>
        <v>7.5</v>
      </c>
      <c r="E16" s="84">
        <f t="shared" si="7"/>
        <v>7.5</v>
      </c>
      <c r="F16" s="84">
        <f t="shared" si="8"/>
        <v>7.6</v>
      </c>
      <c r="G16" s="84">
        <f t="shared" si="9"/>
        <v>1</v>
      </c>
      <c r="H16" s="84">
        <f t="shared" si="10"/>
        <v>1.99</v>
      </c>
      <c r="I16" s="85">
        <f t="shared" si="11"/>
        <v>7.5</v>
      </c>
      <c r="J16" s="85">
        <f t="shared" si="12"/>
        <v>30.09676</v>
      </c>
      <c r="K16" s="86"/>
      <c r="L16" s="46" t="s">
        <v>378</v>
      </c>
      <c r="O16" t="s">
        <v>379</v>
      </c>
      <c r="P16" s="24">
        <f>SUM(P3:P13)</f>
        <v>105.69999999999999</v>
      </c>
      <c r="Q16" s="24">
        <f>SUM(Q3:Q13)</f>
        <v>106.8</v>
      </c>
      <c r="R16" s="24"/>
    </row>
    <row r="17" spans="1:18" x14ac:dyDescent="0.25">
      <c r="A17" s="41" t="str">
        <f>PLANTILLA!D19</f>
        <v>Nicolás Galaz</v>
      </c>
      <c r="B17">
        <f>PLANTILLA!E19</f>
        <v>29</v>
      </c>
      <c r="C17">
        <f>PLANTILLA!H19</f>
        <v>1</v>
      </c>
      <c r="D17" s="24">
        <f>PLANTILLA!I19</f>
        <v>7.2</v>
      </c>
      <c r="E17" s="84">
        <f t="shared" si="7"/>
        <v>7.2</v>
      </c>
      <c r="F17" s="84">
        <f t="shared" si="8"/>
        <v>7.3</v>
      </c>
      <c r="G17" s="84">
        <f t="shared" si="9"/>
        <v>1</v>
      </c>
      <c r="H17" s="84">
        <f t="shared" si="10"/>
        <v>1.99</v>
      </c>
      <c r="I17" s="85">
        <f t="shared" si="11"/>
        <v>7.2</v>
      </c>
      <c r="J17" s="85">
        <f t="shared" si="12"/>
        <v>28.908730000000002</v>
      </c>
      <c r="K17" s="86"/>
      <c r="O17" t="s">
        <v>380</v>
      </c>
      <c r="P17" s="27">
        <f>P16/17</f>
        <v>6.2176470588235286</v>
      </c>
      <c r="Q17" s="27">
        <f>Q16/17</f>
        <v>6.2823529411764705</v>
      </c>
      <c r="R17" s="27"/>
    </row>
    <row r="18" spans="1:18" x14ac:dyDescent="0.25">
      <c r="A18" s="41" t="str">
        <f>PLANTILLA!D20</f>
        <v>Meraj Siddiqui</v>
      </c>
      <c r="B18">
        <f>PLANTILLA!E20</f>
        <v>31</v>
      </c>
      <c r="C18">
        <f>PLANTILLA!H20</f>
        <v>2</v>
      </c>
      <c r="D18" s="24">
        <f>PLANTILLA!I20</f>
        <v>15</v>
      </c>
      <c r="E18" s="84">
        <f t="shared" si="7"/>
        <v>15</v>
      </c>
      <c r="F18" s="84">
        <f t="shared" si="8"/>
        <v>15.1</v>
      </c>
      <c r="G18" s="84">
        <f t="shared" si="9"/>
        <v>2</v>
      </c>
      <c r="H18" s="84">
        <f t="shared" si="10"/>
        <v>2.99</v>
      </c>
      <c r="I18" s="85">
        <f t="shared" si="11"/>
        <v>60</v>
      </c>
      <c r="J18" s="85">
        <f t="shared" si="12"/>
        <v>134.99551000000002</v>
      </c>
      <c r="K18" s="86"/>
      <c r="L18" s="46" t="s">
        <v>381</v>
      </c>
      <c r="O18" t="s">
        <v>382</v>
      </c>
      <c r="P18" s="24">
        <f>R3^2</f>
        <v>36</v>
      </c>
      <c r="Q18" s="24">
        <f>S3^2</f>
        <v>48.860100000000003</v>
      </c>
      <c r="R18" s="24"/>
    </row>
    <row r="19" spans="1:18" x14ac:dyDescent="0.25">
      <c r="A19" s="41" t="str">
        <f>PLANTILLA!D21</f>
        <v>Rodolfo Rinaldo Paso</v>
      </c>
      <c r="B19">
        <f>PLANTILLA!E21</f>
        <v>29</v>
      </c>
      <c r="C19">
        <f>PLANTILLA!H21</f>
        <v>1</v>
      </c>
      <c r="D19" s="24">
        <f>PLANTILLA!I21</f>
        <v>7.7</v>
      </c>
      <c r="E19" s="84">
        <f t="shared" si="7"/>
        <v>7.7</v>
      </c>
      <c r="F19" s="84">
        <f t="shared" si="8"/>
        <v>7.8</v>
      </c>
      <c r="G19" s="84">
        <f t="shared" si="9"/>
        <v>1</v>
      </c>
      <c r="H19" s="84">
        <f t="shared" si="10"/>
        <v>1.99</v>
      </c>
      <c r="I19" s="85">
        <f t="shared" si="11"/>
        <v>7.7</v>
      </c>
      <c r="J19" s="85">
        <f t="shared" si="12"/>
        <v>30.888780000000001</v>
      </c>
      <c r="K19" s="86"/>
      <c r="L19" s="46" t="s">
        <v>383</v>
      </c>
      <c r="O19" t="s">
        <v>384</v>
      </c>
      <c r="P19" s="24">
        <f>P18*P3</f>
        <v>327.59999999999997</v>
      </c>
      <c r="Q19" s="24">
        <f>Q18*Q3</f>
        <v>449.51292000000001</v>
      </c>
      <c r="R19" s="24"/>
    </row>
    <row r="20" spans="1:18" x14ac:dyDescent="0.25">
      <c r="A20" s="41"/>
      <c r="D20" s="24"/>
      <c r="E20" s="84"/>
      <c r="F20" s="84"/>
      <c r="G20" s="84"/>
      <c r="H20" s="84"/>
      <c r="I20" s="85"/>
      <c r="J20" s="85"/>
      <c r="K20" s="86"/>
      <c r="L20" s="46" t="s">
        <v>385</v>
      </c>
      <c r="O20" t="s">
        <v>386</v>
      </c>
      <c r="P20" s="27">
        <f>(P19^(2/3))/30</f>
        <v>1.5840711119997821</v>
      </c>
      <c r="Q20" s="27">
        <f>(Q19^(2/3))/30</f>
        <v>1.9560210814046797</v>
      </c>
      <c r="R20" s="27"/>
    </row>
    <row r="21" spans="1:18" x14ac:dyDescent="0.25">
      <c r="A21" s="41"/>
      <c r="D21" s="24"/>
      <c r="E21" s="84"/>
      <c r="F21" s="84"/>
      <c r="G21" s="84"/>
      <c r="H21" s="84"/>
      <c r="I21" s="85"/>
      <c r="J21" s="85"/>
      <c r="K21" s="86"/>
      <c r="L21" s="46" t="s">
        <v>387</v>
      </c>
      <c r="O21" s="54" t="s">
        <v>388</v>
      </c>
      <c r="P21" s="71">
        <f>P17+P20</f>
        <v>7.8017181708233103</v>
      </c>
      <c r="Q21" s="71">
        <f>Q17+Q20</f>
        <v>8.2383740225811497</v>
      </c>
    </row>
    <row r="22" spans="1:18" x14ac:dyDescent="0.25">
      <c r="A22" s="41"/>
      <c r="D22" s="24"/>
      <c r="E22" s="84"/>
      <c r="F22" s="84"/>
      <c r="G22" s="84"/>
      <c r="H22" s="84"/>
      <c r="I22" s="85"/>
      <c r="J22" s="85"/>
      <c r="K22" s="86"/>
      <c r="L22" t="s">
        <v>389</v>
      </c>
    </row>
    <row r="23" spans="1:18" x14ac:dyDescent="0.25">
      <c r="A23" s="41"/>
      <c r="D23" s="24"/>
      <c r="E23" s="84"/>
      <c r="F23" s="84"/>
      <c r="G23" s="84"/>
      <c r="H23" s="84"/>
      <c r="I23" s="85"/>
      <c r="J23" s="85"/>
      <c r="K23" s="86"/>
      <c r="O23" s="23"/>
    </row>
    <row r="24" spans="1:18" x14ac:dyDescent="0.25">
      <c r="A24" s="41"/>
      <c r="D24" s="24"/>
      <c r="E24" s="84"/>
      <c r="F24" s="84"/>
      <c r="G24" s="84"/>
      <c r="H24" s="84"/>
      <c r="I24" s="85"/>
      <c r="J24" s="85"/>
    </row>
    <row r="25" spans="1:18" x14ac:dyDescent="0.25">
      <c r="A25" s="41"/>
      <c r="D25" s="24"/>
      <c r="E25" s="84"/>
      <c r="F25" s="84"/>
      <c r="G25" s="84"/>
      <c r="H25" s="84"/>
      <c r="I25" s="85"/>
      <c r="J25" s="85"/>
    </row>
    <row r="26" spans="1:18" x14ac:dyDescent="0.25">
      <c r="A26" s="41"/>
      <c r="D26" s="24"/>
      <c r="E26" s="84"/>
      <c r="F26" s="84"/>
      <c r="G26" s="84"/>
      <c r="H26" s="84"/>
      <c r="I26" s="85"/>
      <c r="J26" s="85"/>
    </row>
    <row r="27" spans="1:18" x14ac:dyDescent="0.25">
      <c r="A27" s="41"/>
      <c r="D27" s="24"/>
      <c r="E27" s="84"/>
      <c r="F27" s="84"/>
      <c r="G27" s="84"/>
      <c r="H27" s="84"/>
      <c r="I27" s="85"/>
      <c r="J27" s="85"/>
    </row>
    <row r="28" spans="1:18" x14ac:dyDescent="0.25">
      <c r="A28" s="41"/>
      <c r="D28" s="24"/>
      <c r="E28" s="84"/>
      <c r="F28" s="84"/>
      <c r="G28" s="84"/>
      <c r="H28" s="84"/>
      <c r="I28" s="85"/>
      <c r="J28" s="85"/>
    </row>
    <row r="29" spans="1:18" x14ac:dyDescent="0.25">
      <c r="A29" s="41"/>
      <c r="D29" s="24"/>
      <c r="E29" s="84"/>
      <c r="F29" s="84"/>
      <c r="G29" s="84"/>
      <c r="H29" s="84"/>
      <c r="I29" s="85"/>
      <c r="J29" s="85"/>
    </row>
    <row r="30" spans="1:18" x14ac:dyDescent="0.25">
      <c r="A30" s="41"/>
      <c r="D30" s="24"/>
      <c r="E30" s="84"/>
      <c r="F30" s="84"/>
      <c r="G30" s="84"/>
      <c r="H30" s="84"/>
      <c r="I30" s="85"/>
      <c r="J30" s="85"/>
    </row>
    <row r="31" spans="1:18" x14ac:dyDescent="0.25">
      <c r="A31" s="41"/>
      <c r="D31" s="24"/>
      <c r="E31" s="84"/>
      <c r="F31" s="84"/>
      <c r="G31" s="84"/>
      <c r="H31" s="84"/>
      <c r="I31" s="85"/>
      <c r="J31" s="85"/>
    </row>
  </sheetData>
  <conditionalFormatting sqref="D3:D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J31">
    <cfRule type="cellIs" dxfId="15" priority="2" operator="between">
      <formula>70</formula>
      <formula>100</formula>
    </cfRule>
  </conditionalFormatting>
  <conditionalFormatting sqref="I3:J31">
    <cfRule type="cellIs" dxfId="14" priority="3" operator="greaterThan">
      <formula>100</formula>
    </cfRule>
  </conditionalFormatting>
  <pageMargins left="0.7" right="0.7" top="0.75" bottom="0.75" header="0.3" footer="0.3"/>
  <pageSetup paperSize="9" fitToWidth="0" pageOrder="overThenDown"/>
  <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7DEE8"/>
  </sheetPr>
  <dimension ref="A1:T28"/>
  <sheetViews>
    <sheetView workbookViewId="0">
      <selection activeCell="L23" sqref="L23"/>
    </sheetView>
  </sheetViews>
  <sheetFormatPr baseColWidth="10" defaultColWidth="10.7109375" defaultRowHeight="15" x14ac:dyDescent="0.25"/>
  <cols>
    <col min="1" max="1" width="19" customWidth="1"/>
    <col min="2" max="3" width="4.5703125" customWidth="1"/>
    <col min="4" max="4" width="5.85546875" customWidth="1"/>
    <col min="5" max="5" width="4.5703125" customWidth="1"/>
    <col min="6" max="6" width="4.85546875" customWidth="1"/>
    <col min="8" max="8" width="18" customWidth="1"/>
    <col min="9" max="10" width="4.5703125" customWidth="1"/>
    <col min="11" max="11" width="7.7109375" customWidth="1"/>
    <col min="12" max="13" width="6.28515625" customWidth="1"/>
    <col min="15" max="15" width="18" customWidth="1"/>
    <col min="16" max="17" width="5.5703125" customWidth="1"/>
    <col min="18" max="18" width="7.7109375" customWidth="1"/>
    <col min="19" max="20" width="6.28515625" customWidth="1"/>
  </cols>
  <sheetData>
    <row r="1" spans="1:20" x14ac:dyDescent="0.25">
      <c r="A1" s="99" t="s">
        <v>180</v>
      </c>
      <c r="B1" s="99" t="s">
        <v>186</v>
      </c>
      <c r="C1" s="99" t="s">
        <v>189</v>
      </c>
      <c r="D1" s="100" t="s">
        <v>390</v>
      </c>
      <c r="E1" s="100" t="s">
        <v>373</v>
      </c>
      <c r="F1" s="100" t="s">
        <v>374</v>
      </c>
      <c r="H1" s="99" t="s">
        <v>391</v>
      </c>
      <c r="I1" s="99" t="s">
        <v>186</v>
      </c>
      <c r="J1" s="99" t="s">
        <v>189</v>
      </c>
      <c r="K1" s="99" t="str">
        <f>D1</f>
        <v>N_CA</v>
      </c>
      <c r="L1" s="100" t="s">
        <v>373</v>
      </c>
      <c r="M1" s="100" t="s">
        <v>374</v>
      </c>
      <c r="O1" s="99" t="s">
        <v>391</v>
      </c>
      <c r="P1" s="99" t="s">
        <v>186</v>
      </c>
      <c r="Q1" s="99" t="s">
        <v>189</v>
      </c>
      <c r="R1" s="99" t="str">
        <f>K1</f>
        <v>N_CA</v>
      </c>
      <c r="S1" s="100" t="s">
        <v>373</v>
      </c>
      <c r="T1" s="100" t="s">
        <v>374</v>
      </c>
    </row>
    <row r="2" spans="1:20" x14ac:dyDescent="0.25">
      <c r="A2" t="str">
        <f>PLANTILLA!D4</f>
        <v>Cosme Fonteboa</v>
      </c>
      <c r="B2" s="24">
        <f ca="1">PLANTILLA!Y4+PLANTILLA!N4+PLANTILLA!J4</f>
        <v>15.613243077845956</v>
      </c>
      <c r="C2" s="24">
        <f ca="1">PLANTILLA!AB4+PLANTILLA!N4+PLANTILLA!J4</f>
        <v>3.3989573635602417</v>
      </c>
      <c r="D2" s="71">
        <f t="shared" ref="D2" ca="1" si="0">(C2*2+B2)/8</f>
        <v>2.8013947256208049</v>
      </c>
      <c r="E2" s="24">
        <f ca="1">D2*PLANTILLA!R4</f>
        <v>2.593587544376553</v>
      </c>
      <c r="F2" s="24">
        <f ca="1">D2*PLANTILLA!S4</f>
        <v>2.7993930142357923</v>
      </c>
      <c r="H2" s="27" t="str">
        <f t="shared" ref="H2:J3" si="1">A6</f>
        <v>Berto Abandero</v>
      </c>
      <c r="I2" s="24">
        <f t="shared" ca="1" si="1"/>
        <v>17.086313358504867</v>
      </c>
      <c r="J2" s="24">
        <f t="shared" ca="1" si="1"/>
        <v>14.211313358504867</v>
      </c>
      <c r="K2" s="71">
        <f ca="1">(J2*2+I2)/8</f>
        <v>5.6886175094393252</v>
      </c>
      <c r="L2" s="27">
        <f ca="1">E6</f>
        <v>4.807759291625783</v>
      </c>
      <c r="M2" s="27">
        <f ca="1">F6</f>
        <v>5.2622457362464967</v>
      </c>
      <c r="O2" t="str">
        <f>A2</f>
        <v>Cosme Fonteboa</v>
      </c>
      <c r="P2" s="24">
        <f t="shared" ref="P2:Q5" ca="1" si="2">I2</f>
        <v>17.086313358504867</v>
      </c>
      <c r="Q2" s="24">
        <f t="shared" ca="1" si="2"/>
        <v>14.211313358504867</v>
      </c>
      <c r="R2" s="71">
        <f ca="1">(Q2*2+P2)/8</f>
        <v>5.6886175094393252</v>
      </c>
      <c r="S2" s="27">
        <f ca="1">E2</f>
        <v>2.593587544376553</v>
      </c>
      <c r="T2" s="27">
        <f ca="1">F2</f>
        <v>2.7993930142357923</v>
      </c>
    </row>
    <row r="3" spans="1:20" x14ac:dyDescent="0.25">
      <c r="A3" t="str">
        <f>PLANTILLA!D5</f>
        <v>Nicolae Hornet</v>
      </c>
      <c r="B3" s="24">
        <f ca="1">PLANTILLA!Y5+PLANTILLA!N5+PLANTILLA!J5</f>
        <v>7.4823037813567908</v>
      </c>
      <c r="C3" s="24">
        <f ca="1">PLANTILLA!AB5+PLANTILLA!N5+PLANTILLA!J5</f>
        <v>2.4823037813567903</v>
      </c>
      <c r="D3" s="71">
        <f t="shared" ref="D3:D18" ca="1" si="3">(C3*2+B3)/8</f>
        <v>1.5558639180087965</v>
      </c>
      <c r="E3" s="24">
        <f ca="1">D3*PLANTILLA!R5</f>
        <v>1.1761225716885324</v>
      </c>
      <c r="F3" s="24">
        <f ca="1">D3*PLANTILLA!S5</f>
        <v>1.31362940694283</v>
      </c>
      <c r="H3" s="27" t="str">
        <f t="shared" si="1"/>
        <v>Guillermo Pedrajas</v>
      </c>
      <c r="I3" s="24">
        <f t="shared" ca="1" si="1"/>
        <v>15.4598233459191</v>
      </c>
      <c r="J3" s="24">
        <f t="shared" ca="1" si="1"/>
        <v>13.415180488776242</v>
      </c>
      <c r="K3" s="71">
        <f ca="1">(J3*2+I3)/8</f>
        <v>5.2862730404339482</v>
      </c>
      <c r="L3" s="27">
        <f ca="1">E7</f>
        <v>4.8941378337195065</v>
      </c>
      <c r="M3" s="27">
        <f ca="1">F7</f>
        <v>5.2824957816162081</v>
      </c>
      <c r="O3" t="str">
        <f>A7</f>
        <v>Guillermo Pedrajas</v>
      </c>
      <c r="P3" s="24">
        <f t="shared" ca="1" si="2"/>
        <v>15.4598233459191</v>
      </c>
      <c r="Q3" s="24">
        <f t="shared" ca="1" si="2"/>
        <v>13.415180488776242</v>
      </c>
      <c r="R3" s="71">
        <f ca="1">(Q3*2+P3)/8</f>
        <v>5.2862730404339482</v>
      </c>
      <c r="S3" s="27">
        <f ca="1">E7</f>
        <v>4.8941378337195065</v>
      </c>
      <c r="T3" s="27">
        <f ca="1">F7</f>
        <v>5.2824957816162081</v>
      </c>
    </row>
    <row r="4" spans="1:20" x14ac:dyDescent="0.25">
      <c r="A4" t="str">
        <f>PLANTILLA!D17</f>
        <v>Roxelio Reboredo</v>
      </c>
      <c r="B4" s="24">
        <f ca="1">PLANTILLA!Y17+PLANTILLA!N17+PLANTILLA!J17</f>
        <v>7.9421625817216812</v>
      </c>
      <c r="C4" s="24">
        <f ca="1">PLANTILLA!AB17+PLANTILLA!N17+PLANTILLA!J17</f>
        <v>13.992162581721681</v>
      </c>
      <c r="D4" s="71">
        <f t="shared" ca="1" si="3"/>
        <v>4.4908109681456301</v>
      </c>
      <c r="E4" s="24">
        <f ca="1">D4*PLANTILLA!R17</f>
        <v>3.7954279969097682</v>
      </c>
      <c r="F4" s="24">
        <f ca="1">D4*PLANTILLA!S17</f>
        <v>4.1542168778618596</v>
      </c>
      <c r="H4" t="str">
        <f>A10</f>
        <v>Will Duffill</v>
      </c>
      <c r="I4" s="24">
        <f ca="1">B10</f>
        <v>16.339095165043524</v>
      </c>
      <c r="J4" s="24">
        <f ca="1">C10</f>
        <v>12.339095165043524</v>
      </c>
      <c r="K4" s="71">
        <f ca="1">(J4*2+I4)/8</f>
        <v>5.1271606868913215</v>
      </c>
      <c r="L4" s="27">
        <f ca="1">E10</f>
        <v>4.7468284186876266</v>
      </c>
      <c r="M4" s="27">
        <f ca="1">F10</f>
        <v>5.123497120373588</v>
      </c>
      <c r="O4" t="str">
        <f>A4</f>
        <v>Roxelio Reboredo</v>
      </c>
      <c r="P4" s="24">
        <f t="shared" ca="1" si="2"/>
        <v>16.339095165043524</v>
      </c>
      <c r="Q4" s="24">
        <f t="shared" ca="1" si="2"/>
        <v>12.339095165043524</v>
      </c>
      <c r="R4" s="71">
        <f ca="1">(Q4*2+P4)/8</f>
        <v>5.1271606868913215</v>
      </c>
      <c r="S4" s="27">
        <f ca="1">E4</f>
        <v>3.7954279969097682</v>
      </c>
      <c r="T4" s="27">
        <f ca="1">F4</f>
        <v>4.1542168778618596</v>
      </c>
    </row>
    <row r="5" spans="1:20" x14ac:dyDescent="0.25">
      <c r="A5" t="str">
        <f>PLANTILLA!D6</f>
        <v>Iván Real Figueroa</v>
      </c>
      <c r="B5" s="24">
        <f ca="1">PLANTILLA!Y6+PLANTILLA!N6+PLANTILLA!J6</f>
        <v>18.240314382590157</v>
      </c>
      <c r="C5" s="24">
        <f ca="1">PLANTILLA!AB6+PLANTILLA!N6+PLANTILLA!J6</f>
        <v>11.196836121720589</v>
      </c>
      <c r="D5" s="71">
        <f t="shared" ca="1" si="3"/>
        <v>5.0792483282539163</v>
      </c>
      <c r="E5" s="24">
        <f ca="1">D5*PLANTILLA!R6</f>
        <v>4.702470194033606</v>
      </c>
      <c r="F5" s="24">
        <f ca="1">D5*PLANTILLA!S6</f>
        <v>5.0756189970807739</v>
      </c>
      <c r="H5" s="27" t="str">
        <f>A8</f>
        <v>Venanci Oset</v>
      </c>
      <c r="I5" s="24">
        <f ca="1">B8</f>
        <v>17.148813358504867</v>
      </c>
      <c r="J5" s="24">
        <f ca="1">C8</f>
        <v>14.433535580727089</v>
      </c>
      <c r="K5" s="71">
        <f ca="1">(J5*2+I5)/8</f>
        <v>5.7519855649948806</v>
      </c>
      <c r="L5" s="27">
        <f ca="1">E8</f>
        <v>5.3253038496738361</v>
      </c>
      <c r="M5" s="27">
        <f ca="1">F8</f>
        <v>5.7478755354847317</v>
      </c>
      <c r="O5" s="27" t="str">
        <f>H5</f>
        <v>Venanci Oset</v>
      </c>
      <c r="P5" s="24">
        <f t="shared" ca="1" si="2"/>
        <v>17.148813358504867</v>
      </c>
      <c r="Q5" s="24">
        <f t="shared" ca="1" si="2"/>
        <v>14.433535580727089</v>
      </c>
      <c r="R5" s="71">
        <f ca="1">(Q5*2+P5)/8</f>
        <v>5.7519855649948806</v>
      </c>
      <c r="S5" s="27">
        <f ca="1">L5</f>
        <v>5.3253038496738361</v>
      </c>
      <c r="T5" s="27">
        <f ca="1">M5</f>
        <v>5.7478755354847317</v>
      </c>
    </row>
    <row r="6" spans="1:20" x14ac:dyDescent="0.25">
      <c r="A6" t="str">
        <f>PLANTILLA!D7</f>
        <v>Berto Abandero</v>
      </c>
      <c r="B6" s="24">
        <f ca="1">PLANTILLA!Y7+PLANTILLA!N7+PLANTILLA!J7</f>
        <v>17.086313358504867</v>
      </c>
      <c r="C6" s="24">
        <f ca="1">PLANTILLA!AB7+PLANTILLA!N7+PLANTILLA!J7</f>
        <v>14.211313358504867</v>
      </c>
      <c r="D6" s="71">
        <f t="shared" ca="1" si="3"/>
        <v>5.6886175094393252</v>
      </c>
      <c r="E6" s="24">
        <f ca="1">D6*PLANTILLA!R7</f>
        <v>4.807759291625783</v>
      </c>
      <c r="F6" s="24">
        <f ca="1">D6*PLANTILLA!S7</f>
        <v>5.2622457362464967</v>
      </c>
      <c r="H6" t="str">
        <f>A4</f>
        <v>Roxelio Reboredo</v>
      </c>
      <c r="I6" s="24">
        <f ca="1">B4</f>
        <v>7.9421625817216812</v>
      </c>
      <c r="J6" s="24">
        <f ca="1">C4</f>
        <v>13.992162581721681</v>
      </c>
      <c r="K6" s="71">
        <f ca="1">(J6*2+I6)/8</f>
        <v>4.4908109681456301</v>
      </c>
      <c r="L6" s="27">
        <f ca="1">E4</f>
        <v>3.7954279969097682</v>
      </c>
      <c r="M6" s="27">
        <f ca="1">F4</f>
        <v>4.1542168778618596</v>
      </c>
      <c r="R6" s="27"/>
      <c r="S6" s="24"/>
      <c r="T6" s="24"/>
    </row>
    <row r="7" spans="1:20" ht="18.75" x14ac:dyDescent="0.3">
      <c r="A7" t="str">
        <f>PLANTILLA!D8</f>
        <v>Guillermo Pedrajas</v>
      </c>
      <c r="B7" s="24">
        <f ca="1">PLANTILLA!Y8+PLANTILLA!N8+PLANTILLA!J8</f>
        <v>15.4598233459191</v>
      </c>
      <c r="C7" s="24">
        <f ca="1">PLANTILLA!AB8+PLANTILLA!N8+PLANTILLA!J8</f>
        <v>13.415180488776242</v>
      </c>
      <c r="D7" s="71">
        <f t="shared" ca="1" si="3"/>
        <v>5.2862730404339482</v>
      </c>
      <c r="E7" s="24">
        <f ca="1">D7*PLANTILLA!R8</f>
        <v>4.8941378337195065</v>
      </c>
      <c r="F7" s="24">
        <f ca="1">D7*PLANTILLA!S8</f>
        <v>5.2824957816162081</v>
      </c>
      <c r="K7" s="101">
        <f ca="1">SUM(K2:K6)</f>
        <v>26.344847769905108</v>
      </c>
      <c r="L7" s="101">
        <f ca="1">SUM(L2:L6)</f>
        <v>23.569457390616524</v>
      </c>
      <c r="M7" s="101">
        <f ca="1">SUM(M2:M6)</f>
        <v>25.570331051582883</v>
      </c>
      <c r="N7" s="101"/>
      <c r="O7" s="101"/>
      <c r="P7" s="101"/>
      <c r="Q7" s="101"/>
      <c r="R7" s="101">
        <f ca="1">SUM(R2:R6)</f>
        <v>21.854036801759477</v>
      </c>
      <c r="S7" s="101">
        <f ca="1">SUM(S2:S6)</f>
        <v>16.608457224679665</v>
      </c>
      <c r="T7" s="101">
        <f ca="1">SUM(T2:T6)</f>
        <v>17.983981209198593</v>
      </c>
    </row>
    <row r="8" spans="1:20" x14ac:dyDescent="0.25">
      <c r="A8" t="str">
        <f>PLANTILLA!D9</f>
        <v>Venanci Oset</v>
      </c>
      <c r="B8" s="24">
        <f ca="1">PLANTILLA!Y9+PLANTILLA!N9+PLANTILLA!J9</f>
        <v>17.148813358504867</v>
      </c>
      <c r="C8" s="24">
        <f ca="1">PLANTILLA!AB9+PLANTILLA!N9+PLANTILLA!J9</f>
        <v>14.433535580727089</v>
      </c>
      <c r="D8" s="71">
        <f t="shared" ca="1" si="3"/>
        <v>5.7519855649948806</v>
      </c>
      <c r="E8" s="24">
        <f ca="1">D8*PLANTILLA!R9</f>
        <v>5.3253038496738361</v>
      </c>
      <c r="F8" s="24">
        <f ca="1">D8*PLANTILLA!S9</f>
        <v>5.7478755354847317</v>
      </c>
      <c r="L8" s="2">
        <f ca="1">(K7-L7)/K7</f>
        <v>0.10534850698431578</v>
      </c>
      <c r="M8" s="2">
        <f ca="1">(K7-M7)/K7</f>
        <v>2.9399172281685756E-2</v>
      </c>
      <c r="R8" s="27"/>
    </row>
    <row r="9" spans="1:20" x14ac:dyDescent="0.25">
      <c r="A9" t="str">
        <f>PLANTILLA!D10</f>
        <v>Francesc Añigas</v>
      </c>
      <c r="B9" s="24">
        <f ca="1">PLANTILLA!Y10+PLANTILLA!N10+PLANTILLA!J10</f>
        <v>16.708333333333332</v>
      </c>
      <c r="C9" s="24">
        <f ca="1">PLANTILLA!AB10+PLANTILLA!N10+PLANTILLA!J10</f>
        <v>10.533333333333333</v>
      </c>
      <c r="D9" s="71">
        <f t="shared" ca="1" si="3"/>
        <v>4.7218749999999998</v>
      </c>
      <c r="E9" s="24">
        <f ca="1">D9*PLANTILLA!R10</f>
        <v>4.3716067836135162</v>
      </c>
      <c r="F9" s="24">
        <f ca="1">D9*PLANTILLA!S10</f>
        <v>4.7185010267217393</v>
      </c>
    </row>
    <row r="10" spans="1:20" x14ac:dyDescent="0.25">
      <c r="A10" t="str">
        <f>PLANTILLA!D11</f>
        <v>Will Duffill</v>
      </c>
      <c r="B10" s="24">
        <f ca="1">PLANTILLA!Y11+PLANTILLA!N11+PLANTILLA!J11</f>
        <v>16.339095165043524</v>
      </c>
      <c r="C10" s="24">
        <f ca="1">PLANTILLA!AB11+PLANTILLA!N11+PLANTILLA!J11</f>
        <v>12.339095165043524</v>
      </c>
      <c r="D10" s="71">
        <f t="shared" ca="1" si="3"/>
        <v>5.1271606868913215</v>
      </c>
      <c r="E10" s="24">
        <f ca="1">D10*PLANTILLA!R11</f>
        <v>4.7468284186876266</v>
      </c>
      <c r="F10" s="24">
        <f ca="1">D10*PLANTILLA!S11</f>
        <v>5.123497120373588</v>
      </c>
      <c r="H10" s="27"/>
      <c r="I10" s="27"/>
      <c r="J10" s="27"/>
    </row>
    <row r="11" spans="1:20" x14ac:dyDescent="0.25">
      <c r="A11" t="str">
        <f>PLANTILLA!D12</f>
        <v>Valeri Gomis</v>
      </c>
      <c r="B11" s="24">
        <f ca="1">PLANTILLA!Y12+PLANTILLA!N12+PLANTILLA!J12</f>
        <v>15.612055189761458</v>
      </c>
      <c r="C11" s="24">
        <f ca="1">PLANTILLA!AB12+PLANTILLA!N12+PLANTILLA!J12</f>
        <v>11.44538852309479</v>
      </c>
      <c r="D11" s="71">
        <f t="shared" ca="1" si="3"/>
        <v>4.81285402949388</v>
      </c>
      <c r="E11" s="24">
        <f ca="1">D11*PLANTILLA!R12</f>
        <v>4.4558369977767498</v>
      </c>
      <c r="F11" s="24">
        <f ca="1">D11*PLANTILLA!S12</f>
        <v>4.809415047969023</v>
      </c>
    </row>
    <row r="12" spans="1:20" x14ac:dyDescent="0.25">
      <c r="A12" t="str">
        <f>PLANTILLA!D13</f>
        <v>Enrique Cubas</v>
      </c>
      <c r="B12" s="24">
        <f>PLANTILLA!Y13+PLANTILLA!N13+PLANTILLA!J13</f>
        <v>15.52271111906504</v>
      </c>
      <c r="C12" s="24">
        <f>PLANTILLA!AB13+PLANTILLA!N13+PLANTILLA!J13</f>
        <v>12.356044452398374</v>
      </c>
      <c r="D12" s="71">
        <f t="shared" si="3"/>
        <v>5.0293500029827234</v>
      </c>
      <c r="E12" s="24">
        <f>D12*PLANTILLA!R13</f>
        <v>4.6562733215525469</v>
      </c>
      <c r="F12" s="24">
        <f>D12*PLANTILLA!S13</f>
        <v>5.0257563262087546</v>
      </c>
      <c r="H12" s="102" t="s">
        <v>391</v>
      </c>
      <c r="I12" s="102" t="s">
        <v>186</v>
      </c>
      <c r="J12" s="102" t="s">
        <v>189</v>
      </c>
      <c r="K12" s="103" t="s">
        <v>390</v>
      </c>
      <c r="L12" s="103" t="s">
        <v>373</v>
      </c>
      <c r="M12" s="103" t="s">
        <v>374</v>
      </c>
      <c r="O12" s="102" t="s">
        <v>391</v>
      </c>
      <c r="P12" s="102" t="s">
        <v>186</v>
      </c>
      <c r="Q12" s="102" t="s">
        <v>189</v>
      </c>
      <c r="R12" s="102" t="str">
        <f>K12</f>
        <v>N_CA</v>
      </c>
      <c r="S12" s="103" t="s">
        <v>373</v>
      </c>
      <c r="T12" s="103" t="s">
        <v>374</v>
      </c>
    </row>
    <row r="13" spans="1:20" x14ac:dyDescent="0.25">
      <c r="A13" t="str">
        <f>PLANTILLA!D14</f>
        <v>J. G. Peñuela</v>
      </c>
      <c r="B13" s="24">
        <f ca="1">PLANTILLA!Y14+PLANTILLA!N14+PLANTILLA!J14</f>
        <v>15.265853342193218</v>
      </c>
      <c r="C13" s="24">
        <f ca="1">PLANTILLA!AB14+PLANTILLA!N14+PLANTILLA!J14</f>
        <v>11.265853342193218</v>
      </c>
      <c r="D13" s="71">
        <f t="shared" ca="1" si="3"/>
        <v>4.7246950033224566</v>
      </c>
      <c r="E13" s="24">
        <f ca="1">D13*PLANTILLA!R14</f>
        <v>3.9930960843525369</v>
      </c>
      <c r="F13" s="24">
        <f ca="1">D13*PLANTILLA!S14</f>
        <v>4.3705708979455</v>
      </c>
      <c r="H13" s="27" t="str">
        <f t="shared" ref="H13:J17" si="4">H2</f>
        <v>Berto Abandero</v>
      </c>
      <c r="I13" s="24">
        <f t="shared" ca="1" si="4"/>
        <v>17.086313358504867</v>
      </c>
      <c r="J13" s="24">
        <f t="shared" ca="1" si="4"/>
        <v>14.211313358504867</v>
      </c>
      <c r="K13" s="71">
        <f ca="1">(J13*2+I13)/8</f>
        <v>5.6886175094393252</v>
      </c>
      <c r="L13" s="27">
        <f ca="1">K13*(1-$L$8)</f>
        <v>5.0893301480150557</v>
      </c>
      <c r="M13" s="27">
        <f ca="1">K13*(1-$M$8)</f>
        <v>5.5213768632347042</v>
      </c>
      <c r="O13" s="27" t="str">
        <f t="shared" ref="O13:Q16" si="5">H13</f>
        <v>Berto Abandero</v>
      </c>
      <c r="P13" s="27">
        <f t="shared" ca="1" si="5"/>
        <v>17.086313358504867</v>
      </c>
      <c r="Q13" s="27">
        <f t="shared" ca="1" si="5"/>
        <v>14.211313358504867</v>
      </c>
      <c r="R13" s="71">
        <f ca="1">(Q13*2+P13)/8</f>
        <v>5.6886175094393252</v>
      </c>
      <c r="S13" s="27">
        <f t="shared" ref="S13:T16" ca="1" si="6">L13</f>
        <v>5.0893301480150557</v>
      </c>
      <c r="T13" s="27">
        <f t="shared" ca="1" si="6"/>
        <v>5.5213768632347042</v>
      </c>
    </row>
    <row r="14" spans="1:20" x14ac:dyDescent="0.25">
      <c r="A14" t="str">
        <f>PLANTILLA!D15</f>
        <v>Julian Gräbitz</v>
      </c>
      <c r="B14" s="24">
        <f ca="1">PLANTILLA!Y15+PLANTILLA!N15+PLANTILLA!J15</f>
        <v>15.815718784553482</v>
      </c>
      <c r="C14" s="24">
        <f ca="1">PLANTILLA!AB15+PLANTILLA!N15+PLANTILLA!J15</f>
        <v>11.101433070267769</v>
      </c>
      <c r="D14" s="71">
        <f t="shared" ca="1" si="3"/>
        <v>4.752323115636127</v>
      </c>
      <c r="E14" s="24">
        <f ca="1">D14*PLANTILLA!R15</f>
        <v>4.3997962610696417</v>
      </c>
      <c r="F14" s="24">
        <f ca="1">D14*PLANTILLA!S15</f>
        <v>4.7489273859309105</v>
      </c>
      <c r="H14" s="27" t="str">
        <f t="shared" si="4"/>
        <v>Guillermo Pedrajas</v>
      </c>
      <c r="I14" s="24">
        <f t="shared" ca="1" si="4"/>
        <v>15.4598233459191</v>
      </c>
      <c r="J14" s="24">
        <f t="shared" ca="1" si="4"/>
        <v>13.415180488776242</v>
      </c>
      <c r="K14" s="71">
        <f ca="1">(J14*2+I14)/8</f>
        <v>5.2862730404339482</v>
      </c>
      <c r="L14" s="27">
        <f ca="1">K14*(1-$L$8)</f>
        <v>4.7293720681127924</v>
      </c>
      <c r="M14" s="27">
        <f ca="1">K14*(1-$M$8)</f>
        <v>5.1308609885902001</v>
      </c>
      <c r="O14" s="27" t="str">
        <f t="shared" si="5"/>
        <v>Guillermo Pedrajas</v>
      </c>
      <c r="P14" s="27">
        <f t="shared" ca="1" si="5"/>
        <v>15.4598233459191</v>
      </c>
      <c r="Q14" s="27">
        <f t="shared" ca="1" si="5"/>
        <v>13.415180488776242</v>
      </c>
      <c r="R14" s="71">
        <f ca="1">(Q14*2+P14)/8</f>
        <v>5.2862730404339482</v>
      </c>
      <c r="S14" s="27">
        <f t="shared" ca="1" si="6"/>
        <v>4.7293720681127924</v>
      </c>
      <c r="T14" s="27">
        <f t="shared" ca="1" si="6"/>
        <v>5.1308609885902001</v>
      </c>
    </row>
    <row r="15" spans="1:20" x14ac:dyDescent="0.25">
      <c r="A15" t="str">
        <f>PLANTILLA!D16</f>
        <v>Lenadro Faias</v>
      </c>
      <c r="B15" s="24">
        <f ca="1">PLANTILLA!Y16+PLANTILLA!N16+PLANTILLA!J16</f>
        <v>12.145670632214117</v>
      </c>
      <c r="C15" s="24">
        <f ca="1">PLANTILLA!AB16+PLANTILLA!N16+PLANTILLA!J16</f>
        <v>12.145670632214117</v>
      </c>
      <c r="D15" s="71">
        <f t="shared" ca="1" si="3"/>
        <v>4.5546264870802933</v>
      </c>
      <c r="E15" s="24">
        <f ca="1">D15*PLANTILLA!R16</f>
        <v>4.2167647486953825</v>
      </c>
      <c r="F15" s="24">
        <f ca="1">D15*PLANTILLA!S16</f>
        <v>4.5513720197214855</v>
      </c>
      <c r="H15" s="27" t="str">
        <f t="shared" si="4"/>
        <v>Will Duffill</v>
      </c>
      <c r="I15" s="24">
        <f t="shared" ca="1" si="4"/>
        <v>16.339095165043524</v>
      </c>
      <c r="J15" s="24">
        <f t="shared" ca="1" si="4"/>
        <v>12.339095165043524</v>
      </c>
      <c r="K15" s="71">
        <f ca="1">(J15*2+I15)/8</f>
        <v>5.1271606868913215</v>
      </c>
      <c r="L15" s="27">
        <f ca="1">K15*(1-$L$8)</f>
        <v>4.5870219634586418</v>
      </c>
      <c r="M15" s="27">
        <f ca="1">K15*(1-$M$8)</f>
        <v>4.9764264065415169</v>
      </c>
      <c r="O15" s="27" t="str">
        <f t="shared" si="5"/>
        <v>Will Duffill</v>
      </c>
      <c r="P15" s="27">
        <f t="shared" ca="1" si="5"/>
        <v>16.339095165043524</v>
      </c>
      <c r="Q15" s="27">
        <f t="shared" ca="1" si="5"/>
        <v>12.339095165043524</v>
      </c>
      <c r="R15" s="71">
        <f ca="1">(Q15*2+P15)/8</f>
        <v>5.1271606868913215</v>
      </c>
      <c r="S15" s="27">
        <f t="shared" ca="1" si="6"/>
        <v>4.5870219634586418</v>
      </c>
      <c r="T15" s="27">
        <f t="shared" ca="1" si="6"/>
        <v>4.9764264065415169</v>
      </c>
    </row>
    <row r="16" spans="1:20" x14ac:dyDescent="0.25">
      <c r="A16" t="str">
        <f>PLANTILLA!D19</f>
        <v>Nicolás Galaz</v>
      </c>
      <c r="B16" s="24">
        <f ca="1">PLANTILLA!Y19+PLANTILLA!N19+PLANTILLA!J19</f>
        <v>5.7576054006562032</v>
      </c>
      <c r="C16" s="24">
        <f ca="1">PLANTILLA!AB19+PLANTILLA!N19+PLANTILLA!J19</f>
        <v>15.757605400656201</v>
      </c>
      <c r="D16" s="71">
        <f t="shared" ca="1" si="3"/>
        <v>4.6591020252460762</v>
      </c>
      <c r="E16" s="24">
        <f ca="1">D16*PLANTILLA!R19</f>
        <v>3.9376598998509698</v>
      </c>
      <c r="F16" s="24">
        <f ca="1">D16*PLANTILLA!S19</f>
        <v>4.3098942276231593</v>
      </c>
      <c r="H16" s="27" t="str">
        <f t="shared" si="4"/>
        <v>Venanci Oset</v>
      </c>
      <c r="I16" s="24">
        <f t="shared" ca="1" si="4"/>
        <v>17.148813358504867</v>
      </c>
      <c r="J16" s="24">
        <f t="shared" ca="1" si="4"/>
        <v>14.433535580727089</v>
      </c>
      <c r="K16" s="71">
        <f ca="1">(J16*2+I16)/8</f>
        <v>5.7519855649948806</v>
      </c>
      <c r="L16" s="27">
        <f ca="1">K16*(1-$L$8)</f>
        <v>5.1460224735273341</v>
      </c>
      <c r="M16" s="27">
        <f ca="1">K16*(1-$M$8)</f>
        <v>5.5828819504078266</v>
      </c>
      <c r="O16" s="27" t="str">
        <f t="shared" si="5"/>
        <v>Venanci Oset</v>
      </c>
      <c r="P16" s="27">
        <f t="shared" ca="1" si="5"/>
        <v>17.148813358504867</v>
      </c>
      <c r="Q16" s="27">
        <f t="shared" ca="1" si="5"/>
        <v>14.433535580727089</v>
      </c>
      <c r="R16" s="71">
        <f ca="1">(Q16*2+P16)/8</f>
        <v>5.7519855649948806</v>
      </c>
      <c r="S16" s="27">
        <f t="shared" ca="1" si="6"/>
        <v>5.1460224735273341</v>
      </c>
      <c r="T16" s="27">
        <f t="shared" ca="1" si="6"/>
        <v>5.5828819504078266</v>
      </c>
    </row>
    <row r="17" spans="1:20" x14ac:dyDescent="0.25">
      <c r="A17" t="str">
        <f>PLANTILLA!D20</f>
        <v>Meraj Siddiqui</v>
      </c>
      <c r="B17" s="24">
        <f ca="1">PLANTILLA!Y20+PLANTILLA!N20+PLANTILLA!J20</f>
        <v>4.5681216787409085</v>
      </c>
      <c r="C17" s="24">
        <f ca="1">PLANTILLA!AB20+PLANTILLA!N20+PLANTILLA!J20</f>
        <v>13.568121678740908</v>
      </c>
      <c r="D17" s="71">
        <f t="shared" ca="1" si="3"/>
        <v>3.9630456295278407</v>
      </c>
      <c r="E17" s="24">
        <f ca="1">D17*PLANTILLA!R20</f>
        <v>3.349384875478707</v>
      </c>
      <c r="F17" s="24">
        <f ca="1">D17*PLANTILLA!S20</f>
        <v>3.6660084690047356</v>
      </c>
      <c r="H17" s="27" t="str">
        <f t="shared" si="4"/>
        <v>Roxelio Reboredo</v>
      </c>
      <c r="I17" s="24">
        <f t="shared" ca="1" si="4"/>
        <v>7.9421625817216812</v>
      </c>
      <c r="J17" s="24">
        <f t="shared" ca="1" si="4"/>
        <v>13.992162581721681</v>
      </c>
      <c r="K17" s="71">
        <f ca="1">(J17*2+I17)/8</f>
        <v>4.4908109681456301</v>
      </c>
      <c r="L17" s="27">
        <f ca="1">K17*(1-$L$8)</f>
        <v>4.0177107375026981</v>
      </c>
      <c r="M17" s="27">
        <f ca="1">K17*(1-$M$8)</f>
        <v>4.3587848428086327</v>
      </c>
      <c r="R17" s="27"/>
      <c r="S17" s="24"/>
      <c r="T17" s="24"/>
    </row>
    <row r="18" spans="1:20" ht="18.75" x14ac:dyDescent="0.3">
      <c r="A18" t="str">
        <f>PLANTILLA!D21</f>
        <v>Rodolfo Rinaldo Paso</v>
      </c>
      <c r="B18" s="24">
        <f ca="1">PLANTILLA!Y21+PLANTILLA!N21+PLANTILLA!J21</f>
        <v>6.1819876335633088</v>
      </c>
      <c r="C18" s="24">
        <f ca="1">PLANTILLA!AB21+PLANTILLA!N21+PLANTILLA!J21</f>
        <v>14.626432078007754</v>
      </c>
      <c r="D18" s="71">
        <f t="shared" ca="1" si="3"/>
        <v>4.4293564736973519</v>
      </c>
      <c r="E18" s="24">
        <f ca="1">D18*PLANTILLA!R21</f>
        <v>4.4293564736973519</v>
      </c>
      <c r="F18" s="24">
        <f ca="1">D18*PLANTILLA!S21</f>
        <v>4.4293564736973519</v>
      </c>
      <c r="K18" s="101">
        <f ca="1">SUM(K13:K17)</f>
        <v>26.344847769905108</v>
      </c>
      <c r="L18" s="101">
        <f ca="1">SUM(L13:L17)</f>
        <v>23.56945739061652</v>
      </c>
      <c r="M18" s="101">
        <f ca="1">SUM(M13:M17)</f>
        <v>25.57033105158288</v>
      </c>
      <c r="N18" s="101"/>
      <c r="O18" s="101"/>
      <c r="P18" s="101"/>
      <c r="Q18" s="101"/>
      <c r="R18" s="101">
        <f ca="1">SUM(R13:R17)</f>
        <v>21.854036801759477</v>
      </c>
      <c r="S18" s="101">
        <f ca="1">SUM(S13:S17)</f>
        <v>19.551746653113824</v>
      </c>
      <c r="T18" s="101">
        <f ca="1">SUM(T13:T17)</f>
        <v>21.211546208774248</v>
      </c>
    </row>
    <row r="19" spans="1:20" x14ac:dyDescent="0.25">
      <c r="B19" s="24"/>
      <c r="C19" s="24"/>
      <c r="D19" s="71"/>
      <c r="E19" s="24"/>
      <c r="F19" s="24"/>
    </row>
    <row r="20" spans="1:20" x14ac:dyDescent="0.25">
      <c r="B20" s="24"/>
      <c r="C20" s="24"/>
      <c r="D20" s="71"/>
      <c r="E20" s="24"/>
      <c r="F20" s="24"/>
    </row>
    <row r="21" spans="1:20" x14ac:dyDescent="0.25">
      <c r="B21" s="24"/>
      <c r="C21" s="24"/>
      <c r="D21" s="71"/>
      <c r="E21" s="24"/>
      <c r="F21" s="24"/>
    </row>
    <row r="22" spans="1:20" x14ac:dyDescent="0.25">
      <c r="B22" s="24"/>
      <c r="C22" s="24"/>
      <c r="D22" s="71"/>
      <c r="E22" s="24"/>
      <c r="F22" s="24"/>
    </row>
    <row r="23" spans="1:20" x14ac:dyDescent="0.25">
      <c r="B23" s="24"/>
      <c r="C23" s="24"/>
      <c r="D23" s="71"/>
      <c r="E23" s="24"/>
      <c r="F23" s="24"/>
    </row>
    <row r="24" spans="1:20" x14ac:dyDescent="0.25">
      <c r="B24" s="24"/>
      <c r="C24" s="24"/>
      <c r="D24" s="71"/>
      <c r="E24" s="24"/>
      <c r="F24" s="24"/>
    </row>
    <row r="25" spans="1:20" x14ac:dyDescent="0.25">
      <c r="B25" s="24"/>
      <c r="C25" s="24"/>
      <c r="D25" s="71"/>
      <c r="E25" s="24"/>
      <c r="F25" s="24"/>
    </row>
    <row r="26" spans="1:20" x14ac:dyDescent="0.25">
      <c r="B26" s="24"/>
      <c r="C26" s="24"/>
      <c r="D26" s="71"/>
      <c r="E26" s="24"/>
      <c r="F26" s="24"/>
    </row>
    <row r="27" spans="1:20" x14ac:dyDescent="0.25">
      <c r="B27" s="24"/>
      <c r="C27" s="24"/>
      <c r="D27" s="71"/>
      <c r="E27" s="24"/>
      <c r="F27" s="24"/>
    </row>
    <row r="28" spans="1:20" x14ac:dyDescent="0.25">
      <c r="B28" s="24"/>
      <c r="C28" s="24"/>
      <c r="D28" s="71"/>
      <c r="E28" s="24"/>
      <c r="F28" s="24"/>
    </row>
  </sheetData>
  <conditionalFormatting sqref="R2:R5 K2:K6 R13:R16 K13:K17 D2:D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B7DEE8"/>
  </sheetPr>
  <dimension ref="A1:N226"/>
  <sheetViews>
    <sheetView workbookViewId="0">
      <selection activeCell="J17" sqref="J17"/>
    </sheetView>
  </sheetViews>
  <sheetFormatPr baseColWidth="10" defaultColWidth="10.7109375" defaultRowHeight="15" x14ac:dyDescent="0.25"/>
  <cols>
    <col min="1" max="1" width="12.5703125" style="42" customWidth="1"/>
    <col min="2" max="2" width="27.42578125" style="42" customWidth="1"/>
    <col min="3" max="3" width="27.140625" style="42" customWidth="1"/>
    <col min="4" max="4" width="11.7109375" style="42" customWidth="1"/>
    <col min="5" max="5" width="16.85546875" style="42" customWidth="1"/>
    <col min="6" max="6" width="17.28515625" style="42" customWidth="1"/>
    <col min="7" max="7" width="4.28515625" style="42" customWidth="1"/>
    <col min="8" max="8" width="13.5703125" style="42" customWidth="1"/>
    <col min="10" max="10" width="17.5703125" bestFit="1" customWidth="1"/>
    <col min="11" max="11" width="8.28515625" bestFit="1" customWidth="1"/>
    <col min="12" max="12" width="25.42578125" bestFit="1" customWidth="1"/>
    <col min="13" max="13" width="12.28515625" bestFit="1" customWidth="1"/>
  </cols>
  <sheetData>
    <row r="1" spans="1:14" x14ac:dyDescent="0.25">
      <c r="A1" s="43" t="s">
        <v>197</v>
      </c>
      <c r="B1" s="43" t="s">
        <v>392</v>
      </c>
      <c r="C1" s="43" t="s">
        <v>393</v>
      </c>
      <c r="D1" s="43" t="s">
        <v>394</v>
      </c>
      <c r="E1" s="43" t="s">
        <v>395</v>
      </c>
      <c r="F1" s="43" t="s">
        <v>396</v>
      </c>
      <c r="G1" s="43" t="s">
        <v>397</v>
      </c>
      <c r="H1" s="43" t="s">
        <v>398</v>
      </c>
      <c r="J1" s="269" t="s">
        <v>399</v>
      </c>
      <c r="K1" t="s">
        <v>400</v>
      </c>
      <c r="L1" t="s">
        <v>401</v>
      </c>
      <c r="M1" t="s">
        <v>402</v>
      </c>
      <c r="N1" s="42" t="s">
        <v>403</v>
      </c>
    </row>
    <row r="2" spans="1:14" x14ac:dyDescent="0.25">
      <c r="A2" s="268">
        <v>43670</v>
      </c>
      <c r="B2" s="42" t="s">
        <v>258</v>
      </c>
      <c r="C2" s="42" t="s">
        <v>404</v>
      </c>
      <c r="D2" s="42">
        <v>14</v>
      </c>
      <c r="E2" s="29">
        <f>(7+11+14+11+10+12+14+11+13+14+10)/11</f>
        <v>11.545454545454545</v>
      </c>
      <c r="F2" s="42">
        <v>7</v>
      </c>
      <c r="G2" s="42">
        <v>2</v>
      </c>
      <c r="H2" s="38">
        <f t="shared" ref="H2:H33" si="0">G2/F2</f>
        <v>0.2857142857142857</v>
      </c>
      <c r="J2" s="190">
        <v>14</v>
      </c>
      <c r="K2" s="270">
        <v>1</v>
      </c>
      <c r="L2" s="270">
        <v>7</v>
      </c>
      <c r="M2" s="270">
        <v>2</v>
      </c>
      <c r="N2" s="58">
        <f t="shared" ref="N2:N12" si="1">M2/L2</f>
        <v>0.2857142857142857</v>
      </c>
    </row>
    <row r="3" spans="1:14" x14ac:dyDescent="0.25">
      <c r="A3" s="268">
        <v>43617</v>
      </c>
      <c r="B3" s="42" t="s">
        <v>405</v>
      </c>
      <c r="C3" s="42" t="s">
        <v>258</v>
      </c>
      <c r="D3" s="42">
        <v>15</v>
      </c>
      <c r="E3" s="29">
        <f>(15+8+9+11+14+11+14+9+13+13+12)/11</f>
        <v>11.727272727272727</v>
      </c>
      <c r="F3" s="42">
        <v>9</v>
      </c>
      <c r="G3" s="42">
        <v>2</v>
      </c>
      <c r="H3" s="38">
        <f t="shared" si="0"/>
        <v>0.22222222222222221</v>
      </c>
      <c r="J3" s="190">
        <v>15</v>
      </c>
      <c r="K3" s="270">
        <v>3</v>
      </c>
      <c r="L3" s="270">
        <v>24</v>
      </c>
      <c r="M3" s="270">
        <v>8</v>
      </c>
      <c r="N3" s="58">
        <f t="shared" si="1"/>
        <v>0.33333333333333331</v>
      </c>
    </row>
    <row r="4" spans="1:14" x14ac:dyDescent="0.25">
      <c r="A4" s="268">
        <v>43684</v>
      </c>
      <c r="B4" s="42" t="s">
        <v>406</v>
      </c>
      <c r="C4" s="42" t="s">
        <v>258</v>
      </c>
      <c r="D4" s="42">
        <v>15</v>
      </c>
      <c r="E4" s="29">
        <f>(6+10+12+11+12+9+11+12+12+12+9)/11</f>
        <v>10.545454545454545</v>
      </c>
      <c r="F4" s="42">
        <v>9</v>
      </c>
      <c r="G4" s="42">
        <v>4</v>
      </c>
      <c r="H4" s="38">
        <f t="shared" si="0"/>
        <v>0.44444444444444442</v>
      </c>
      <c r="J4" s="190">
        <v>16</v>
      </c>
      <c r="K4" s="270">
        <v>20</v>
      </c>
      <c r="L4" s="270">
        <v>126</v>
      </c>
      <c r="M4" s="270">
        <v>51</v>
      </c>
      <c r="N4" s="58">
        <f t="shared" si="1"/>
        <v>0.40476190476190477</v>
      </c>
    </row>
    <row r="5" spans="1:14" x14ac:dyDescent="0.25">
      <c r="A5" s="268">
        <v>43691</v>
      </c>
      <c r="B5" s="42" t="s">
        <v>407</v>
      </c>
      <c r="C5" s="42" t="s">
        <v>258</v>
      </c>
      <c r="D5" s="42">
        <v>15</v>
      </c>
      <c r="E5" s="29">
        <f>(6+10+12+11+14+9+13+12+11+12+9)/11</f>
        <v>10.818181818181818</v>
      </c>
      <c r="F5" s="42">
        <v>6</v>
      </c>
      <c r="G5" s="42">
        <v>2</v>
      </c>
      <c r="H5" s="38">
        <f t="shared" si="0"/>
        <v>0.33333333333333331</v>
      </c>
      <c r="J5" s="190">
        <v>17</v>
      </c>
      <c r="K5" s="270">
        <v>15</v>
      </c>
      <c r="L5" s="270">
        <v>101</v>
      </c>
      <c r="M5" s="270">
        <v>38</v>
      </c>
      <c r="N5" s="58">
        <f t="shared" si="1"/>
        <v>0.37623762376237624</v>
      </c>
    </row>
    <row r="6" spans="1:14" x14ac:dyDescent="0.25">
      <c r="A6" s="268">
        <v>43680</v>
      </c>
      <c r="B6" s="42" t="s">
        <v>258</v>
      </c>
      <c r="C6" s="42" t="s">
        <v>408</v>
      </c>
      <c r="D6" s="42">
        <v>16</v>
      </c>
      <c r="E6" s="29">
        <f>(15+11+14+11+14+12+13+13+14+5+8)/11</f>
        <v>11.818181818181818</v>
      </c>
      <c r="F6" s="42">
        <v>4</v>
      </c>
      <c r="G6" s="43">
        <v>1</v>
      </c>
      <c r="H6" s="38">
        <f t="shared" si="0"/>
        <v>0.25</v>
      </c>
      <c r="J6" s="190">
        <v>18</v>
      </c>
      <c r="K6" s="270">
        <v>22</v>
      </c>
      <c r="L6" s="270">
        <v>143</v>
      </c>
      <c r="M6" s="270">
        <v>50</v>
      </c>
      <c r="N6" s="58">
        <f t="shared" si="1"/>
        <v>0.34965034965034963</v>
      </c>
    </row>
    <row r="7" spans="1:14" x14ac:dyDescent="0.25">
      <c r="A7" s="268">
        <v>43677</v>
      </c>
      <c r="B7" s="42" t="s">
        <v>409</v>
      </c>
      <c r="C7" s="42" t="s">
        <v>258</v>
      </c>
      <c r="D7" s="42">
        <v>16</v>
      </c>
      <c r="E7" s="29">
        <f>(15+9+10+8+12+8+12+13+13+9+12)/11</f>
        <v>11</v>
      </c>
      <c r="F7" s="42">
        <v>7</v>
      </c>
      <c r="G7" s="42">
        <v>3</v>
      </c>
      <c r="H7" s="38">
        <f t="shared" si="0"/>
        <v>0.42857142857142855</v>
      </c>
      <c r="J7" s="190">
        <v>19</v>
      </c>
      <c r="K7" s="270">
        <v>32</v>
      </c>
      <c r="L7" s="270">
        <v>245</v>
      </c>
      <c r="M7" s="270">
        <v>102</v>
      </c>
      <c r="N7" s="58">
        <f t="shared" si="1"/>
        <v>0.41632653061224489</v>
      </c>
    </row>
    <row r="8" spans="1:14" x14ac:dyDescent="0.25">
      <c r="A8" s="268">
        <v>43642</v>
      </c>
      <c r="B8" s="42" t="s">
        <v>258</v>
      </c>
      <c r="C8" s="42" t="s">
        <v>410</v>
      </c>
      <c r="D8" s="42">
        <v>16</v>
      </c>
      <c r="E8" s="29">
        <f t="shared" ref="E8:E19" si="2">(15+10+14+14+11+10+13+14+13+10+10)/11</f>
        <v>12.181818181818182</v>
      </c>
      <c r="F8" s="42">
        <v>9</v>
      </c>
      <c r="G8" s="42">
        <v>3</v>
      </c>
      <c r="H8" s="38">
        <f t="shared" si="0"/>
        <v>0.33333333333333331</v>
      </c>
      <c r="J8" s="190">
        <v>20</v>
      </c>
      <c r="K8" s="270">
        <v>14</v>
      </c>
      <c r="L8" s="270">
        <v>104</v>
      </c>
      <c r="M8" s="270">
        <v>42</v>
      </c>
      <c r="N8" s="58">
        <f t="shared" si="1"/>
        <v>0.40384615384615385</v>
      </c>
    </row>
    <row r="9" spans="1:14" x14ac:dyDescent="0.25">
      <c r="A9" s="268">
        <v>43641</v>
      </c>
      <c r="B9" s="42" t="s">
        <v>411</v>
      </c>
      <c r="C9" s="42" t="s">
        <v>258</v>
      </c>
      <c r="D9" s="42">
        <v>16</v>
      </c>
      <c r="E9" s="29">
        <f t="shared" si="2"/>
        <v>12.181818181818182</v>
      </c>
      <c r="F9" s="42">
        <v>6</v>
      </c>
      <c r="G9" s="42">
        <v>2</v>
      </c>
      <c r="H9" s="38">
        <f t="shared" si="0"/>
        <v>0.33333333333333331</v>
      </c>
      <c r="J9" s="190">
        <v>21</v>
      </c>
      <c r="K9" s="270">
        <v>22</v>
      </c>
      <c r="L9" s="270">
        <v>187</v>
      </c>
      <c r="M9" s="270">
        <v>81</v>
      </c>
      <c r="N9" s="58">
        <f t="shared" si="1"/>
        <v>0.43315508021390375</v>
      </c>
    </row>
    <row r="10" spans="1:14" x14ac:dyDescent="0.25">
      <c r="A10" s="268">
        <v>43641</v>
      </c>
      <c r="B10" s="42" t="s">
        <v>258</v>
      </c>
      <c r="C10" s="42" t="s">
        <v>413</v>
      </c>
      <c r="D10" s="42">
        <v>16</v>
      </c>
      <c r="E10" s="29">
        <f t="shared" si="2"/>
        <v>12.181818181818182</v>
      </c>
      <c r="F10" s="42">
        <v>4</v>
      </c>
      <c r="G10" s="42">
        <v>2</v>
      </c>
      <c r="H10" s="38">
        <f t="shared" si="0"/>
        <v>0.5</v>
      </c>
      <c r="J10" s="190">
        <v>22</v>
      </c>
      <c r="K10" s="270">
        <v>12</v>
      </c>
      <c r="L10" s="270">
        <v>92</v>
      </c>
      <c r="M10" s="270">
        <v>36</v>
      </c>
      <c r="N10" s="58">
        <f t="shared" si="1"/>
        <v>0.39130434782608697</v>
      </c>
    </row>
    <row r="11" spans="1:14" x14ac:dyDescent="0.25">
      <c r="A11" s="268">
        <v>43640</v>
      </c>
      <c r="B11" s="42" t="s">
        <v>414</v>
      </c>
      <c r="C11" s="42" t="s">
        <v>258</v>
      </c>
      <c r="D11" s="42">
        <v>16</v>
      </c>
      <c r="E11" s="29">
        <f t="shared" si="2"/>
        <v>12.181818181818182</v>
      </c>
      <c r="F11" s="42">
        <v>3</v>
      </c>
      <c r="G11" s="42">
        <v>2</v>
      </c>
      <c r="H11" s="38">
        <f t="shared" si="0"/>
        <v>0.66666666666666663</v>
      </c>
      <c r="I11" s="29"/>
      <c r="J11" s="190">
        <v>23</v>
      </c>
      <c r="K11" s="270">
        <v>27</v>
      </c>
      <c r="L11" s="270">
        <v>208</v>
      </c>
      <c r="M11" s="270">
        <v>95</v>
      </c>
      <c r="N11" s="58">
        <f t="shared" si="1"/>
        <v>0.45673076923076922</v>
      </c>
    </row>
    <row r="12" spans="1:14" x14ac:dyDescent="0.25">
      <c r="A12" s="268">
        <v>43636</v>
      </c>
      <c r="B12" s="42" t="s">
        <v>415</v>
      </c>
      <c r="C12" s="42" t="s">
        <v>258</v>
      </c>
      <c r="D12" s="42">
        <v>16</v>
      </c>
      <c r="E12" s="29">
        <f t="shared" si="2"/>
        <v>12.181818181818182</v>
      </c>
      <c r="F12" s="42">
        <v>9</v>
      </c>
      <c r="G12" s="42">
        <v>2</v>
      </c>
      <c r="H12" s="38">
        <f t="shared" si="0"/>
        <v>0.22222222222222221</v>
      </c>
      <c r="J12" s="190">
        <v>24</v>
      </c>
      <c r="K12" s="270">
        <v>16</v>
      </c>
      <c r="L12" s="270">
        <v>129</v>
      </c>
      <c r="M12" s="270">
        <v>63</v>
      </c>
      <c r="N12" s="58">
        <f t="shared" si="1"/>
        <v>0.48837209302325579</v>
      </c>
    </row>
    <row r="13" spans="1:14" x14ac:dyDescent="0.25">
      <c r="A13" s="268">
        <v>43635</v>
      </c>
      <c r="B13" s="42" t="s">
        <v>258</v>
      </c>
      <c r="C13" s="42" t="s">
        <v>416</v>
      </c>
      <c r="D13" s="42">
        <v>16</v>
      </c>
      <c r="E13" s="29">
        <f t="shared" si="2"/>
        <v>12.181818181818182</v>
      </c>
      <c r="F13" s="42">
        <v>7</v>
      </c>
      <c r="G13" s="42">
        <v>2</v>
      </c>
      <c r="H13" s="38">
        <f t="shared" si="0"/>
        <v>0.2857142857142857</v>
      </c>
      <c r="J13" s="190" t="s">
        <v>412</v>
      </c>
      <c r="K13" s="270">
        <v>184</v>
      </c>
      <c r="L13" s="270">
        <v>1366</v>
      </c>
      <c r="M13" s="270">
        <v>568</v>
      </c>
      <c r="N13" s="58"/>
    </row>
    <row r="14" spans="1:14" x14ac:dyDescent="0.25">
      <c r="A14" s="268">
        <v>43635</v>
      </c>
      <c r="B14" s="42" t="s">
        <v>258</v>
      </c>
      <c r="C14" s="42" t="s">
        <v>417</v>
      </c>
      <c r="D14" s="42">
        <v>16</v>
      </c>
      <c r="E14" s="29">
        <f t="shared" si="2"/>
        <v>12.181818181818182</v>
      </c>
      <c r="F14" s="42">
        <v>5</v>
      </c>
      <c r="G14" s="42">
        <v>2</v>
      </c>
      <c r="H14" s="38">
        <f t="shared" si="0"/>
        <v>0.4</v>
      </c>
    </row>
    <row r="15" spans="1:14" x14ac:dyDescent="0.25">
      <c r="A15" s="268">
        <v>43634</v>
      </c>
      <c r="B15" s="42" t="s">
        <v>418</v>
      </c>
      <c r="C15" s="42" t="s">
        <v>258</v>
      </c>
      <c r="D15" s="42">
        <v>16</v>
      </c>
      <c r="E15" s="29">
        <f t="shared" si="2"/>
        <v>12.181818181818182</v>
      </c>
      <c r="F15" s="42">
        <v>9</v>
      </c>
      <c r="G15" s="42">
        <v>3</v>
      </c>
      <c r="H15" s="38">
        <f t="shared" si="0"/>
        <v>0.33333333333333331</v>
      </c>
    </row>
    <row r="16" spans="1:14" x14ac:dyDescent="0.25">
      <c r="A16" s="268">
        <v>43634</v>
      </c>
      <c r="B16" s="42" t="s">
        <v>419</v>
      </c>
      <c r="C16" s="42" t="s">
        <v>258</v>
      </c>
      <c r="D16" s="42">
        <v>16</v>
      </c>
      <c r="E16" s="29">
        <f t="shared" si="2"/>
        <v>12.181818181818182</v>
      </c>
      <c r="F16" s="42">
        <v>6</v>
      </c>
      <c r="G16" s="42">
        <v>2</v>
      </c>
      <c r="H16" s="38">
        <f t="shared" si="0"/>
        <v>0.33333333333333331</v>
      </c>
    </row>
    <row r="17" spans="1:8" x14ac:dyDescent="0.25">
      <c r="A17" s="268">
        <v>43633</v>
      </c>
      <c r="B17" s="42" t="s">
        <v>258</v>
      </c>
      <c r="C17" s="42" t="s">
        <v>420</v>
      </c>
      <c r="D17" s="42">
        <v>16</v>
      </c>
      <c r="E17" s="29">
        <f t="shared" si="2"/>
        <v>12.181818181818182</v>
      </c>
      <c r="F17" s="42">
        <v>10</v>
      </c>
      <c r="G17" s="42">
        <v>3</v>
      </c>
      <c r="H17" s="38">
        <f t="shared" si="0"/>
        <v>0.3</v>
      </c>
    </row>
    <row r="18" spans="1:8" x14ac:dyDescent="0.25">
      <c r="A18" s="268">
        <v>43633</v>
      </c>
      <c r="B18" s="42" t="s">
        <v>258</v>
      </c>
      <c r="C18" s="42" t="s">
        <v>421</v>
      </c>
      <c r="D18" s="42">
        <v>16</v>
      </c>
      <c r="E18" s="29">
        <f t="shared" si="2"/>
        <v>12.181818181818182</v>
      </c>
      <c r="F18" s="42">
        <v>7</v>
      </c>
      <c r="G18" s="42">
        <v>3</v>
      </c>
      <c r="H18" s="38">
        <f t="shared" si="0"/>
        <v>0.42857142857142855</v>
      </c>
    </row>
    <row r="19" spans="1:8" x14ac:dyDescent="0.25">
      <c r="A19" s="268">
        <v>43624</v>
      </c>
      <c r="B19" s="42" t="s">
        <v>422</v>
      </c>
      <c r="C19" s="42" t="s">
        <v>258</v>
      </c>
      <c r="D19" s="42">
        <v>16</v>
      </c>
      <c r="E19" s="29">
        <f t="shared" si="2"/>
        <v>12.181818181818182</v>
      </c>
      <c r="F19" s="42">
        <v>4</v>
      </c>
      <c r="G19" s="42">
        <v>2</v>
      </c>
      <c r="H19" s="38">
        <f t="shared" si="0"/>
        <v>0.5</v>
      </c>
    </row>
    <row r="20" spans="1:8" x14ac:dyDescent="0.25">
      <c r="A20" s="268">
        <v>43617</v>
      </c>
      <c r="B20" s="42" t="s">
        <v>423</v>
      </c>
      <c r="C20" s="42" t="s">
        <v>258</v>
      </c>
      <c r="D20" s="42">
        <v>16</v>
      </c>
      <c r="E20" s="29">
        <f>(15+10+14+10+11+10+13+14+13+10+12)/11</f>
        <v>12</v>
      </c>
      <c r="F20" s="42">
        <v>5</v>
      </c>
      <c r="G20" s="42">
        <v>3</v>
      </c>
      <c r="H20" s="38">
        <f t="shared" si="0"/>
        <v>0.6</v>
      </c>
    </row>
    <row r="21" spans="1:8" x14ac:dyDescent="0.25">
      <c r="A21" s="268">
        <v>43615</v>
      </c>
      <c r="B21" s="42" t="s">
        <v>258</v>
      </c>
      <c r="C21" s="42" t="s">
        <v>424</v>
      </c>
      <c r="D21" s="42">
        <v>16</v>
      </c>
      <c r="E21" s="29">
        <f>(15+11+11+14+14+10+14+13+13+9+12)/11</f>
        <v>12.363636363636363</v>
      </c>
      <c r="F21" s="42">
        <v>9</v>
      </c>
      <c r="G21" s="42">
        <v>4</v>
      </c>
      <c r="H21" s="38">
        <f t="shared" si="0"/>
        <v>0.44444444444444442</v>
      </c>
    </row>
    <row r="22" spans="1:8" x14ac:dyDescent="0.25">
      <c r="A22" s="268">
        <v>43610</v>
      </c>
      <c r="B22" s="42" t="s">
        <v>258</v>
      </c>
      <c r="C22" s="42" t="s">
        <v>425</v>
      </c>
      <c r="D22" s="42">
        <v>16</v>
      </c>
      <c r="E22" s="29">
        <f>(15+11+11+14+14+10+14+13+13+9+9)/11</f>
        <v>12.090909090909092</v>
      </c>
      <c r="F22" s="42">
        <v>5</v>
      </c>
      <c r="G22" s="42">
        <v>3</v>
      </c>
      <c r="H22" s="38">
        <f t="shared" si="0"/>
        <v>0.6</v>
      </c>
    </row>
    <row r="23" spans="1:8" x14ac:dyDescent="0.25">
      <c r="A23" s="268">
        <v>43602</v>
      </c>
      <c r="B23" s="42" t="s">
        <v>426</v>
      </c>
      <c r="C23" s="42" t="s">
        <v>258</v>
      </c>
      <c r="D23" s="42">
        <v>16</v>
      </c>
      <c r="E23" s="29">
        <f>(15+11+11+14+14+10+14+13+13+9+9)/11</f>
        <v>12.090909090909092</v>
      </c>
      <c r="F23" s="42">
        <v>6</v>
      </c>
      <c r="G23" s="42">
        <v>3</v>
      </c>
      <c r="H23" s="38">
        <f t="shared" si="0"/>
        <v>0.5</v>
      </c>
    </row>
    <row r="24" spans="1:8" x14ac:dyDescent="0.25">
      <c r="A24" s="268">
        <v>43550</v>
      </c>
      <c r="B24" s="42" t="s">
        <v>427</v>
      </c>
      <c r="C24" s="42" t="s">
        <v>258</v>
      </c>
      <c r="D24" s="42">
        <v>16</v>
      </c>
      <c r="E24" s="29">
        <f>(15+8+9+11+14+11+14+9+13+13+12)/11</f>
        <v>11.727272727272727</v>
      </c>
      <c r="F24" s="42">
        <v>4</v>
      </c>
      <c r="G24" s="42">
        <v>2</v>
      </c>
      <c r="H24" s="38">
        <f t="shared" si="0"/>
        <v>0.5</v>
      </c>
    </row>
    <row r="25" spans="1:8" x14ac:dyDescent="0.25">
      <c r="A25" s="268">
        <v>43644</v>
      </c>
      <c r="B25" s="42" t="s">
        <v>258</v>
      </c>
      <c r="C25" s="42" t="s">
        <v>428</v>
      </c>
      <c r="D25" s="42">
        <v>17</v>
      </c>
      <c r="E25" s="29">
        <f>(15+10+10+14+11+10+13+14+13+10+10)/11</f>
        <v>11.818181818181818</v>
      </c>
      <c r="F25" s="42">
        <v>10</v>
      </c>
      <c r="G25" s="42">
        <v>4</v>
      </c>
      <c r="H25" s="38">
        <f t="shared" si="0"/>
        <v>0.4</v>
      </c>
    </row>
    <row r="26" spans="1:8" x14ac:dyDescent="0.25">
      <c r="A26" s="268">
        <v>43643</v>
      </c>
      <c r="B26" s="42" t="s">
        <v>429</v>
      </c>
      <c r="C26" s="42" t="s">
        <v>258</v>
      </c>
      <c r="D26" s="42">
        <v>17</v>
      </c>
      <c r="E26" s="29">
        <f t="shared" ref="E26:E31" si="3">(15+10+14+14+11+10+13+14+13+10+10)/11</f>
        <v>12.181818181818182</v>
      </c>
      <c r="F26" s="42">
        <v>4</v>
      </c>
      <c r="G26" s="42">
        <v>2</v>
      </c>
      <c r="H26" s="38">
        <f t="shared" si="0"/>
        <v>0.5</v>
      </c>
    </row>
    <row r="27" spans="1:8" x14ac:dyDescent="0.25">
      <c r="A27" s="268">
        <v>43643</v>
      </c>
      <c r="B27" s="42" t="s">
        <v>258</v>
      </c>
      <c r="C27" s="42" t="s">
        <v>430</v>
      </c>
      <c r="D27" s="42">
        <v>17</v>
      </c>
      <c r="E27" s="29">
        <f t="shared" si="3"/>
        <v>12.181818181818182</v>
      </c>
      <c r="F27" s="42">
        <v>6</v>
      </c>
      <c r="G27" s="42">
        <v>1</v>
      </c>
      <c r="H27" s="38">
        <f t="shared" si="0"/>
        <v>0.16666666666666666</v>
      </c>
    </row>
    <row r="28" spans="1:8" x14ac:dyDescent="0.25">
      <c r="A28" s="268">
        <v>43643</v>
      </c>
      <c r="B28" s="42" t="s">
        <v>431</v>
      </c>
      <c r="C28" s="42" t="s">
        <v>258</v>
      </c>
      <c r="D28" s="42">
        <v>17</v>
      </c>
      <c r="E28" s="29">
        <f t="shared" si="3"/>
        <v>12.181818181818182</v>
      </c>
      <c r="F28" s="42">
        <v>7</v>
      </c>
      <c r="G28" s="42">
        <v>3</v>
      </c>
      <c r="H28" s="38">
        <f t="shared" si="0"/>
        <v>0.42857142857142855</v>
      </c>
    </row>
    <row r="29" spans="1:8" x14ac:dyDescent="0.25">
      <c r="A29" s="268">
        <v>43642</v>
      </c>
      <c r="B29" s="42" t="s">
        <v>432</v>
      </c>
      <c r="C29" s="42" t="s">
        <v>258</v>
      </c>
      <c r="D29" s="42">
        <v>17</v>
      </c>
      <c r="E29" s="29">
        <f t="shared" si="3"/>
        <v>12.181818181818182</v>
      </c>
      <c r="F29" s="42">
        <v>7</v>
      </c>
      <c r="G29" s="42">
        <v>1</v>
      </c>
      <c r="H29" s="38">
        <f t="shared" si="0"/>
        <v>0.14285714285714285</v>
      </c>
    </row>
    <row r="30" spans="1:8" x14ac:dyDescent="0.25">
      <c r="A30" s="268">
        <v>43641</v>
      </c>
      <c r="B30" s="42" t="s">
        <v>258</v>
      </c>
      <c r="C30" s="42" t="s">
        <v>433</v>
      </c>
      <c r="D30" s="42">
        <v>17</v>
      </c>
      <c r="E30" s="29">
        <f t="shared" si="3"/>
        <v>12.181818181818182</v>
      </c>
      <c r="F30" s="42">
        <v>8</v>
      </c>
      <c r="G30" s="42">
        <v>3</v>
      </c>
      <c r="H30" s="38">
        <f t="shared" si="0"/>
        <v>0.375</v>
      </c>
    </row>
    <row r="31" spans="1:8" x14ac:dyDescent="0.25">
      <c r="A31" s="268">
        <v>43636</v>
      </c>
      <c r="B31" s="42" t="s">
        <v>434</v>
      </c>
      <c r="C31" s="42" t="s">
        <v>258</v>
      </c>
      <c r="D31" s="42">
        <v>17</v>
      </c>
      <c r="E31" s="29">
        <f t="shared" si="3"/>
        <v>12.181818181818182</v>
      </c>
      <c r="F31" s="42">
        <v>8</v>
      </c>
      <c r="G31" s="42">
        <v>3</v>
      </c>
      <c r="H31" s="38">
        <f t="shared" si="0"/>
        <v>0.375</v>
      </c>
    </row>
    <row r="32" spans="1:8" x14ac:dyDescent="0.25">
      <c r="A32" s="268">
        <v>43603</v>
      </c>
      <c r="B32" s="42" t="s">
        <v>435</v>
      </c>
      <c r="C32" s="42" t="s">
        <v>258</v>
      </c>
      <c r="D32" s="42">
        <v>17</v>
      </c>
      <c r="E32" s="29">
        <f>(15+11+11+14+14+10+14+13+13+9+9)/11</f>
        <v>12.090909090909092</v>
      </c>
      <c r="F32" s="42">
        <v>9</v>
      </c>
      <c r="G32" s="42">
        <v>5</v>
      </c>
      <c r="H32" s="38">
        <f t="shared" si="0"/>
        <v>0.55555555555555558</v>
      </c>
    </row>
    <row r="33" spans="1:8" x14ac:dyDescent="0.25">
      <c r="A33" s="268">
        <v>43596</v>
      </c>
      <c r="B33" s="42" t="s">
        <v>258</v>
      </c>
      <c r="C33" s="42" t="s">
        <v>408</v>
      </c>
      <c r="D33" s="42">
        <v>17</v>
      </c>
      <c r="E33" s="29">
        <f>(15+11+11+14+14+10+14+13+13+9+9)/11</f>
        <v>12.090909090909092</v>
      </c>
      <c r="F33" s="42">
        <v>6</v>
      </c>
      <c r="G33" s="42">
        <v>1</v>
      </c>
      <c r="H33" s="38">
        <f t="shared" si="0"/>
        <v>0.16666666666666666</v>
      </c>
    </row>
    <row r="34" spans="1:8" x14ac:dyDescent="0.25">
      <c r="A34" s="268">
        <v>43589</v>
      </c>
      <c r="B34" s="42" t="s">
        <v>436</v>
      </c>
      <c r="C34" s="42" t="s">
        <v>258</v>
      </c>
      <c r="D34" s="42">
        <v>17</v>
      </c>
      <c r="E34" s="29">
        <f>(15+11+11+14+14+10+14+11+13+9+9)/11</f>
        <v>11.909090909090908</v>
      </c>
      <c r="F34" s="42">
        <v>8</v>
      </c>
      <c r="G34" s="42">
        <v>4</v>
      </c>
      <c r="H34" s="38">
        <f t="shared" ref="H34:H65" si="4">G34/F34</f>
        <v>0.5</v>
      </c>
    </row>
    <row r="35" spans="1:8" x14ac:dyDescent="0.25">
      <c r="A35" s="268">
        <v>43547</v>
      </c>
      <c r="B35" s="42" t="s">
        <v>258</v>
      </c>
      <c r="C35" s="42" t="s">
        <v>422</v>
      </c>
      <c r="D35" s="42">
        <v>17</v>
      </c>
      <c r="E35" s="29">
        <f>(15+11+14+11+14+10+13+11+14+9+9)/11</f>
        <v>11.909090909090908</v>
      </c>
      <c r="F35" s="42">
        <v>5</v>
      </c>
      <c r="G35" s="42">
        <v>1</v>
      </c>
      <c r="H35" s="38">
        <f t="shared" si="4"/>
        <v>0.2</v>
      </c>
    </row>
    <row r="36" spans="1:8" x14ac:dyDescent="0.25">
      <c r="A36" s="268">
        <v>43540</v>
      </c>
      <c r="B36" s="42" t="s">
        <v>437</v>
      </c>
      <c r="C36" s="42" t="s">
        <v>258</v>
      </c>
      <c r="D36" s="42">
        <v>17</v>
      </c>
      <c r="E36" s="29">
        <f>(15+8+9+11+14+11+14+9+13+13+12)/11</f>
        <v>11.727272727272727</v>
      </c>
      <c r="F36" s="42">
        <v>7</v>
      </c>
      <c r="G36" s="42">
        <v>3</v>
      </c>
      <c r="H36" s="38">
        <f t="shared" si="4"/>
        <v>0.42857142857142855</v>
      </c>
    </row>
    <row r="37" spans="1:8" x14ac:dyDescent="0.25">
      <c r="A37" s="268">
        <v>43537</v>
      </c>
      <c r="B37" s="42" t="s">
        <v>438</v>
      </c>
      <c r="C37" s="42" t="s">
        <v>258</v>
      </c>
      <c r="D37" s="42">
        <v>17</v>
      </c>
      <c r="E37" s="29">
        <f>(15+8+9+11+14+11+14+9+13+13+12)/11</f>
        <v>11.727272727272727</v>
      </c>
      <c r="F37" s="42">
        <v>7</v>
      </c>
      <c r="G37" s="42">
        <v>4</v>
      </c>
      <c r="H37" s="38">
        <f t="shared" si="4"/>
        <v>0.5714285714285714</v>
      </c>
    </row>
    <row r="38" spans="1:8" x14ac:dyDescent="0.25">
      <c r="A38" s="268">
        <v>43704</v>
      </c>
      <c r="B38" s="42" t="s">
        <v>258</v>
      </c>
      <c r="C38" s="42" t="s">
        <v>439</v>
      </c>
      <c r="D38" s="42">
        <v>18</v>
      </c>
      <c r="E38" s="29">
        <f>(15+12+15+11+12+12+13+13+14+12+9)/11</f>
        <v>12.545454545454545</v>
      </c>
      <c r="F38" s="42">
        <v>4</v>
      </c>
      <c r="G38" s="42">
        <v>1</v>
      </c>
      <c r="H38" s="38">
        <f t="shared" si="4"/>
        <v>0.25</v>
      </c>
    </row>
    <row r="39" spans="1:8" x14ac:dyDescent="0.25">
      <c r="A39" s="268">
        <v>43656</v>
      </c>
      <c r="B39" s="42" t="s">
        <v>440</v>
      </c>
      <c r="C39" s="42" t="s">
        <v>258</v>
      </c>
      <c r="D39" s="42">
        <v>18</v>
      </c>
      <c r="E39" s="29">
        <f>(12+10+14+13+14+10+12+10+14+10+15)/11</f>
        <v>12.181818181818182</v>
      </c>
      <c r="F39" s="42">
        <v>6</v>
      </c>
      <c r="G39" s="42">
        <v>2</v>
      </c>
      <c r="H39" s="38">
        <f t="shared" si="4"/>
        <v>0.33333333333333331</v>
      </c>
    </row>
    <row r="40" spans="1:8" x14ac:dyDescent="0.25">
      <c r="A40" s="268">
        <v>43656</v>
      </c>
      <c r="B40" s="42" t="s">
        <v>258</v>
      </c>
      <c r="C40" s="42" t="s">
        <v>441</v>
      </c>
      <c r="D40" s="42">
        <v>18</v>
      </c>
      <c r="E40" s="29">
        <f>(15+10+14+10+12+10+14+13+12+10+12)/11</f>
        <v>12</v>
      </c>
      <c r="F40" s="42">
        <v>3</v>
      </c>
      <c r="G40" s="42">
        <v>1</v>
      </c>
      <c r="H40" s="38">
        <f t="shared" si="4"/>
        <v>0.33333333333333331</v>
      </c>
    </row>
    <row r="41" spans="1:8" x14ac:dyDescent="0.25">
      <c r="A41" s="268">
        <v>43655</v>
      </c>
      <c r="B41" s="42" t="s">
        <v>258</v>
      </c>
      <c r="C41" s="42" t="s">
        <v>442</v>
      </c>
      <c r="D41" s="42">
        <v>18</v>
      </c>
      <c r="E41" s="29">
        <f>(15+10+14+10+12+10+14+13+14+10+9)/11</f>
        <v>11.909090909090908</v>
      </c>
      <c r="F41" s="42">
        <v>5</v>
      </c>
      <c r="G41" s="42">
        <v>1</v>
      </c>
      <c r="H41" s="38">
        <f t="shared" si="4"/>
        <v>0.2</v>
      </c>
    </row>
    <row r="42" spans="1:8" x14ac:dyDescent="0.25">
      <c r="A42" s="268">
        <v>43582</v>
      </c>
      <c r="B42" s="42" t="s">
        <v>258</v>
      </c>
      <c r="C42" s="42" t="s">
        <v>436</v>
      </c>
      <c r="D42" s="42">
        <v>18</v>
      </c>
      <c r="E42" s="29">
        <f>(15+11+11+14+14+10+14+11+13+9+9)/11</f>
        <v>11.909090909090908</v>
      </c>
      <c r="F42" s="42">
        <v>7</v>
      </c>
      <c r="G42" s="42">
        <v>2</v>
      </c>
      <c r="H42" s="38">
        <f t="shared" si="4"/>
        <v>0.2857142857142857</v>
      </c>
    </row>
    <row r="43" spans="1:8" x14ac:dyDescent="0.25">
      <c r="A43" s="268">
        <v>43575</v>
      </c>
      <c r="B43" s="42" t="s">
        <v>408</v>
      </c>
      <c r="C43" s="42" t="s">
        <v>258</v>
      </c>
      <c r="D43" s="42">
        <v>18</v>
      </c>
      <c r="E43" s="29">
        <f>(15+11+11+14+14+10+14+11+13+9+9)/11</f>
        <v>11.909090909090908</v>
      </c>
      <c r="F43" s="42">
        <v>9</v>
      </c>
      <c r="G43" s="42">
        <v>3</v>
      </c>
      <c r="H43" s="38">
        <f t="shared" si="4"/>
        <v>0.33333333333333331</v>
      </c>
    </row>
    <row r="44" spans="1:8" x14ac:dyDescent="0.25">
      <c r="A44" s="268">
        <v>43568</v>
      </c>
      <c r="B44" s="42" t="s">
        <v>258</v>
      </c>
      <c r="C44" s="42" t="s">
        <v>435</v>
      </c>
      <c r="D44" s="42">
        <v>18</v>
      </c>
      <c r="E44" s="29">
        <f>(15+11+11+14+14+10+14+11+13+9+9)/11</f>
        <v>11.909090909090908</v>
      </c>
      <c r="F44" s="42">
        <v>8</v>
      </c>
      <c r="G44" s="42">
        <v>3</v>
      </c>
      <c r="H44" s="38">
        <f t="shared" si="4"/>
        <v>0.375</v>
      </c>
    </row>
    <row r="45" spans="1:8" x14ac:dyDescent="0.25">
      <c r="A45" s="268">
        <v>43561</v>
      </c>
      <c r="B45" s="42" t="s">
        <v>425</v>
      </c>
      <c r="C45" s="42" t="s">
        <v>258</v>
      </c>
      <c r="D45" s="42">
        <v>18</v>
      </c>
      <c r="E45" s="29">
        <f>(15+11+11+14+14+10+14+11+13+9+9)/11</f>
        <v>11.909090909090908</v>
      </c>
      <c r="F45" s="42">
        <v>8</v>
      </c>
      <c r="G45" s="42">
        <v>3</v>
      </c>
      <c r="H45" s="38">
        <f t="shared" si="4"/>
        <v>0.375</v>
      </c>
    </row>
    <row r="46" spans="1:8" x14ac:dyDescent="0.25">
      <c r="A46" s="268">
        <v>43554</v>
      </c>
      <c r="B46" s="42" t="s">
        <v>258</v>
      </c>
      <c r="C46" s="42" t="s">
        <v>423</v>
      </c>
      <c r="D46" s="42">
        <v>18</v>
      </c>
      <c r="E46" s="29">
        <f>(15+11+14+11+14+10+13+11+14+9+9)/11</f>
        <v>11.909090909090908</v>
      </c>
      <c r="F46" s="42">
        <v>6</v>
      </c>
      <c r="G46" s="42">
        <v>1</v>
      </c>
      <c r="H46" s="38">
        <f t="shared" si="4"/>
        <v>0.16666666666666666</v>
      </c>
    </row>
    <row r="47" spans="1:8" x14ac:dyDescent="0.25">
      <c r="A47" s="268">
        <v>43687</v>
      </c>
      <c r="B47" s="42" t="s">
        <v>443</v>
      </c>
      <c r="C47" s="42" t="s">
        <v>258</v>
      </c>
      <c r="D47" s="42">
        <v>18</v>
      </c>
      <c r="E47" s="29">
        <f>(15+12+13+11+14+12+13+13+14+9+12)/11</f>
        <v>12.545454545454545</v>
      </c>
      <c r="F47" s="42">
        <v>5</v>
      </c>
      <c r="G47" s="42">
        <v>1</v>
      </c>
      <c r="H47" s="38">
        <f t="shared" si="4"/>
        <v>0.2</v>
      </c>
    </row>
    <row r="48" spans="1:8" x14ac:dyDescent="0.25">
      <c r="A48" s="268">
        <v>43701</v>
      </c>
      <c r="B48" s="42" t="s">
        <v>258</v>
      </c>
      <c r="C48" s="42" t="s">
        <v>444</v>
      </c>
      <c r="D48" s="42">
        <v>18</v>
      </c>
      <c r="E48" s="29">
        <f>(15+12+15+12+12+12+13+13+11+14+12)/11</f>
        <v>12.818181818181818</v>
      </c>
      <c r="F48" s="42">
        <v>8</v>
      </c>
      <c r="G48" s="42">
        <v>3</v>
      </c>
      <c r="H48" s="38">
        <f t="shared" si="4"/>
        <v>0.375</v>
      </c>
    </row>
    <row r="49" spans="1:8" x14ac:dyDescent="0.25">
      <c r="A49" s="268">
        <v>43666</v>
      </c>
      <c r="B49" s="42" t="s">
        <v>422</v>
      </c>
      <c r="C49" s="42" t="s">
        <v>258</v>
      </c>
      <c r="D49" s="42">
        <v>19</v>
      </c>
      <c r="E49" s="29">
        <f>(15+9+9+12+10+14+12+10+13+12+10)/11</f>
        <v>11.454545454545455</v>
      </c>
      <c r="F49" s="42">
        <v>5</v>
      </c>
      <c r="G49" s="42">
        <v>2</v>
      </c>
      <c r="H49" s="38">
        <f t="shared" si="4"/>
        <v>0.4</v>
      </c>
    </row>
    <row r="50" spans="1:8" x14ac:dyDescent="0.25">
      <c r="A50" s="268">
        <v>43657</v>
      </c>
      <c r="B50" s="42" t="s">
        <v>258</v>
      </c>
      <c r="C50" s="42" t="s">
        <v>445</v>
      </c>
      <c r="D50" s="42">
        <v>19</v>
      </c>
      <c r="E50" s="29">
        <f>(15+10+14+10+12+10+14+13+14+10+9)/11</f>
        <v>11.909090909090908</v>
      </c>
      <c r="F50" s="42">
        <v>12</v>
      </c>
      <c r="G50" s="42">
        <v>5</v>
      </c>
      <c r="H50" s="38">
        <f t="shared" si="4"/>
        <v>0.41666666666666669</v>
      </c>
    </row>
    <row r="51" spans="1:8" x14ac:dyDescent="0.25">
      <c r="A51" s="268">
        <v>43652</v>
      </c>
      <c r="B51" s="42" t="s">
        <v>258</v>
      </c>
      <c r="C51" s="42" t="s">
        <v>446</v>
      </c>
      <c r="D51" s="42">
        <v>19</v>
      </c>
      <c r="E51" s="29">
        <f>(15+10+14+10+12+10+14+13+14+10+9)/11</f>
        <v>11.909090909090908</v>
      </c>
      <c r="F51" s="42">
        <v>9</v>
      </c>
      <c r="G51" s="42">
        <v>5</v>
      </c>
      <c r="H51" s="38">
        <f t="shared" si="4"/>
        <v>0.55555555555555558</v>
      </c>
    </row>
    <row r="52" spans="1:8" x14ac:dyDescent="0.25">
      <c r="A52" s="268">
        <v>43677</v>
      </c>
      <c r="B52" s="42" t="s">
        <v>258</v>
      </c>
      <c r="C52" s="42" t="s">
        <v>447</v>
      </c>
      <c r="D52" s="42">
        <v>20</v>
      </c>
      <c r="E52" s="29">
        <f>(15+11+14+10+12+12+13+13+14+12+9)/11</f>
        <v>12.272727272727273</v>
      </c>
      <c r="F52" s="42">
        <v>6</v>
      </c>
      <c r="G52" s="42">
        <v>2</v>
      </c>
      <c r="H52" s="38">
        <f t="shared" si="4"/>
        <v>0.33333333333333331</v>
      </c>
    </row>
    <row r="53" spans="1:8" x14ac:dyDescent="0.25">
      <c r="A53" s="268">
        <v>43672</v>
      </c>
      <c r="B53" s="42" t="s">
        <v>448</v>
      </c>
      <c r="C53" s="42" t="s">
        <v>258</v>
      </c>
      <c r="D53" s="42">
        <v>20</v>
      </c>
      <c r="E53" s="29">
        <f>(15+12+12+10+14+10+13+13+14+10+12)/11</f>
        <v>12.272727272727273</v>
      </c>
      <c r="F53" s="42">
        <v>5</v>
      </c>
      <c r="G53" s="42">
        <v>3</v>
      </c>
      <c r="H53" s="38">
        <f t="shared" si="4"/>
        <v>0.6</v>
      </c>
    </row>
    <row r="54" spans="1:8" x14ac:dyDescent="0.25">
      <c r="A54" s="268">
        <v>43663</v>
      </c>
      <c r="B54" s="42" t="s">
        <v>258</v>
      </c>
      <c r="C54" s="42" t="s">
        <v>449</v>
      </c>
      <c r="D54" s="42">
        <v>20</v>
      </c>
      <c r="E54" s="29">
        <f>(15+12+14.5+10+12+11+14+13+14+9+12)/11</f>
        <v>12.409090909090908</v>
      </c>
      <c r="F54" s="42">
        <v>7</v>
      </c>
      <c r="G54" s="42">
        <v>4</v>
      </c>
      <c r="H54" s="38">
        <f t="shared" si="4"/>
        <v>0.5714285714285714</v>
      </c>
    </row>
    <row r="55" spans="1:8" x14ac:dyDescent="0.25">
      <c r="A55" s="268">
        <v>43708</v>
      </c>
      <c r="B55" s="42" t="s">
        <v>258</v>
      </c>
      <c r="C55" s="42" t="s">
        <v>450</v>
      </c>
      <c r="D55" s="42">
        <v>17</v>
      </c>
      <c r="E55" s="29">
        <f>(15+11+15+11+13+12+13+14+13+9+12)/11</f>
        <v>12.545454545454545</v>
      </c>
      <c r="F55" s="42">
        <v>4</v>
      </c>
      <c r="G55" s="42">
        <v>2</v>
      </c>
      <c r="H55" s="38">
        <f t="shared" si="4"/>
        <v>0.5</v>
      </c>
    </row>
    <row r="56" spans="1:8" x14ac:dyDescent="0.25">
      <c r="A56" s="268">
        <v>43711</v>
      </c>
      <c r="B56" s="42" t="s">
        <v>451</v>
      </c>
      <c r="C56" s="42" t="s">
        <v>258</v>
      </c>
      <c r="D56" s="42">
        <v>16</v>
      </c>
      <c r="E56" s="29">
        <f>(15+11+15+13+13+12+14+13+13+9+12)/11</f>
        <v>12.727272727272727</v>
      </c>
      <c r="F56" s="42">
        <v>7</v>
      </c>
      <c r="G56" s="42">
        <v>4</v>
      </c>
      <c r="H56" s="38">
        <f t="shared" si="4"/>
        <v>0.5714285714285714</v>
      </c>
    </row>
    <row r="57" spans="1:8" x14ac:dyDescent="0.25">
      <c r="A57" s="268">
        <v>43713</v>
      </c>
      <c r="B57" s="42" t="s">
        <v>258</v>
      </c>
      <c r="C57" s="42" t="s">
        <v>452</v>
      </c>
      <c r="D57" s="42">
        <v>19</v>
      </c>
      <c r="E57" s="29">
        <f>(15+12+15+13+13+12+13+13+14+12+12)/11</f>
        <v>13.090909090909092</v>
      </c>
      <c r="F57" s="42">
        <v>10</v>
      </c>
      <c r="G57" s="42">
        <v>3</v>
      </c>
      <c r="H57" s="38">
        <f t="shared" si="4"/>
        <v>0.3</v>
      </c>
    </row>
    <row r="58" spans="1:8" x14ac:dyDescent="0.25">
      <c r="A58" s="268">
        <v>43713</v>
      </c>
      <c r="B58" s="42" t="s">
        <v>258</v>
      </c>
      <c r="C58" s="42" t="s">
        <v>453</v>
      </c>
      <c r="D58" s="42">
        <v>18</v>
      </c>
      <c r="E58" s="29">
        <f>(15+12+15+13+13+12+13+13+14+12+12)/11</f>
        <v>13.090909090909092</v>
      </c>
      <c r="F58" s="42">
        <v>4</v>
      </c>
      <c r="G58" s="42">
        <v>2</v>
      </c>
      <c r="H58" s="38">
        <f t="shared" si="4"/>
        <v>0.5</v>
      </c>
    </row>
    <row r="59" spans="1:8" x14ac:dyDescent="0.25">
      <c r="A59" s="268">
        <v>43715</v>
      </c>
      <c r="B59" s="42" t="s">
        <v>408</v>
      </c>
      <c r="C59" s="42" t="s">
        <v>258</v>
      </c>
      <c r="D59" s="42">
        <v>19</v>
      </c>
      <c r="E59" s="29">
        <f>(15+12+15+13+13+12+13+13+14+12+9)/11</f>
        <v>12.818181818181818</v>
      </c>
      <c r="F59" s="42">
        <v>7</v>
      </c>
      <c r="G59" s="42">
        <v>4</v>
      </c>
      <c r="H59" s="38">
        <f t="shared" si="4"/>
        <v>0.5714285714285714</v>
      </c>
    </row>
    <row r="60" spans="1:8" x14ac:dyDescent="0.25">
      <c r="A60" s="268">
        <v>43717</v>
      </c>
      <c r="B60" s="42" t="s">
        <v>258</v>
      </c>
      <c r="C60" s="42" t="s">
        <v>454</v>
      </c>
      <c r="D60" s="42">
        <v>18</v>
      </c>
      <c r="E60" s="29">
        <f>(15+10+14+10+12+10+14+13+14+10+9)/11</f>
        <v>11.909090909090908</v>
      </c>
      <c r="F60" s="42">
        <v>6</v>
      </c>
      <c r="G60" s="42">
        <v>3</v>
      </c>
      <c r="H60" s="38">
        <f t="shared" si="4"/>
        <v>0.5</v>
      </c>
    </row>
    <row r="61" spans="1:8" x14ac:dyDescent="0.25">
      <c r="A61" s="268">
        <v>43719</v>
      </c>
      <c r="B61" s="42" t="s">
        <v>455</v>
      </c>
      <c r="C61" s="42" t="s">
        <v>258</v>
      </c>
      <c r="D61" s="42">
        <v>18</v>
      </c>
      <c r="E61" s="29">
        <f>(15+12+15+13+13+12+13+13+14+12+12)/11</f>
        <v>13.090909090909092</v>
      </c>
      <c r="F61" s="42">
        <v>4</v>
      </c>
      <c r="G61" s="42">
        <v>1</v>
      </c>
      <c r="H61" s="38">
        <f t="shared" si="4"/>
        <v>0.25</v>
      </c>
    </row>
    <row r="62" spans="1:8" x14ac:dyDescent="0.25">
      <c r="A62" s="268">
        <v>43722</v>
      </c>
      <c r="B62" s="42" t="s">
        <v>437</v>
      </c>
      <c r="C62" s="42" t="s">
        <v>258</v>
      </c>
      <c r="D62" s="42">
        <v>18</v>
      </c>
      <c r="E62" s="29">
        <f>(15+12+12+13+13+12+5+14+12+12+13)/11</f>
        <v>12.090909090909092</v>
      </c>
      <c r="F62" s="42">
        <v>3</v>
      </c>
      <c r="G62" s="42">
        <v>1</v>
      </c>
      <c r="H62" s="38">
        <f t="shared" si="4"/>
        <v>0.33333333333333331</v>
      </c>
    </row>
    <row r="63" spans="1:8" x14ac:dyDescent="0.25">
      <c r="A63" s="268">
        <v>43724</v>
      </c>
      <c r="B63" s="42" t="s">
        <v>258</v>
      </c>
      <c r="C63" s="42" t="s">
        <v>456</v>
      </c>
      <c r="D63" s="42">
        <v>19</v>
      </c>
      <c r="E63" s="29">
        <f>(13+12+15+13+15+13+13+13+13+9+12)/11</f>
        <v>12.818181818181818</v>
      </c>
      <c r="F63" s="42">
        <v>6</v>
      </c>
      <c r="G63" s="42">
        <v>2</v>
      </c>
      <c r="H63" s="38">
        <f t="shared" si="4"/>
        <v>0.33333333333333331</v>
      </c>
    </row>
    <row r="64" spans="1:8" x14ac:dyDescent="0.25">
      <c r="A64" s="268">
        <v>43731</v>
      </c>
      <c r="B64" s="42" t="s">
        <v>457</v>
      </c>
      <c r="C64" s="42" t="s">
        <v>258</v>
      </c>
      <c r="D64" s="42">
        <v>18</v>
      </c>
      <c r="E64" s="29">
        <f>(15+12+13+13+15+12+14+13+13+12+9)/11</f>
        <v>12.818181818181818</v>
      </c>
      <c r="F64" s="42">
        <v>9</v>
      </c>
      <c r="G64" s="42">
        <v>4</v>
      </c>
      <c r="H64" s="38">
        <f t="shared" si="4"/>
        <v>0.44444444444444442</v>
      </c>
    </row>
    <row r="65" spans="1:8" x14ac:dyDescent="0.25">
      <c r="A65" s="268">
        <v>43736</v>
      </c>
      <c r="B65" s="42" t="s">
        <v>458</v>
      </c>
      <c r="C65" s="42" t="s">
        <v>258</v>
      </c>
      <c r="D65" s="42">
        <v>19</v>
      </c>
      <c r="E65" s="29">
        <f>(15+15+13+13+15+13+13+13+13+5+12)/11</f>
        <v>12.727272727272727</v>
      </c>
      <c r="F65" s="42">
        <v>4</v>
      </c>
      <c r="G65" s="42">
        <v>2</v>
      </c>
      <c r="H65" s="38">
        <f t="shared" si="4"/>
        <v>0.5</v>
      </c>
    </row>
    <row r="66" spans="1:8" x14ac:dyDescent="0.25">
      <c r="A66" s="268">
        <v>43738</v>
      </c>
      <c r="B66" s="42" t="s">
        <v>258</v>
      </c>
      <c r="C66" s="42" t="s">
        <v>459</v>
      </c>
      <c r="D66" s="42">
        <v>19</v>
      </c>
      <c r="E66" s="29">
        <f>(15+15+13+13+15+13+13+13+13+9+12)/11</f>
        <v>13.090909090909092</v>
      </c>
      <c r="F66" s="42">
        <v>9</v>
      </c>
      <c r="G66" s="42">
        <v>5</v>
      </c>
      <c r="H66" s="38">
        <f t="shared" ref="H66:H185" si="5">G66/F66</f>
        <v>0.55555555555555558</v>
      </c>
    </row>
    <row r="67" spans="1:8" x14ac:dyDescent="0.25">
      <c r="A67" s="268">
        <v>43739</v>
      </c>
      <c r="B67" s="42" t="s">
        <v>460</v>
      </c>
      <c r="C67" s="42" t="s">
        <v>258</v>
      </c>
      <c r="D67" s="42">
        <v>18</v>
      </c>
      <c r="E67" s="29">
        <f t="shared" ref="E67:E73" si="6">(15+13+13+13+15+12+14+13+13+12+12)/11</f>
        <v>13.181818181818182</v>
      </c>
      <c r="F67" s="42">
        <v>7</v>
      </c>
      <c r="G67" s="42">
        <v>3</v>
      </c>
      <c r="H67" s="38">
        <f t="shared" si="5"/>
        <v>0.42857142857142855</v>
      </c>
    </row>
    <row r="68" spans="1:8" x14ac:dyDescent="0.25">
      <c r="A68" s="268">
        <v>43742</v>
      </c>
      <c r="B68" s="42" t="s">
        <v>258</v>
      </c>
      <c r="C68" s="42" t="s">
        <v>461</v>
      </c>
      <c r="D68" s="42">
        <v>19</v>
      </c>
      <c r="E68" s="29">
        <f t="shared" si="6"/>
        <v>13.181818181818182</v>
      </c>
      <c r="F68" s="42">
        <v>6</v>
      </c>
      <c r="G68" s="42">
        <v>3</v>
      </c>
      <c r="H68" s="38">
        <f t="shared" si="5"/>
        <v>0.5</v>
      </c>
    </row>
    <row r="69" spans="1:8" x14ac:dyDescent="0.25">
      <c r="A69" s="268">
        <v>43743</v>
      </c>
      <c r="B69" s="42" t="s">
        <v>460</v>
      </c>
      <c r="C69" s="42" t="s">
        <v>258</v>
      </c>
      <c r="D69" s="42">
        <v>18</v>
      </c>
      <c r="E69" s="29">
        <f t="shared" si="6"/>
        <v>13.181818181818182</v>
      </c>
      <c r="F69" s="42">
        <v>10</v>
      </c>
      <c r="G69" s="42">
        <v>3</v>
      </c>
      <c r="H69" s="38">
        <f t="shared" si="5"/>
        <v>0.3</v>
      </c>
    </row>
    <row r="70" spans="1:8" x14ac:dyDescent="0.25">
      <c r="A70" s="268">
        <v>43745</v>
      </c>
      <c r="B70" s="42" t="s">
        <v>462</v>
      </c>
      <c r="C70" s="42" t="s">
        <v>258</v>
      </c>
      <c r="D70" s="42">
        <v>19</v>
      </c>
      <c r="E70" s="29">
        <f t="shared" si="6"/>
        <v>13.181818181818182</v>
      </c>
      <c r="F70" s="42">
        <v>7</v>
      </c>
      <c r="G70" s="42">
        <v>4</v>
      </c>
      <c r="H70" s="38">
        <f t="shared" si="5"/>
        <v>0.5714285714285714</v>
      </c>
    </row>
    <row r="71" spans="1:8" x14ac:dyDescent="0.25">
      <c r="A71" s="268">
        <v>43745</v>
      </c>
      <c r="B71" s="42" t="s">
        <v>463</v>
      </c>
      <c r="C71" s="42" t="s">
        <v>258</v>
      </c>
      <c r="D71" s="42">
        <v>19</v>
      </c>
      <c r="E71" s="29">
        <f t="shared" si="6"/>
        <v>13.181818181818182</v>
      </c>
      <c r="F71" s="42">
        <v>7</v>
      </c>
      <c r="G71" s="42">
        <v>2</v>
      </c>
      <c r="H71" s="38">
        <f t="shared" si="5"/>
        <v>0.2857142857142857</v>
      </c>
    </row>
    <row r="72" spans="1:8" x14ac:dyDescent="0.25">
      <c r="A72" s="268">
        <v>43745</v>
      </c>
      <c r="B72" s="42" t="s">
        <v>258</v>
      </c>
      <c r="C72" s="42" t="s">
        <v>464</v>
      </c>
      <c r="D72" s="42">
        <v>19</v>
      </c>
      <c r="E72" s="29">
        <f t="shared" si="6"/>
        <v>13.181818181818182</v>
      </c>
      <c r="F72" s="42">
        <v>12</v>
      </c>
      <c r="G72" s="42">
        <v>3</v>
      </c>
      <c r="H72" s="38">
        <f t="shared" si="5"/>
        <v>0.25</v>
      </c>
    </row>
    <row r="73" spans="1:8" x14ac:dyDescent="0.25">
      <c r="A73" s="268">
        <v>43745</v>
      </c>
      <c r="B73" s="42" t="s">
        <v>258</v>
      </c>
      <c r="C73" s="42" t="s">
        <v>465</v>
      </c>
      <c r="D73" s="42">
        <v>19</v>
      </c>
      <c r="E73" s="29">
        <f t="shared" si="6"/>
        <v>13.181818181818182</v>
      </c>
      <c r="F73" s="42">
        <v>9</v>
      </c>
      <c r="G73" s="42">
        <v>5</v>
      </c>
      <c r="H73" s="38">
        <f t="shared" si="5"/>
        <v>0.55555555555555558</v>
      </c>
    </row>
    <row r="74" spans="1:8" x14ac:dyDescent="0.25">
      <c r="A74" s="268">
        <v>43746</v>
      </c>
      <c r="B74" s="42" t="s">
        <v>466</v>
      </c>
      <c r="C74" s="42" t="s">
        <v>258</v>
      </c>
      <c r="D74" s="42">
        <v>18</v>
      </c>
      <c r="E74" s="29">
        <f>(15+13+13+13+15+12+13+13+14+12+12)/11</f>
        <v>13.181818181818182</v>
      </c>
      <c r="F74" s="42">
        <v>9</v>
      </c>
      <c r="G74" s="42">
        <v>3</v>
      </c>
      <c r="H74" s="38">
        <f t="shared" si="5"/>
        <v>0.33333333333333331</v>
      </c>
    </row>
    <row r="75" spans="1:8" x14ac:dyDescent="0.25">
      <c r="A75" s="268">
        <v>43746</v>
      </c>
      <c r="B75" s="42" t="s">
        <v>467</v>
      </c>
      <c r="C75" s="42" t="s">
        <v>258</v>
      </c>
      <c r="D75" s="42">
        <v>19</v>
      </c>
      <c r="E75" s="29">
        <f>(15+13+13+13+15+12+13+13+14+12+12)/11</f>
        <v>13.181818181818182</v>
      </c>
      <c r="F75" s="42">
        <v>10</v>
      </c>
      <c r="G75" s="42">
        <v>5</v>
      </c>
      <c r="H75" s="38">
        <f t="shared" si="5"/>
        <v>0.5</v>
      </c>
    </row>
    <row r="76" spans="1:8" x14ac:dyDescent="0.25">
      <c r="A76" s="268">
        <v>43747</v>
      </c>
      <c r="B76" s="42" t="s">
        <v>468</v>
      </c>
      <c r="C76" s="42" t="s">
        <v>258</v>
      </c>
      <c r="D76" s="42">
        <v>19</v>
      </c>
      <c r="E76" s="29">
        <f t="shared" ref="E76:E86" si="7">(15+13+15+13+13+13+13+13+14+8+12)/11</f>
        <v>12.909090909090908</v>
      </c>
      <c r="F76" s="42">
        <v>10</v>
      </c>
      <c r="G76" s="42">
        <v>2</v>
      </c>
      <c r="H76" s="38">
        <f t="shared" si="5"/>
        <v>0.2</v>
      </c>
    </row>
    <row r="77" spans="1:8" x14ac:dyDescent="0.25">
      <c r="A77" s="268">
        <v>43748</v>
      </c>
      <c r="B77" s="42" t="s">
        <v>258</v>
      </c>
      <c r="C77" s="42" t="s">
        <v>469</v>
      </c>
      <c r="D77" s="42">
        <v>18</v>
      </c>
      <c r="E77" s="29">
        <f t="shared" si="7"/>
        <v>12.909090909090908</v>
      </c>
      <c r="F77" s="42">
        <v>8</v>
      </c>
      <c r="G77" s="42">
        <v>3</v>
      </c>
      <c r="H77" s="38">
        <f t="shared" si="5"/>
        <v>0.375</v>
      </c>
    </row>
    <row r="78" spans="1:8" x14ac:dyDescent="0.25">
      <c r="A78" s="268">
        <v>43748</v>
      </c>
      <c r="B78" s="42" t="s">
        <v>258</v>
      </c>
      <c r="C78" s="42" t="s">
        <v>470</v>
      </c>
      <c r="D78" s="42">
        <v>19</v>
      </c>
      <c r="E78" s="29">
        <f t="shared" si="7"/>
        <v>12.909090909090908</v>
      </c>
      <c r="F78" s="42">
        <v>7</v>
      </c>
      <c r="G78" s="42">
        <v>3</v>
      </c>
      <c r="H78" s="38">
        <f t="shared" si="5"/>
        <v>0.42857142857142855</v>
      </c>
    </row>
    <row r="79" spans="1:8" x14ac:dyDescent="0.25">
      <c r="A79" s="268">
        <v>43748</v>
      </c>
      <c r="B79" s="42" t="s">
        <v>258</v>
      </c>
      <c r="C79" s="42" t="s">
        <v>471</v>
      </c>
      <c r="D79" s="42">
        <v>19</v>
      </c>
      <c r="E79" s="29">
        <f t="shared" si="7"/>
        <v>12.909090909090908</v>
      </c>
      <c r="F79" s="42">
        <v>8</v>
      </c>
      <c r="G79" s="42">
        <v>3</v>
      </c>
      <c r="H79" s="38">
        <f t="shared" si="5"/>
        <v>0.375</v>
      </c>
    </row>
    <row r="80" spans="1:8" x14ac:dyDescent="0.25">
      <c r="A80" s="268">
        <v>43753</v>
      </c>
      <c r="B80" s="42" t="s">
        <v>472</v>
      </c>
      <c r="C80" s="42" t="s">
        <v>258</v>
      </c>
      <c r="D80" s="42">
        <v>18</v>
      </c>
      <c r="E80" s="29">
        <f t="shared" si="7"/>
        <v>12.909090909090908</v>
      </c>
      <c r="F80" s="42">
        <v>8</v>
      </c>
      <c r="G80" s="42">
        <v>3</v>
      </c>
      <c r="H80" s="38">
        <f t="shared" si="5"/>
        <v>0.375</v>
      </c>
    </row>
    <row r="81" spans="1:8" x14ac:dyDescent="0.25">
      <c r="A81" s="268">
        <v>43753</v>
      </c>
      <c r="B81" s="42" t="s">
        <v>473</v>
      </c>
      <c r="C81" s="42" t="s">
        <v>258</v>
      </c>
      <c r="D81" s="42">
        <v>19</v>
      </c>
      <c r="E81" s="29">
        <f t="shared" si="7"/>
        <v>12.909090909090908</v>
      </c>
      <c r="F81" s="42">
        <v>6</v>
      </c>
      <c r="G81" s="42">
        <v>1</v>
      </c>
      <c r="H81" s="38">
        <f t="shared" si="5"/>
        <v>0.16666666666666666</v>
      </c>
    </row>
    <row r="82" spans="1:8" x14ac:dyDescent="0.25">
      <c r="A82" s="268">
        <v>43753</v>
      </c>
      <c r="B82" s="42" t="s">
        <v>474</v>
      </c>
      <c r="C82" s="42" t="s">
        <v>258</v>
      </c>
      <c r="D82" s="42">
        <v>19</v>
      </c>
      <c r="E82" s="29">
        <f t="shared" si="7"/>
        <v>12.909090909090908</v>
      </c>
      <c r="F82" s="42">
        <v>9</v>
      </c>
      <c r="G82" s="42">
        <v>4</v>
      </c>
      <c r="H82" s="38">
        <f t="shared" si="5"/>
        <v>0.44444444444444442</v>
      </c>
    </row>
    <row r="83" spans="1:8" x14ac:dyDescent="0.25">
      <c r="A83" s="268">
        <v>43754</v>
      </c>
      <c r="B83" s="42" t="s">
        <v>258</v>
      </c>
      <c r="C83" s="42" t="s">
        <v>475</v>
      </c>
      <c r="D83" s="42">
        <v>19</v>
      </c>
      <c r="E83" s="29">
        <f t="shared" si="7"/>
        <v>12.909090909090908</v>
      </c>
      <c r="F83" s="42">
        <v>9</v>
      </c>
      <c r="G83" s="42">
        <v>4</v>
      </c>
      <c r="H83" s="38">
        <f t="shared" si="5"/>
        <v>0.44444444444444442</v>
      </c>
    </row>
    <row r="84" spans="1:8" x14ac:dyDescent="0.25">
      <c r="A84" s="268">
        <v>43754</v>
      </c>
      <c r="B84" s="42" t="s">
        <v>476</v>
      </c>
      <c r="C84" s="42" t="s">
        <v>258</v>
      </c>
      <c r="D84" s="42">
        <v>19</v>
      </c>
      <c r="E84" s="29">
        <f t="shared" si="7"/>
        <v>12.909090909090908</v>
      </c>
      <c r="F84" s="42">
        <v>7</v>
      </c>
      <c r="G84" s="42">
        <v>3</v>
      </c>
      <c r="H84" s="38">
        <f t="shared" si="5"/>
        <v>0.42857142857142855</v>
      </c>
    </row>
    <row r="85" spans="1:8" x14ac:dyDescent="0.25">
      <c r="A85" s="268">
        <v>43754</v>
      </c>
      <c r="B85" s="42" t="s">
        <v>258</v>
      </c>
      <c r="C85" s="42" t="s">
        <v>477</v>
      </c>
      <c r="D85" s="42">
        <v>19</v>
      </c>
      <c r="E85" s="29">
        <f t="shared" si="7"/>
        <v>12.909090909090908</v>
      </c>
      <c r="F85" s="42">
        <v>6</v>
      </c>
      <c r="G85" s="42">
        <v>2</v>
      </c>
      <c r="H85" s="38">
        <f t="shared" si="5"/>
        <v>0.33333333333333331</v>
      </c>
    </row>
    <row r="86" spans="1:8" x14ac:dyDescent="0.25">
      <c r="A86" s="268">
        <v>43755</v>
      </c>
      <c r="B86" s="42" t="s">
        <v>258</v>
      </c>
      <c r="C86" s="42" t="s">
        <v>478</v>
      </c>
      <c r="D86" s="42">
        <v>19</v>
      </c>
      <c r="E86" s="29">
        <f t="shared" si="7"/>
        <v>12.909090909090908</v>
      </c>
      <c r="F86" s="42">
        <v>8</v>
      </c>
      <c r="G86" s="42">
        <v>4</v>
      </c>
      <c r="H86" s="38">
        <f t="shared" si="5"/>
        <v>0.5</v>
      </c>
    </row>
    <row r="87" spans="1:8" x14ac:dyDescent="0.25">
      <c r="A87" s="268">
        <v>43764</v>
      </c>
      <c r="B87" s="42" t="s">
        <v>258</v>
      </c>
      <c r="C87" s="42" t="s">
        <v>264</v>
      </c>
      <c r="D87" s="42">
        <v>19</v>
      </c>
      <c r="F87" s="42">
        <v>6</v>
      </c>
      <c r="G87" s="42">
        <v>3</v>
      </c>
      <c r="H87" s="38">
        <f t="shared" si="5"/>
        <v>0.5</v>
      </c>
    </row>
    <row r="88" spans="1:8" x14ac:dyDescent="0.25">
      <c r="A88" s="268">
        <v>43771</v>
      </c>
      <c r="B88" s="42" t="s">
        <v>272</v>
      </c>
      <c r="C88" s="42" t="s">
        <v>258</v>
      </c>
      <c r="D88" s="42">
        <v>19</v>
      </c>
      <c r="F88" s="42">
        <v>8</v>
      </c>
      <c r="G88" s="42">
        <v>4</v>
      </c>
      <c r="H88" s="38">
        <f t="shared" si="5"/>
        <v>0.5</v>
      </c>
    </row>
    <row r="89" spans="1:8" x14ac:dyDescent="0.25">
      <c r="A89" s="268">
        <v>43773</v>
      </c>
      <c r="B89" s="42" t="s">
        <v>684</v>
      </c>
      <c r="C89" s="42" t="s">
        <v>258</v>
      </c>
      <c r="D89" s="42">
        <v>20</v>
      </c>
      <c r="F89" s="42">
        <v>6</v>
      </c>
      <c r="G89" s="42">
        <v>3</v>
      </c>
      <c r="H89" s="38">
        <f t="shared" si="5"/>
        <v>0.5</v>
      </c>
    </row>
    <row r="90" spans="1:8" x14ac:dyDescent="0.25">
      <c r="A90" s="268">
        <v>43775</v>
      </c>
      <c r="B90" s="42" t="s">
        <v>685</v>
      </c>
      <c r="C90" s="42" t="s">
        <v>258</v>
      </c>
      <c r="D90" s="42">
        <v>20</v>
      </c>
      <c r="F90" s="42">
        <v>9</v>
      </c>
      <c r="G90" s="42">
        <v>2</v>
      </c>
      <c r="H90" s="38">
        <f t="shared" si="5"/>
        <v>0.22222222222222221</v>
      </c>
    </row>
    <row r="91" spans="1:8" x14ac:dyDescent="0.25">
      <c r="A91" s="268">
        <v>43781</v>
      </c>
      <c r="B91" s="42" t="s">
        <v>686</v>
      </c>
      <c r="C91" s="42" t="s">
        <v>258</v>
      </c>
      <c r="D91" s="42">
        <v>20</v>
      </c>
      <c r="F91" s="42">
        <v>8</v>
      </c>
      <c r="G91" s="42">
        <v>3</v>
      </c>
      <c r="H91" s="38">
        <f t="shared" si="5"/>
        <v>0.375</v>
      </c>
    </row>
    <row r="92" spans="1:8" x14ac:dyDescent="0.25">
      <c r="A92" s="268">
        <v>43782</v>
      </c>
      <c r="B92" s="42" t="s">
        <v>258</v>
      </c>
      <c r="C92" s="42" t="s">
        <v>687</v>
      </c>
      <c r="D92" s="42">
        <v>18</v>
      </c>
      <c r="F92" s="42">
        <v>6</v>
      </c>
      <c r="G92" s="42">
        <v>3</v>
      </c>
      <c r="H92" s="38">
        <f t="shared" si="5"/>
        <v>0.5</v>
      </c>
    </row>
    <row r="93" spans="1:8" x14ac:dyDescent="0.25">
      <c r="A93" s="268">
        <v>43785</v>
      </c>
      <c r="B93" s="42" t="s">
        <v>279</v>
      </c>
      <c r="C93" s="42" t="s">
        <v>258</v>
      </c>
      <c r="D93" s="42">
        <v>21</v>
      </c>
      <c r="F93" s="42">
        <v>9</v>
      </c>
      <c r="G93" s="42">
        <v>4</v>
      </c>
      <c r="H93" s="38">
        <f t="shared" si="5"/>
        <v>0.44444444444444442</v>
      </c>
    </row>
    <row r="94" spans="1:8" x14ac:dyDescent="0.25">
      <c r="A94" s="268">
        <v>43787</v>
      </c>
      <c r="B94" s="42" t="s">
        <v>453</v>
      </c>
      <c r="C94" s="42" t="s">
        <v>258</v>
      </c>
      <c r="D94" s="42">
        <v>19</v>
      </c>
      <c r="F94" s="42">
        <v>10</v>
      </c>
      <c r="G94" s="42">
        <v>5</v>
      </c>
      <c r="H94" s="38">
        <f t="shared" si="5"/>
        <v>0.5</v>
      </c>
    </row>
    <row r="95" spans="1:8" x14ac:dyDescent="0.25">
      <c r="A95" s="268">
        <v>43789</v>
      </c>
      <c r="B95" s="42" t="s">
        <v>258</v>
      </c>
      <c r="C95" s="42" t="s">
        <v>688</v>
      </c>
      <c r="D95" s="42">
        <v>21</v>
      </c>
      <c r="F95" s="42">
        <v>7</v>
      </c>
      <c r="G95" s="42">
        <v>2</v>
      </c>
      <c r="H95" s="38">
        <f t="shared" si="5"/>
        <v>0.2857142857142857</v>
      </c>
    </row>
    <row r="96" spans="1:8" x14ac:dyDescent="0.25">
      <c r="A96" s="268">
        <v>43792</v>
      </c>
      <c r="B96" s="42" t="s">
        <v>258</v>
      </c>
      <c r="C96" s="42" t="s">
        <v>284</v>
      </c>
      <c r="D96" s="42">
        <v>21</v>
      </c>
      <c r="F96" s="42">
        <v>7</v>
      </c>
      <c r="G96" s="42">
        <v>2</v>
      </c>
      <c r="H96" s="38">
        <f t="shared" si="5"/>
        <v>0.2857142857142857</v>
      </c>
    </row>
    <row r="97" spans="1:8" x14ac:dyDescent="0.25">
      <c r="A97" s="268">
        <v>43794</v>
      </c>
      <c r="B97" s="42" t="s">
        <v>258</v>
      </c>
      <c r="C97" s="42" t="s">
        <v>689</v>
      </c>
      <c r="D97" s="42">
        <v>19</v>
      </c>
      <c r="F97" s="42">
        <v>6</v>
      </c>
      <c r="G97" s="42">
        <v>2</v>
      </c>
      <c r="H97" s="38">
        <f t="shared" si="5"/>
        <v>0.33333333333333331</v>
      </c>
    </row>
    <row r="98" spans="1:8" x14ac:dyDescent="0.25">
      <c r="A98" s="268">
        <v>43796</v>
      </c>
      <c r="B98" s="42" t="s">
        <v>258</v>
      </c>
      <c r="C98" s="42" t="s">
        <v>690</v>
      </c>
      <c r="D98" s="42">
        <v>19</v>
      </c>
      <c r="F98" s="42">
        <v>6</v>
      </c>
      <c r="G98" s="42">
        <v>3</v>
      </c>
      <c r="H98" s="38">
        <f t="shared" si="5"/>
        <v>0.5</v>
      </c>
    </row>
    <row r="99" spans="1:8" x14ac:dyDescent="0.25">
      <c r="A99" s="268">
        <v>43796</v>
      </c>
      <c r="B99" s="42" t="s">
        <v>686</v>
      </c>
      <c r="C99" s="42" t="s">
        <v>258</v>
      </c>
      <c r="D99" s="42">
        <v>19</v>
      </c>
      <c r="F99" s="42">
        <v>7</v>
      </c>
      <c r="G99" s="42">
        <v>2</v>
      </c>
      <c r="H99" s="38">
        <f t="shared" si="5"/>
        <v>0.2857142857142857</v>
      </c>
    </row>
    <row r="100" spans="1:8" x14ac:dyDescent="0.25">
      <c r="A100" s="268">
        <v>43799</v>
      </c>
      <c r="B100" s="42" t="s">
        <v>274</v>
      </c>
      <c r="C100" s="42" t="s">
        <v>258</v>
      </c>
      <c r="D100" s="42">
        <v>19</v>
      </c>
      <c r="F100" s="42">
        <v>8</v>
      </c>
      <c r="G100" s="42">
        <v>3</v>
      </c>
      <c r="H100" s="38">
        <f t="shared" si="5"/>
        <v>0.375</v>
      </c>
    </row>
    <row r="101" spans="1:8" x14ac:dyDescent="0.25">
      <c r="A101" s="268">
        <v>43800</v>
      </c>
      <c r="B101" s="42" t="s">
        <v>691</v>
      </c>
      <c r="C101" s="42" t="s">
        <v>258</v>
      </c>
      <c r="D101" s="42">
        <v>19</v>
      </c>
      <c r="F101" s="42">
        <v>6</v>
      </c>
      <c r="G101" s="42">
        <v>3</v>
      </c>
      <c r="H101" s="38">
        <f t="shared" si="5"/>
        <v>0.5</v>
      </c>
    </row>
    <row r="102" spans="1:8" x14ac:dyDescent="0.25">
      <c r="A102" s="268">
        <v>43803</v>
      </c>
      <c r="B102" s="42" t="s">
        <v>692</v>
      </c>
      <c r="C102" s="42" t="s">
        <v>258</v>
      </c>
      <c r="D102" s="42">
        <v>20</v>
      </c>
      <c r="F102" s="42">
        <v>7</v>
      </c>
      <c r="G102" s="42">
        <v>3</v>
      </c>
      <c r="H102" s="38">
        <f t="shared" si="5"/>
        <v>0.42857142857142855</v>
      </c>
    </row>
    <row r="103" spans="1:8" x14ac:dyDescent="0.25">
      <c r="A103" s="268">
        <v>43804</v>
      </c>
      <c r="B103" s="42" t="s">
        <v>693</v>
      </c>
      <c r="C103" s="42" t="s">
        <v>258</v>
      </c>
      <c r="D103" s="42">
        <v>20</v>
      </c>
      <c r="F103" s="42">
        <v>8</v>
      </c>
      <c r="G103" s="42">
        <v>3</v>
      </c>
      <c r="H103" s="38">
        <f t="shared" si="5"/>
        <v>0.375</v>
      </c>
    </row>
    <row r="104" spans="1:8" x14ac:dyDescent="0.25">
      <c r="A104" s="268">
        <v>43806</v>
      </c>
      <c r="B104" s="42" t="s">
        <v>258</v>
      </c>
      <c r="C104" s="42" t="s">
        <v>268</v>
      </c>
      <c r="D104" s="42">
        <v>19</v>
      </c>
      <c r="F104" s="42">
        <v>5</v>
      </c>
      <c r="G104" s="42">
        <v>1</v>
      </c>
      <c r="H104" s="38">
        <f t="shared" si="5"/>
        <v>0.2</v>
      </c>
    </row>
    <row r="105" spans="1:8" x14ac:dyDescent="0.25">
      <c r="A105" s="268">
        <v>43810</v>
      </c>
      <c r="B105" s="42" t="s">
        <v>258</v>
      </c>
      <c r="C105" s="42" t="s">
        <v>694</v>
      </c>
      <c r="D105" s="42">
        <v>20</v>
      </c>
      <c r="F105" s="42">
        <v>7</v>
      </c>
      <c r="G105" s="42">
        <v>2</v>
      </c>
      <c r="H105" s="38">
        <f t="shared" si="5"/>
        <v>0.2857142857142857</v>
      </c>
    </row>
    <row r="106" spans="1:8" x14ac:dyDescent="0.25">
      <c r="A106" s="268">
        <v>43820</v>
      </c>
      <c r="B106" s="42" t="s">
        <v>258</v>
      </c>
      <c r="C106" s="42" t="s">
        <v>274</v>
      </c>
      <c r="D106" s="42">
        <v>20</v>
      </c>
      <c r="F106" s="42">
        <v>9</v>
      </c>
      <c r="G106" s="42">
        <v>5</v>
      </c>
      <c r="H106" s="38">
        <f t="shared" si="5"/>
        <v>0.55555555555555558</v>
      </c>
    </row>
    <row r="107" spans="1:8" x14ac:dyDescent="0.25">
      <c r="A107" s="268">
        <v>43827</v>
      </c>
      <c r="B107" s="42" t="s">
        <v>284</v>
      </c>
      <c r="C107" s="42" t="s">
        <v>258</v>
      </c>
      <c r="D107" s="42">
        <v>20</v>
      </c>
      <c r="F107" s="42">
        <v>9</v>
      </c>
      <c r="G107" s="42">
        <v>3</v>
      </c>
      <c r="H107" s="38">
        <f t="shared" si="5"/>
        <v>0.33333333333333331</v>
      </c>
    </row>
    <row r="108" spans="1:8" x14ac:dyDescent="0.25">
      <c r="A108" s="268">
        <v>43837</v>
      </c>
      <c r="B108" s="42" t="s">
        <v>428</v>
      </c>
      <c r="C108" s="42" t="s">
        <v>258</v>
      </c>
      <c r="D108" s="42">
        <v>21</v>
      </c>
      <c r="F108" s="42">
        <v>9</v>
      </c>
      <c r="G108" s="42">
        <v>4</v>
      </c>
      <c r="H108" s="38">
        <f t="shared" si="5"/>
        <v>0.44444444444444442</v>
      </c>
    </row>
    <row r="109" spans="1:8" x14ac:dyDescent="0.25">
      <c r="A109" s="268">
        <v>43841</v>
      </c>
      <c r="B109" s="42" t="s">
        <v>289</v>
      </c>
      <c r="C109" s="42" t="s">
        <v>258</v>
      </c>
      <c r="D109" s="42">
        <v>21</v>
      </c>
      <c r="F109" s="42">
        <v>8</v>
      </c>
      <c r="G109" s="42">
        <v>3</v>
      </c>
      <c r="H109" s="38">
        <f t="shared" si="5"/>
        <v>0.375</v>
      </c>
    </row>
    <row r="110" spans="1:8" x14ac:dyDescent="0.25">
      <c r="A110" s="268">
        <v>43841</v>
      </c>
      <c r="B110" s="42" t="s">
        <v>695</v>
      </c>
      <c r="C110" s="42" t="s">
        <v>258</v>
      </c>
      <c r="D110" s="42">
        <v>21</v>
      </c>
      <c r="F110" s="42">
        <v>9</v>
      </c>
      <c r="G110" s="42">
        <v>4</v>
      </c>
      <c r="H110" s="38">
        <f t="shared" si="5"/>
        <v>0.44444444444444442</v>
      </c>
    </row>
    <row r="111" spans="1:8" x14ac:dyDescent="0.25">
      <c r="A111" s="268">
        <v>43848</v>
      </c>
      <c r="B111" s="42" t="s">
        <v>258</v>
      </c>
      <c r="C111" s="42" t="s">
        <v>272</v>
      </c>
      <c r="D111" s="42">
        <v>20</v>
      </c>
      <c r="F111" s="42">
        <v>7</v>
      </c>
      <c r="G111" s="42">
        <v>2</v>
      </c>
      <c r="H111" s="38">
        <f t="shared" si="5"/>
        <v>0.2857142857142857</v>
      </c>
    </row>
    <row r="112" spans="1:8" x14ac:dyDescent="0.25">
      <c r="A112" s="268">
        <v>43854</v>
      </c>
      <c r="B112" s="42" t="s">
        <v>696</v>
      </c>
      <c r="C112" s="42" t="s">
        <v>258</v>
      </c>
      <c r="D112" s="42">
        <v>21</v>
      </c>
      <c r="F112" s="42">
        <v>6</v>
      </c>
      <c r="G112" s="42">
        <v>2</v>
      </c>
      <c r="H112" s="38">
        <f t="shared" si="5"/>
        <v>0.33333333333333331</v>
      </c>
    </row>
    <row r="113" spans="1:8" x14ac:dyDescent="0.25">
      <c r="A113" s="268">
        <v>43855</v>
      </c>
      <c r="B113" s="42" t="s">
        <v>264</v>
      </c>
      <c r="C113" s="42" t="s">
        <v>258</v>
      </c>
      <c r="D113" s="42">
        <v>20</v>
      </c>
      <c r="F113" s="42">
        <v>7</v>
      </c>
      <c r="G113" s="42">
        <v>3</v>
      </c>
      <c r="H113" s="38">
        <f t="shared" si="5"/>
        <v>0.42857142857142855</v>
      </c>
    </row>
    <row r="114" spans="1:8" x14ac:dyDescent="0.25">
      <c r="A114" s="268">
        <v>43862</v>
      </c>
      <c r="B114" s="42" t="s">
        <v>697</v>
      </c>
      <c r="C114" s="42" t="s">
        <v>258</v>
      </c>
      <c r="D114" s="42">
        <v>21</v>
      </c>
      <c r="F114" s="42">
        <v>11</v>
      </c>
      <c r="G114" s="42">
        <v>4</v>
      </c>
      <c r="H114" s="38">
        <f t="shared" si="5"/>
        <v>0.36363636363636365</v>
      </c>
    </row>
    <row r="115" spans="1:8" x14ac:dyDescent="0.25">
      <c r="A115" s="268">
        <v>43880</v>
      </c>
      <c r="B115" s="42" t="s">
        <v>698</v>
      </c>
      <c r="C115" s="42" t="s">
        <v>258</v>
      </c>
      <c r="D115" s="42">
        <v>21</v>
      </c>
      <c r="F115" s="42">
        <v>10</v>
      </c>
      <c r="G115" s="42">
        <v>6</v>
      </c>
      <c r="H115" s="38">
        <f t="shared" si="5"/>
        <v>0.6</v>
      </c>
    </row>
    <row r="116" spans="1:8" x14ac:dyDescent="0.25">
      <c r="A116" s="268">
        <v>43883</v>
      </c>
      <c r="B116" s="42" t="s">
        <v>699</v>
      </c>
      <c r="C116" s="42" t="s">
        <v>258</v>
      </c>
      <c r="D116" s="42">
        <v>23</v>
      </c>
      <c r="F116" s="42">
        <v>10</v>
      </c>
      <c r="G116" s="42">
        <v>4</v>
      </c>
      <c r="H116" s="38">
        <f t="shared" si="5"/>
        <v>0.4</v>
      </c>
    </row>
    <row r="117" spans="1:8" x14ac:dyDescent="0.25">
      <c r="A117" s="268">
        <v>43887</v>
      </c>
      <c r="B117" s="42" t="s">
        <v>700</v>
      </c>
      <c r="C117" s="42" t="s">
        <v>258</v>
      </c>
      <c r="D117" s="42">
        <v>22</v>
      </c>
      <c r="F117" s="42">
        <v>6</v>
      </c>
      <c r="G117" s="42">
        <v>2</v>
      </c>
      <c r="H117" s="38">
        <f t="shared" si="5"/>
        <v>0.33333333333333331</v>
      </c>
    </row>
    <row r="118" spans="1:8" x14ac:dyDescent="0.25">
      <c r="A118" s="268">
        <v>43890</v>
      </c>
      <c r="B118" s="42" t="s">
        <v>701</v>
      </c>
      <c r="C118" s="42" t="s">
        <v>258</v>
      </c>
      <c r="D118" s="42">
        <v>23</v>
      </c>
      <c r="F118" s="42">
        <v>8</v>
      </c>
      <c r="G118" s="42">
        <v>2</v>
      </c>
      <c r="H118" s="38">
        <f t="shared" si="5"/>
        <v>0.25</v>
      </c>
    </row>
    <row r="119" spans="1:8" x14ac:dyDescent="0.25">
      <c r="A119" s="268">
        <v>43897</v>
      </c>
      <c r="B119" s="42" t="s">
        <v>258</v>
      </c>
      <c r="C119" s="42" t="s">
        <v>702</v>
      </c>
      <c r="D119" s="42">
        <v>21</v>
      </c>
      <c r="F119" s="42">
        <v>6</v>
      </c>
      <c r="G119" s="42">
        <v>4</v>
      </c>
      <c r="H119" s="38">
        <f t="shared" si="5"/>
        <v>0.66666666666666663</v>
      </c>
    </row>
    <row r="120" spans="1:8" x14ac:dyDescent="0.25">
      <c r="A120" s="268">
        <v>43901</v>
      </c>
      <c r="B120" s="42" t="s">
        <v>703</v>
      </c>
      <c r="C120" s="42" t="s">
        <v>258</v>
      </c>
      <c r="D120" s="42">
        <v>20</v>
      </c>
      <c r="F120" s="42">
        <v>9</v>
      </c>
      <c r="G120" s="42">
        <v>4</v>
      </c>
      <c r="H120" s="38">
        <f t="shared" si="5"/>
        <v>0.44444444444444442</v>
      </c>
    </row>
    <row r="121" spans="1:8" x14ac:dyDescent="0.25">
      <c r="A121" s="268">
        <v>43904</v>
      </c>
      <c r="B121" s="42" t="s">
        <v>704</v>
      </c>
      <c r="C121" s="42" t="s">
        <v>258</v>
      </c>
      <c r="D121" s="42">
        <v>21</v>
      </c>
      <c r="F121" s="42">
        <v>9</v>
      </c>
      <c r="G121" s="42">
        <v>5</v>
      </c>
      <c r="H121" s="38">
        <f t="shared" si="5"/>
        <v>0.55555555555555558</v>
      </c>
    </row>
    <row r="122" spans="1:8" x14ac:dyDescent="0.25">
      <c r="A122" s="268">
        <v>43908</v>
      </c>
      <c r="B122" s="42" t="s">
        <v>258</v>
      </c>
      <c r="C122" s="42" t="s">
        <v>705</v>
      </c>
      <c r="D122" s="42">
        <v>21</v>
      </c>
      <c r="F122" s="42">
        <v>8</v>
      </c>
      <c r="G122" s="42">
        <v>2</v>
      </c>
      <c r="H122" s="38">
        <f t="shared" si="5"/>
        <v>0.25</v>
      </c>
    </row>
    <row r="123" spans="1:8" x14ac:dyDescent="0.25">
      <c r="A123" s="268">
        <v>43910</v>
      </c>
      <c r="B123" s="42" t="s">
        <v>258</v>
      </c>
      <c r="C123" s="42" t="s">
        <v>706</v>
      </c>
      <c r="D123" s="42">
        <v>21</v>
      </c>
      <c r="F123" s="42">
        <v>10</v>
      </c>
      <c r="G123" s="42">
        <v>7</v>
      </c>
      <c r="H123" s="38">
        <f t="shared" si="5"/>
        <v>0.7</v>
      </c>
    </row>
    <row r="124" spans="1:8" x14ac:dyDescent="0.25">
      <c r="A124" s="268">
        <v>43911</v>
      </c>
      <c r="B124" s="42" t="s">
        <v>258</v>
      </c>
      <c r="C124" s="42" t="s">
        <v>707</v>
      </c>
      <c r="D124" s="42">
        <v>22</v>
      </c>
      <c r="F124" s="42">
        <v>8</v>
      </c>
      <c r="G124" s="42">
        <v>3</v>
      </c>
      <c r="H124" s="38">
        <f t="shared" si="5"/>
        <v>0.375</v>
      </c>
    </row>
    <row r="125" spans="1:8" x14ac:dyDescent="0.25">
      <c r="A125" s="268">
        <v>43911</v>
      </c>
      <c r="B125" s="42" t="s">
        <v>258</v>
      </c>
      <c r="C125" s="42" t="s">
        <v>708</v>
      </c>
      <c r="D125" s="42">
        <v>22</v>
      </c>
      <c r="F125" s="42">
        <v>9</v>
      </c>
      <c r="G125" s="42">
        <v>3</v>
      </c>
      <c r="H125" s="38">
        <f t="shared" si="5"/>
        <v>0.33333333333333331</v>
      </c>
    </row>
    <row r="126" spans="1:8" x14ac:dyDescent="0.25">
      <c r="A126" s="268">
        <v>43913</v>
      </c>
      <c r="B126" s="42" t="s">
        <v>258</v>
      </c>
      <c r="C126" s="42" t="s">
        <v>709</v>
      </c>
      <c r="D126" s="42">
        <v>21</v>
      </c>
      <c r="F126" s="42">
        <v>10</v>
      </c>
      <c r="G126" s="42">
        <v>5</v>
      </c>
      <c r="H126" s="38">
        <f t="shared" si="5"/>
        <v>0.5</v>
      </c>
    </row>
    <row r="127" spans="1:8" x14ac:dyDescent="0.25">
      <c r="A127" s="268">
        <v>43915</v>
      </c>
      <c r="B127" s="42" t="s">
        <v>710</v>
      </c>
      <c r="C127" s="42" t="s">
        <v>258</v>
      </c>
      <c r="D127" s="42">
        <v>21</v>
      </c>
      <c r="F127" s="42">
        <v>9</v>
      </c>
      <c r="G127" s="42">
        <v>3</v>
      </c>
      <c r="H127" s="38">
        <f t="shared" si="5"/>
        <v>0.33333333333333331</v>
      </c>
    </row>
    <row r="128" spans="1:8" x14ac:dyDescent="0.25">
      <c r="A128" s="268">
        <v>43916</v>
      </c>
      <c r="B128" s="42" t="s">
        <v>258</v>
      </c>
      <c r="C128" s="42" t="s">
        <v>711</v>
      </c>
      <c r="D128" s="42">
        <v>21</v>
      </c>
      <c r="F128" s="42">
        <v>10</v>
      </c>
      <c r="G128" s="42">
        <v>3</v>
      </c>
      <c r="H128" s="38">
        <f t="shared" si="5"/>
        <v>0.3</v>
      </c>
    </row>
    <row r="129" spans="1:8" x14ac:dyDescent="0.25">
      <c r="A129" s="268">
        <v>43916</v>
      </c>
      <c r="B129" s="42" t="s">
        <v>258</v>
      </c>
      <c r="C129" s="42" t="s">
        <v>712</v>
      </c>
      <c r="D129" s="42">
        <v>21</v>
      </c>
      <c r="F129" s="42">
        <v>11</v>
      </c>
      <c r="G129" s="42">
        <v>4</v>
      </c>
      <c r="H129" s="38">
        <f t="shared" si="5"/>
        <v>0.36363636363636365</v>
      </c>
    </row>
    <row r="130" spans="1:8" x14ac:dyDescent="0.25">
      <c r="A130" s="268">
        <v>43918</v>
      </c>
      <c r="B130" s="42" t="s">
        <v>713</v>
      </c>
      <c r="C130" s="42" t="s">
        <v>258</v>
      </c>
      <c r="D130" s="42">
        <v>22</v>
      </c>
      <c r="F130" s="42">
        <v>8</v>
      </c>
      <c r="G130" s="42">
        <v>2</v>
      </c>
      <c r="H130" s="38">
        <f t="shared" si="5"/>
        <v>0.25</v>
      </c>
    </row>
    <row r="131" spans="1:8" x14ac:dyDescent="0.25">
      <c r="A131" s="268">
        <v>43925</v>
      </c>
      <c r="B131" s="42" t="s">
        <v>258</v>
      </c>
      <c r="C131" s="42" t="s">
        <v>713</v>
      </c>
      <c r="D131" s="42">
        <v>23</v>
      </c>
      <c r="F131" s="42">
        <v>9</v>
      </c>
      <c r="G131" s="42">
        <v>4</v>
      </c>
      <c r="H131" s="38">
        <f t="shared" si="5"/>
        <v>0.44444444444444442</v>
      </c>
    </row>
    <row r="132" spans="1:8" x14ac:dyDescent="0.25">
      <c r="A132" s="268">
        <v>43929</v>
      </c>
      <c r="B132" s="42" t="s">
        <v>714</v>
      </c>
      <c r="C132" s="42" t="s">
        <v>258</v>
      </c>
      <c r="D132" s="42">
        <v>23</v>
      </c>
      <c r="F132" s="42">
        <v>6</v>
      </c>
      <c r="G132" s="42">
        <v>4</v>
      </c>
      <c r="H132" s="38">
        <f t="shared" si="5"/>
        <v>0.66666666666666663</v>
      </c>
    </row>
    <row r="133" spans="1:8" x14ac:dyDescent="0.25">
      <c r="A133" s="268">
        <v>43932</v>
      </c>
      <c r="B133" s="42" t="s">
        <v>707</v>
      </c>
      <c r="C133" s="42" t="s">
        <v>258</v>
      </c>
      <c r="D133" s="42">
        <v>23</v>
      </c>
      <c r="F133" s="42">
        <v>8</v>
      </c>
      <c r="G133" s="42">
        <v>5</v>
      </c>
      <c r="H133" s="38">
        <f t="shared" si="5"/>
        <v>0.625</v>
      </c>
    </row>
    <row r="134" spans="1:8" x14ac:dyDescent="0.25">
      <c r="A134" s="268">
        <v>43939</v>
      </c>
      <c r="B134" s="42" t="s">
        <v>258</v>
      </c>
      <c r="C134" s="42" t="s">
        <v>715</v>
      </c>
      <c r="D134" s="42">
        <v>22</v>
      </c>
      <c r="F134" s="42">
        <v>7</v>
      </c>
      <c r="G134" s="42">
        <v>2</v>
      </c>
      <c r="H134" s="38">
        <f t="shared" si="5"/>
        <v>0.2857142857142857</v>
      </c>
    </row>
    <row r="135" spans="1:8" x14ac:dyDescent="0.25">
      <c r="A135" s="268">
        <v>43943</v>
      </c>
      <c r="B135" s="42" t="s">
        <v>716</v>
      </c>
      <c r="C135" s="42" t="s">
        <v>258</v>
      </c>
      <c r="D135" s="42">
        <v>22</v>
      </c>
      <c r="F135" s="42">
        <v>9</v>
      </c>
      <c r="G135" s="42">
        <v>4</v>
      </c>
      <c r="H135" s="38">
        <f t="shared" si="5"/>
        <v>0.44444444444444442</v>
      </c>
    </row>
    <row r="136" spans="1:8" x14ac:dyDescent="0.25">
      <c r="A136" s="268">
        <v>43946</v>
      </c>
      <c r="B136" s="42" t="s">
        <v>702</v>
      </c>
      <c r="C136" s="42" t="s">
        <v>258</v>
      </c>
      <c r="D136" s="42">
        <v>24</v>
      </c>
      <c r="F136" s="42">
        <v>9</v>
      </c>
      <c r="G136" s="42">
        <v>4</v>
      </c>
      <c r="H136" s="38">
        <f t="shared" si="5"/>
        <v>0.44444444444444442</v>
      </c>
    </row>
    <row r="137" spans="1:8" x14ac:dyDescent="0.25">
      <c r="A137" s="268">
        <v>43949</v>
      </c>
      <c r="B137" s="42" t="s">
        <v>716</v>
      </c>
      <c r="C137" s="42" t="s">
        <v>258</v>
      </c>
      <c r="D137" s="42">
        <v>24</v>
      </c>
      <c r="F137" s="42">
        <v>9</v>
      </c>
      <c r="G137" s="42">
        <v>5</v>
      </c>
      <c r="H137" s="38">
        <f t="shared" si="5"/>
        <v>0.55555555555555558</v>
      </c>
    </row>
    <row r="138" spans="1:8" x14ac:dyDescent="0.25">
      <c r="A138" s="268">
        <v>43953</v>
      </c>
      <c r="B138" s="42" t="s">
        <v>258</v>
      </c>
      <c r="C138" s="42" t="s">
        <v>701</v>
      </c>
      <c r="D138" s="42">
        <v>23</v>
      </c>
      <c r="F138" s="42">
        <v>8</v>
      </c>
      <c r="G138" s="42">
        <v>4</v>
      </c>
      <c r="H138" s="38">
        <f t="shared" si="5"/>
        <v>0.5</v>
      </c>
    </row>
    <row r="139" spans="1:8" x14ac:dyDescent="0.25">
      <c r="A139" s="268">
        <v>43960</v>
      </c>
      <c r="B139" s="42" t="s">
        <v>258</v>
      </c>
      <c r="C139" s="42" t="s">
        <v>699</v>
      </c>
      <c r="D139" s="42">
        <v>24</v>
      </c>
      <c r="F139" s="42">
        <v>7</v>
      </c>
      <c r="G139" s="42">
        <v>4</v>
      </c>
      <c r="H139" s="38">
        <f t="shared" si="5"/>
        <v>0.5714285714285714</v>
      </c>
    </row>
    <row r="140" spans="1:8" x14ac:dyDescent="0.25">
      <c r="A140" s="268">
        <v>43967</v>
      </c>
      <c r="B140" s="42" t="s">
        <v>717</v>
      </c>
      <c r="C140" s="42" t="s">
        <v>258</v>
      </c>
      <c r="D140" s="42">
        <v>21</v>
      </c>
      <c r="F140" s="42">
        <v>9</v>
      </c>
      <c r="G140" s="42">
        <v>4</v>
      </c>
      <c r="H140" s="38">
        <f t="shared" si="5"/>
        <v>0.44444444444444442</v>
      </c>
    </row>
    <row r="141" spans="1:8" x14ac:dyDescent="0.25">
      <c r="A141" s="268">
        <v>43969</v>
      </c>
      <c r="B141" s="42" t="s">
        <v>258</v>
      </c>
      <c r="C141" s="42" t="s">
        <v>718</v>
      </c>
      <c r="D141" s="42">
        <v>23</v>
      </c>
      <c r="F141" s="42">
        <v>9</v>
      </c>
      <c r="G141" s="42">
        <v>4</v>
      </c>
      <c r="H141" s="38">
        <f t="shared" si="5"/>
        <v>0.44444444444444442</v>
      </c>
    </row>
    <row r="142" spans="1:8" x14ac:dyDescent="0.25">
      <c r="A142" s="268">
        <v>43970</v>
      </c>
      <c r="B142" s="42" t="s">
        <v>719</v>
      </c>
      <c r="C142" s="42" t="s">
        <v>258</v>
      </c>
      <c r="D142" s="42">
        <v>23</v>
      </c>
      <c r="F142" s="42">
        <v>8</v>
      </c>
      <c r="G142" s="42">
        <v>5</v>
      </c>
      <c r="H142" s="38">
        <f t="shared" si="5"/>
        <v>0.625</v>
      </c>
    </row>
    <row r="143" spans="1:8" x14ac:dyDescent="0.25">
      <c r="A143" s="268">
        <v>43970</v>
      </c>
      <c r="B143" s="42" t="s">
        <v>720</v>
      </c>
      <c r="C143" s="42" t="s">
        <v>258</v>
      </c>
      <c r="D143" s="42">
        <v>21</v>
      </c>
      <c r="F143" s="42">
        <v>9</v>
      </c>
      <c r="G143" s="42">
        <v>5</v>
      </c>
      <c r="H143" s="38">
        <f t="shared" si="5"/>
        <v>0.55555555555555558</v>
      </c>
    </row>
    <row r="144" spans="1:8" x14ac:dyDescent="0.25">
      <c r="A144" s="268">
        <v>43971</v>
      </c>
      <c r="B144" s="42" t="s">
        <v>258</v>
      </c>
      <c r="C144" s="42" t="s">
        <v>721</v>
      </c>
      <c r="D144" s="42">
        <v>23</v>
      </c>
      <c r="F144" s="42">
        <v>9</v>
      </c>
      <c r="G144" s="42">
        <v>3</v>
      </c>
      <c r="H144" s="38">
        <f t="shared" si="5"/>
        <v>0.33333333333333331</v>
      </c>
    </row>
    <row r="145" spans="1:8" x14ac:dyDescent="0.25">
      <c r="A145" s="268">
        <v>43971</v>
      </c>
      <c r="B145" s="42" t="s">
        <v>722</v>
      </c>
      <c r="C145" s="42" t="s">
        <v>258</v>
      </c>
      <c r="D145" s="42">
        <v>22</v>
      </c>
      <c r="F145" s="42">
        <v>9</v>
      </c>
      <c r="G145" s="42">
        <v>2</v>
      </c>
      <c r="H145" s="38">
        <f t="shared" si="5"/>
        <v>0.22222222222222221</v>
      </c>
    </row>
    <row r="146" spans="1:8" x14ac:dyDescent="0.25">
      <c r="A146" s="268">
        <v>43972</v>
      </c>
      <c r="B146" s="42" t="s">
        <v>723</v>
      </c>
      <c r="C146" s="42" t="s">
        <v>258</v>
      </c>
      <c r="D146" s="42">
        <v>23</v>
      </c>
      <c r="F146" s="42">
        <v>8</v>
      </c>
      <c r="G146" s="42">
        <v>5</v>
      </c>
      <c r="H146" s="38">
        <f t="shared" si="5"/>
        <v>0.625</v>
      </c>
    </row>
    <row r="147" spans="1:8" x14ac:dyDescent="0.25">
      <c r="A147" s="268">
        <v>43972</v>
      </c>
      <c r="B147" s="42" t="s">
        <v>258</v>
      </c>
      <c r="C147" s="42" t="s">
        <v>724</v>
      </c>
      <c r="D147" s="42">
        <v>22</v>
      </c>
      <c r="F147" s="42">
        <v>5</v>
      </c>
      <c r="G147" s="42">
        <v>2</v>
      </c>
      <c r="H147" s="38">
        <f t="shared" si="5"/>
        <v>0.4</v>
      </c>
    </row>
    <row r="148" spans="1:8" x14ac:dyDescent="0.25">
      <c r="A148" s="268">
        <v>43972</v>
      </c>
      <c r="B148" s="42" t="s">
        <v>725</v>
      </c>
      <c r="C148" s="42" t="s">
        <v>258</v>
      </c>
      <c r="D148" s="42">
        <v>21</v>
      </c>
      <c r="F148" s="42">
        <v>5</v>
      </c>
      <c r="G148" s="42">
        <v>2</v>
      </c>
      <c r="H148" s="38">
        <f t="shared" si="5"/>
        <v>0.4</v>
      </c>
    </row>
    <row r="149" spans="1:8" x14ac:dyDescent="0.25">
      <c r="A149" s="268">
        <v>43973</v>
      </c>
      <c r="B149" s="42" t="s">
        <v>726</v>
      </c>
      <c r="C149" s="42" t="s">
        <v>258</v>
      </c>
      <c r="D149" s="42">
        <v>21</v>
      </c>
      <c r="F149" s="42">
        <v>10</v>
      </c>
      <c r="G149" s="42">
        <v>4</v>
      </c>
      <c r="H149" s="38">
        <f t="shared" si="5"/>
        <v>0.4</v>
      </c>
    </row>
    <row r="150" spans="1:8" x14ac:dyDescent="0.25">
      <c r="A150" s="268">
        <v>43976</v>
      </c>
      <c r="B150" s="42" t="s">
        <v>258</v>
      </c>
      <c r="C150" s="42" t="s">
        <v>727</v>
      </c>
      <c r="D150" s="42">
        <v>22</v>
      </c>
      <c r="F150" s="42">
        <v>6</v>
      </c>
      <c r="G150" s="42">
        <v>4</v>
      </c>
      <c r="H150" s="38">
        <f t="shared" si="5"/>
        <v>0.66666666666666663</v>
      </c>
    </row>
    <row r="151" spans="1:8" x14ac:dyDescent="0.25">
      <c r="A151" s="268">
        <v>43977</v>
      </c>
      <c r="B151" s="42" t="s">
        <v>258</v>
      </c>
      <c r="C151" s="42" t="s">
        <v>728</v>
      </c>
      <c r="D151" s="42">
        <v>23</v>
      </c>
      <c r="F151" s="42">
        <v>6</v>
      </c>
      <c r="G151" s="42">
        <v>4</v>
      </c>
      <c r="H151" s="38">
        <f t="shared" si="5"/>
        <v>0.66666666666666663</v>
      </c>
    </row>
    <row r="152" spans="1:8" x14ac:dyDescent="0.25">
      <c r="A152" s="268">
        <v>43977</v>
      </c>
      <c r="B152" s="42" t="s">
        <v>729</v>
      </c>
      <c r="C152" s="42" t="s">
        <v>258</v>
      </c>
      <c r="D152" s="42">
        <v>23</v>
      </c>
      <c r="F152" s="42">
        <v>8</v>
      </c>
      <c r="G152" s="42">
        <v>3</v>
      </c>
      <c r="H152" s="38">
        <f t="shared" si="5"/>
        <v>0.375</v>
      </c>
    </row>
    <row r="153" spans="1:8" x14ac:dyDescent="0.25">
      <c r="A153" s="268">
        <v>43977</v>
      </c>
      <c r="B153" s="42" t="s">
        <v>730</v>
      </c>
      <c r="C153" s="42" t="s">
        <v>258</v>
      </c>
      <c r="D153" s="42">
        <v>23</v>
      </c>
      <c r="F153" s="42">
        <v>6</v>
      </c>
      <c r="G153" s="42">
        <v>2</v>
      </c>
      <c r="H153" s="38">
        <f t="shared" si="5"/>
        <v>0.33333333333333331</v>
      </c>
    </row>
    <row r="154" spans="1:8" x14ac:dyDescent="0.25">
      <c r="A154" s="268">
        <v>43978</v>
      </c>
      <c r="B154" s="42" t="s">
        <v>258</v>
      </c>
      <c r="C154" s="42" t="s">
        <v>731</v>
      </c>
      <c r="D154" s="42">
        <v>23</v>
      </c>
      <c r="F154" s="42">
        <v>7</v>
      </c>
      <c r="G154" s="42">
        <v>3</v>
      </c>
      <c r="H154" s="38">
        <f t="shared" si="5"/>
        <v>0.42857142857142855</v>
      </c>
    </row>
    <row r="155" spans="1:8" x14ac:dyDescent="0.25">
      <c r="A155" s="268">
        <v>43978</v>
      </c>
      <c r="B155" s="42" t="s">
        <v>732</v>
      </c>
      <c r="C155" s="42" t="s">
        <v>258</v>
      </c>
      <c r="D155" s="42">
        <v>23</v>
      </c>
      <c r="F155" s="42">
        <v>7</v>
      </c>
      <c r="G155" s="42">
        <v>3</v>
      </c>
      <c r="H155" s="38">
        <f t="shared" si="5"/>
        <v>0.42857142857142855</v>
      </c>
    </row>
    <row r="156" spans="1:8" x14ac:dyDescent="0.25">
      <c r="A156" s="268">
        <v>43978</v>
      </c>
      <c r="B156" s="42" t="s">
        <v>258</v>
      </c>
      <c r="C156" s="42" t="s">
        <v>733</v>
      </c>
      <c r="D156" s="42">
        <v>24</v>
      </c>
      <c r="F156" s="42">
        <v>9</v>
      </c>
      <c r="G156" s="42">
        <v>4</v>
      </c>
      <c r="H156" s="38">
        <f t="shared" si="5"/>
        <v>0.44444444444444442</v>
      </c>
    </row>
    <row r="157" spans="1:8" x14ac:dyDescent="0.25">
      <c r="A157" s="268">
        <v>43979</v>
      </c>
      <c r="B157" s="42" t="s">
        <v>258</v>
      </c>
      <c r="C157" s="42" t="s">
        <v>734</v>
      </c>
      <c r="D157" s="42">
        <v>23</v>
      </c>
      <c r="F157" s="42">
        <v>7</v>
      </c>
      <c r="G157" s="42">
        <v>4</v>
      </c>
      <c r="H157" s="38">
        <f t="shared" si="5"/>
        <v>0.5714285714285714</v>
      </c>
    </row>
    <row r="158" spans="1:8" x14ac:dyDescent="0.25">
      <c r="A158" s="268">
        <v>43979</v>
      </c>
      <c r="B158" s="42" t="s">
        <v>258</v>
      </c>
      <c r="C158" s="42" t="s">
        <v>735</v>
      </c>
      <c r="D158" s="42">
        <v>23</v>
      </c>
      <c r="F158" s="42">
        <v>8</v>
      </c>
      <c r="G158" s="42">
        <v>3</v>
      </c>
      <c r="H158" s="38">
        <f t="shared" si="5"/>
        <v>0.375</v>
      </c>
    </row>
    <row r="159" spans="1:8" x14ac:dyDescent="0.25">
      <c r="A159" s="268">
        <v>43979</v>
      </c>
      <c r="B159" s="42" t="s">
        <v>736</v>
      </c>
      <c r="C159" s="42" t="s">
        <v>258</v>
      </c>
      <c r="D159" s="42">
        <v>24</v>
      </c>
      <c r="F159" s="42">
        <v>8</v>
      </c>
      <c r="G159" s="42">
        <v>3</v>
      </c>
      <c r="H159" s="38">
        <f t="shared" si="5"/>
        <v>0.375</v>
      </c>
    </row>
    <row r="160" spans="1:8" x14ac:dyDescent="0.25">
      <c r="A160" s="268">
        <v>43988</v>
      </c>
      <c r="B160" s="42" t="s">
        <v>713</v>
      </c>
      <c r="C160" s="42" t="s">
        <v>258</v>
      </c>
      <c r="D160" s="42">
        <v>23</v>
      </c>
      <c r="F160" s="42">
        <v>7</v>
      </c>
      <c r="G160" s="42">
        <v>3</v>
      </c>
      <c r="H160" s="38">
        <f t="shared" si="5"/>
        <v>0.42857142857142855</v>
      </c>
    </row>
    <row r="161" spans="1:8" x14ac:dyDescent="0.25">
      <c r="A161" s="268">
        <v>43992</v>
      </c>
      <c r="B161" s="42" t="s">
        <v>738</v>
      </c>
      <c r="C161" s="42" t="s">
        <v>258</v>
      </c>
      <c r="D161" s="42">
        <v>17</v>
      </c>
      <c r="F161" s="42">
        <v>5</v>
      </c>
      <c r="G161" s="42">
        <v>1</v>
      </c>
      <c r="H161" s="38">
        <f t="shared" si="5"/>
        <v>0.2</v>
      </c>
    </row>
    <row r="162" spans="1:8" x14ac:dyDescent="0.25">
      <c r="A162" s="268">
        <v>43995</v>
      </c>
      <c r="C162" s="42" t="s">
        <v>739</v>
      </c>
      <c r="D162" s="42">
        <v>22</v>
      </c>
      <c r="F162" s="42">
        <v>7</v>
      </c>
      <c r="G162" s="42">
        <v>3</v>
      </c>
      <c r="H162" s="38">
        <f t="shared" si="5"/>
        <v>0.42857142857142855</v>
      </c>
    </row>
    <row r="163" spans="1:8" x14ac:dyDescent="0.25">
      <c r="A163" s="268">
        <v>43999</v>
      </c>
      <c r="B163" s="42" t="s">
        <v>740</v>
      </c>
      <c r="D163" s="42">
        <v>21</v>
      </c>
      <c r="F163" s="42">
        <v>5</v>
      </c>
      <c r="G163" s="42">
        <v>2</v>
      </c>
      <c r="H163" s="38">
        <f t="shared" si="5"/>
        <v>0.4</v>
      </c>
    </row>
    <row r="164" spans="1:8" x14ac:dyDescent="0.25">
      <c r="A164" s="268">
        <v>44002</v>
      </c>
      <c r="B164" s="42" t="s">
        <v>704</v>
      </c>
      <c r="D164" s="42">
        <v>23</v>
      </c>
      <c r="F164" s="42">
        <v>9</v>
      </c>
      <c r="G164" s="42">
        <v>4</v>
      </c>
      <c r="H164" s="38">
        <f t="shared" si="5"/>
        <v>0.44444444444444442</v>
      </c>
    </row>
    <row r="165" spans="1:8" x14ac:dyDescent="0.25">
      <c r="A165" s="268">
        <v>44006</v>
      </c>
      <c r="B165" s="42" t="s">
        <v>741</v>
      </c>
      <c r="D165" s="42">
        <v>22</v>
      </c>
      <c r="F165" s="42">
        <v>9</v>
      </c>
      <c r="G165" s="42">
        <v>5</v>
      </c>
      <c r="H165" s="38">
        <f t="shared" si="5"/>
        <v>0.55555555555555558</v>
      </c>
    </row>
    <row r="166" spans="1:8" x14ac:dyDescent="0.25">
      <c r="A166" s="268">
        <v>44007</v>
      </c>
      <c r="B166" s="42" t="s">
        <v>742</v>
      </c>
      <c r="D166" s="42">
        <v>23</v>
      </c>
      <c r="F166" s="42">
        <v>8</v>
      </c>
      <c r="G166" s="42">
        <v>5</v>
      </c>
      <c r="H166" s="38">
        <f t="shared" si="5"/>
        <v>0.625</v>
      </c>
    </row>
    <row r="167" spans="1:8" x14ac:dyDescent="0.25">
      <c r="A167" s="268">
        <v>44008</v>
      </c>
      <c r="B167" s="42" t="s">
        <v>743</v>
      </c>
      <c r="D167" s="42">
        <v>24</v>
      </c>
      <c r="F167" s="42">
        <v>7</v>
      </c>
      <c r="G167" s="42">
        <v>3</v>
      </c>
      <c r="H167" s="38">
        <f t="shared" si="5"/>
        <v>0.42857142857142855</v>
      </c>
    </row>
    <row r="168" spans="1:8" x14ac:dyDescent="0.25">
      <c r="A168" s="268">
        <v>44010</v>
      </c>
      <c r="C168" s="42" t="s">
        <v>744</v>
      </c>
      <c r="D168" s="42">
        <v>24</v>
      </c>
      <c r="F168" s="42">
        <v>7</v>
      </c>
      <c r="G168" s="42">
        <v>2</v>
      </c>
      <c r="H168" s="38">
        <f t="shared" si="5"/>
        <v>0.2857142857142857</v>
      </c>
    </row>
    <row r="169" spans="1:8" x14ac:dyDescent="0.25">
      <c r="A169" s="268">
        <v>44012</v>
      </c>
      <c r="B169" s="42" t="s">
        <v>745</v>
      </c>
      <c r="D169" s="42">
        <v>24</v>
      </c>
      <c r="F169" s="42">
        <v>7</v>
      </c>
      <c r="G169" s="42">
        <v>4</v>
      </c>
      <c r="H169" s="38">
        <f t="shared" si="5"/>
        <v>0.5714285714285714</v>
      </c>
    </row>
    <row r="170" spans="1:8" x14ac:dyDescent="0.25">
      <c r="A170" s="268">
        <v>44013</v>
      </c>
      <c r="B170" s="42" t="s">
        <v>746</v>
      </c>
      <c r="D170" s="42">
        <v>23</v>
      </c>
      <c r="F170" s="42">
        <v>7</v>
      </c>
      <c r="G170" s="42">
        <v>2</v>
      </c>
      <c r="H170" s="38">
        <f t="shared" si="5"/>
        <v>0.2857142857142857</v>
      </c>
    </row>
    <row r="171" spans="1:8" x14ac:dyDescent="0.25">
      <c r="A171" s="268">
        <v>44014</v>
      </c>
      <c r="C171" s="42" t="s">
        <v>747</v>
      </c>
      <c r="D171" s="42">
        <v>24</v>
      </c>
      <c r="F171" s="42">
        <v>9</v>
      </c>
      <c r="G171" s="42">
        <v>6</v>
      </c>
      <c r="H171" s="38">
        <f t="shared" si="5"/>
        <v>0.66666666666666663</v>
      </c>
    </row>
    <row r="172" spans="1:8" x14ac:dyDescent="0.25">
      <c r="A172" s="268">
        <v>44015</v>
      </c>
      <c r="B172" s="42" t="s">
        <v>748</v>
      </c>
      <c r="D172" s="42">
        <v>24</v>
      </c>
      <c r="F172" s="42">
        <v>7</v>
      </c>
      <c r="G172" s="42">
        <v>2</v>
      </c>
      <c r="H172" s="38">
        <f t="shared" si="5"/>
        <v>0.2857142857142857</v>
      </c>
    </row>
    <row r="173" spans="1:8" x14ac:dyDescent="0.25">
      <c r="A173" s="268">
        <v>44017</v>
      </c>
      <c r="B173" s="42" t="s">
        <v>749</v>
      </c>
      <c r="D173" s="42">
        <v>24</v>
      </c>
      <c r="F173" s="42">
        <v>9</v>
      </c>
      <c r="G173" s="42">
        <v>5</v>
      </c>
      <c r="H173" s="38">
        <f t="shared" si="5"/>
        <v>0.55555555555555558</v>
      </c>
    </row>
    <row r="174" spans="1:8" x14ac:dyDescent="0.25">
      <c r="A174" s="268">
        <v>44019</v>
      </c>
      <c r="C174" s="42" t="s">
        <v>750</v>
      </c>
      <c r="D174" s="42">
        <v>24</v>
      </c>
      <c r="F174" s="42">
        <v>9</v>
      </c>
      <c r="G174" s="42">
        <v>5</v>
      </c>
      <c r="H174" s="38">
        <f t="shared" si="5"/>
        <v>0.55555555555555558</v>
      </c>
    </row>
    <row r="175" spans="1:8" x14ac:dyDescent="0.25">
      <c r="A175" s="268">
        <v>44020</v>
      </c>
      <c r="B175" s="42" t="s">
        <v>751</v>
      </c>
      <c r="D175" s="42">
        <v>23</v>
      </c>
      <c r="F175" s="42">
        <v>8</v>
      </c>
      <c r="G175" s="42">
        <v>2</v>
      </c>
      <c r="H175" s="38">
        <f t="shared" si="5"/>
        <v>0.25</v>
      </c>
    </row>
    <row r="176" spans="1:8" x14ac:dyDescent="0.25">
      <c r="A176" s="268">
        <v>44023</v>
      </c>
      <c r="B176" s="42" t="s">
        <v>752</v>
      </c>
      <c r="D176" s="42">
        <v>24</v>
      </c>
      <c r="F176" s="42">
        <v>8</v>
      </c>
      <c r="G176" s="42">
        <v>5</v>
      </c>
      <c r="H176" s="38">
        <f t="shared" si="5"/>
        <v>0.625</v>
      </c>
    </row>
    <row r="177" spans="1:8" x14ac:dyDescent="0.25">
      <c r="A177" s="268">
        <v>44026</v>
      </c>
      <c r="B177" s="42" t="s">
        <v>753</v>
      </c>
      <c r="D177" s="42">
        <v>24</v>
      </c>
      <c r="F177" s="42">
        <v>9</v>
      </c>
      <c r="G177" s="42">
        <v>5</v>
      </c>
      <c r="H177" s="38">
        <f t="shared" si="5"/>
        <v>0.55555555555555558</v>
      </c>
    </row>
    <row r="178" spans="1:8" x14ac:dyDescent="0.25">
      <c r="A178" s="268">
        <v>44027</v>
      </c>
      <c r="B178" s="42" t="s">
        <v>754</v>
      </c>
      <c r="D178" s="42">
        <v>22</v>
      </c>
      <c r="F178" s="42">
        <v>9</v>
      </c>
      <c r="G178" s="42">
        <v>4</v>
      </c>
      <c r="H178" s="38">
        <f t="shared" si="5"/>
        <v>0.44444444444444442</v>
      </c>
    </row>
    <row r="179" spans="1:8" x14ac:dyDescent="0.25">
      <c r="A179" s="268">
        <v>44028</v>
      </c>
      <c r="C179" s="42" t="s">
        <v>755</v>
      </c>
      <c r="D179" s="42">
        <v>23</v>
      </c>
      <c r="F179" s="42">
        <v>9</v>
      </c>
      <c r="G179" s="42">
        <v>4</v>
      </c>
      <c r="H179" s="38">
        <f t="shared" si="5"/>
        <v>0.44444444444444442</v>
      </c>
    </row>
    <row r="180" spans="1:8" x14ac:dyDescent="0.25">
      <c r="A180" s="268">
        <v>44029</v>
      </c>
      <c r="B180" s="42" t="s">
        <v>756</v>
      </c>
      <c r="D180" s="42">
        <v>24</v>
      </c>
      <c r="F180" s="42">
        <v>8</v>
      </c>
      <c r="G180" s="42">
        <v>3</v>
      </c>
      <c r="H180" s="38">
        <f t="shared" si="5"/>
        <v>0.375</v>
      </c>
    </row>
    <row r="181" spans="1:8" x14ac:dyDescent="0.25">
      <c r="A181" s="268">
        <v>44030</v>
      </c>
      <c r="C181" s="42" t="s">
        <v>757</v>
      </c>
      <c r="D181" s="42">
        <v>23</v>
      </c>
      <c r="F181" s="42">
        <v>10</v>
      </c>
      <c r="G181" s="42">
        <v>4</v>
      </c>
      <c r="H181" s="38">
        <f t="shared" si="5"/>
        <v>0.4</v>
      </c>
    </row>
    <row r="182" spans="1:8" x14ac:dyDescent="0.25">
      <c r="A182" s="268">
        <v>44031</v>
      </c>
      <c r="B182" s="42" t="s">
        <v>758</v>
      </c>
      <c r="D182" s="42">
        <v>23</v>
      </c>
      <c r="F182" s="42">
        <v>8</v>
      </c>
      <c r="G182" s="42">
        <v>3</v>
      </c>
      <c r="H182" s="38">
        <f t="shared" si="5"/>
        <v>0.375</v>
      </c>
    </row>
    <row r="183" spans="1:8" x14ac:dyDescent="0.25">
      <c r="A183" s="268">
        <v>44033</v>
      </c>
      <c r="C183" s="42" t="s">
        <v>759</v>
      </c>
      <c r="D183" s="42">
        <v>24</v>
      </c>
      <c r="F183" s="42">
        <v>7</v>
      </c>
      <c r="G183" s="42">
        <v>3</v>
      </c>
      <c r="H183" s="38">
        <f t="shared" si="5"/>
        <v>0.42857142857142855</v>
      </c>
    </row>
    <row r="184" spans="1:8" x14ac:dyDescent="0.25">
      <c r="A184" s="268">
        <v>44034</v>
      </c>
      <c r="C184" s="42" t="s">
        <v>760</v>
      </c>
      <c r="D184" s="42">
        <v>23</v>
      </c>
      <c r="F184" s="42">
        <v>3</v>
      </c>
      <c r="G184" s="42">
        <v>2</v>
      </c>
      <c r="H184" s="38">
        <f t="shared" si="5"/>
        <v>0.66666666666666663</v>
      </c>
    </row>
    <row r="185" spans="1:8" x14ac:dyDescent="0.25">
      <c r="A185" s="268">
        <v>44035</v>
      </c>
      <c r="C185" s="42" t="s">
        <v>761</v>
      </c>
      <c r="D185" s="42">
        <v>23</v>
      </c>
      <c r="F185" s="42">
        <v>7</v>
      </c>
      <c r="G185" s="42">
        <v>4</v>
      </c>
      <c r="H185" s="38">
        <f t="shared" si="5"/>
        <v>0.5714285714285714</v>
      </c>
    </row>
    <row r="186" spans="1:8" x14ac:dyDescent="0.25">
      <c r="A186" s="268"/>
      <c r="H186" s="38"/>
    </row>
    <row r="187" spans="1:8" x14ac:dyDescent="0.25">
      <c r="A187" s="268"/>
      <c r="H187" s="38"/>
    </row>
    <row r="188" spans="1:8" x14ac:dyDescent="0.25">
      <c r="A188" s="268"/>
      <c r="H188" s="38"/>
    </row>
    <row r="189" spans="1:8" x14ac:dyDescent="0.25">
      <c r="A189" s="268"/>
      <c r="H189" s="38"/>
    </row>
    <row r="190" spans="1:8" x14ac:dyDescent="0.25">
      <c r="A190" s="268"/>
      <c r="H190" s="38"/>
    </row>
    <row r="191" spans="1:8" x14ac:dyDescent="0.25">
      <c r="A191" s="268"/>
      <c r="H191" s="38"/>
    </row>
    <row r="192" spans="1:8" x14ac:dyDescent="0.25">
      <c r="A192" s="268"/>
    </row>
    <row r="193" spans="1:1" x14ac:dyDescent="0.25">
      <c r="A193" s="268"/>
    </row>
    <row r="194" spans="1:1" x14ac:dyDescent="0.25">
      <c r="A194" s="268"/>
    </row>
    <row r="195" spans="1:1" x14ac:dyDescent="0.25">
      <c r="A195" s="268"/>
    </row>
    <row r="196" spans="1:1" x14ac:dyDescent="0.25">
      <c r="A196" s="268"/>
    </row>
    <row r="197" spans="1:1" x14ac:dyDescent="0.25">
      <c r="A197" s="268"/>
    </row>
    <row r="198" spans="1:1" x14ac:dyDescent="0.25">
      <c r="A198" s="268"/>
    </row>
    <row r="199" spans="1:1" x14ac:dyDescent="0.25">
      <c r="A199" s="268"/>
    </row>
    <row r="200" spans="1:1" x14ac:dyDescent="0.25">
      <c r="A200" s="268"/>
    </row>
    <row r="201" spans="1:1" x14ac:dyDescent="0.25">
      <c r="A201" s="268"/>
    </row>
    <row r="202" spans="1:1" x14ac:dyDescent="0.25">
      <c r="A202" s="268"/>
    </row>
    <row r="203" spans="1:1" x14ac:dyDescent="0.25">
      <c r="A203" s="268"/>
    </row>
    <row r="204" spans="1:1" x14ac:dyDescent="0.25">
      <c r="A204" s="268"/>
    </row>
    <row r="205" spans="1:1" x14ac:dyDescent="0.25">
      <c r="A205" s="268"/>
    </row>
    <row r="206" spans="1:1" x14ac:dyDescent="0.25">
      <c r="A206" s="268"/>
    </row>
    <row r="207" spans="1:1" x14ac:dyDescent="0.25">
      <c r="A207" s="268"/>
    </row>
    <row r="208" spans="1:1" x14ac:dyDescent="0.25">
      <c r="A208" s="268"/>
    </row>
    <row r="209" spans="1:1" x14ac:dyDescent="0.25">
      <c r="A209" s="268"/>
    </row>
    <row r="210" spans="1:1" x14ac:dyDescent="0.25">
      <c r="A210" s="268"/>
    </row>
    <row r="211" spans="1:1" x14ac:dyDescent="0.25">
      <c r="A211" s="268"/>
    </row>
    <row r="212" spans="1:1" x14ac:dyDescent="0.25">
      <c r="A212" s="268"/>
    </row>
    <row r="213" spans="1:1" x14ac:dyDescent="0.25">
      <c r="A213" s="268"/>
    </row>
    <row r="214" spans="1:1" x14ac:dyDescent="0.25">
      <c r="A214" s="268"/>
    </row>
    <row r="215" spans="1:1" x14ac:dyDescent="0.25">
      <c r="A215" s="268"/>
    </row>
    <row r="216" spans="1:1" x14ac:dyDescent="0.25">
      <c r="A216" s="268"/>
    </row>
    <row r="217" spans="1:1" x14ac:dyDescent="0.25">
      <c r="A217" s="268"/>
    </row>
    <row r="218" spans="1:1" x14ac:dyDescent="0.25">
      <c r="A218" s="268"/>
    </row>
    <row r="219" spans="1:1" x14ac:dyDescent="0.25">
      <c r="A219" s="268"/>
    </row>
    <row r="220" spans="1:1" x14ac:dyDescent="0.25">
      <c r="A220" s="268"/>
    </row>
    <row r="221" spans="1:1" x14ac:dyDescent="0.25">
      <c r="A221" s="268"/>
    </row>
    <row r="222" spans="1:1" x14ac:dyDescent="0.25">
      <c r="A222" s="268"/>
    </row>
    <row r="223" spans="1:1" x14ac:dyDescent="0.25">
      <c r="A223" s="268"/>
    </row>
    <row r="224" spans="1:1" x14ac:dyDescent="0.25">
      <c r="A224" s="268"/>
    </row>
    <row r="225" spans="1:1" x14ac:dyDescent="0.25">
      <c r="A225" s="268"/>
    </row>
    <row r="226" spans="1:1" x14ac:dyDescent="0.25">
      <c r="A226" s="268"/>
    </row>
  </sheetData>
  <autoFilter ref="A1:H159" xr:uid="{00000000-0009-0000-0000-000008000000}"/>
  <pageMargins left="0.7" right="0.7" top="0.75" bottom="0.75" header="0.3" footer="0.3"/>
  <pageSetup paperSize="9" fitToWidth="0"/>
  <drawing r:id="rId2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B7DEE8"/>
  </sheetPr>
  <dimension ref="A1:AV38"/>
  <sheetViews>
    <sheetView zoomScale="90" workbookViewId="0">
      <selection activeCell="E12" sqref="E12"/>
    </sheetView>
  </sheetViews>
  <sheetFormatPr baseColWidth="10" defaultColWidth="10.7109375" defaultRowHeight="15" x14ac:dyDescent="0.25"/>
  <cols>
    <col min="1" max="1" width="30.5703125" customWidth="1"/>
    <col min="2" max="6" width="12.42578125" customWidth="1"/>
    <col min="7" max="7" width="13.5703125" customWidth="1"/>
    <col min="8" max="10" width="12.42578125" customWidth="1"/>
    <col min="11" max="11" width="14.85546875" customWidth="1"/>
    <col min="12" max="15" width="12.42578125" customWidth="1"/>
    <col min="16" max="16" width="12" customWidth="1"/>
    <col min="17" max="17" width="12.42578125" customWidth="1"/>
    <col min="18" max="18" width="12" customWidth="1"/>
    <col min="20" max="20" width="12" customWidth="1"/>
    <col min="22" max="22" width="12" customWidth="1"/>
    <col min="24" max="24" width="12" customWidth="1"/>
    <col min="26" max="30" width="12.42578125" customWidth="1"/>
    <col min="31" max="37" width="6.5703125" customWidth="1"/>
  </cols>
  <sheetData>
    <row r="1" spans="1:36" ht="40.5" x14ac:dyDescent="0.25">
      <c r="M1" s="197" t="s">
        <v>479</v>
      </c>
      <c r="N1" s="197" t="s">
        <v>480</v>
      </c>
      <c r="O1" s="197" t="s">
        <v>481</v>
      </c>
      <c r="P1" s="197" t="s">
        <v>482</v>
      </c>
      <c r="Q1" s="197" t="s">
        <v>483</v>
      </c>
      <c r="R1" s="197" t="s">
        <v>484</v>
      </c>
      <c r="S1" s="197" t="s">
        <v>485</v>
      </c>
      <c r="U1" s="197" t="s">
        <v>486</v>
      </c>
    </row>
    <row r="2" spans="1:36" x14ac:dyDescent="0.25">
      <c r="C2" s="198" t="s">
        <v>487</v>
      </c>
      <c r="D2" s="481" t="s">
        <v>488</v>
      </c>
      <c r="E2" s="481"/>
      <c r="F2" s="482" t="s">
        <v>489</v>
      </c>
      <c r="G2" s="482"/>
      <c r="H2" s="483" t="s">
        <v>490</v>
      </c>
      <c r="I2" s="483"/>
      <c r="K2" s="54"/>
      <c r="M2" s="199">
        <v>11</v>
      </c>
      <c r="N2" s="200">
        <v>14.98</v>
      </c>
      <c r="O2" s="200">
        <v>5.95</v>
      </c>
      <c r="P2" s="201">
        <f t="shared" ref="P2:P12" si="0">U2*0.97</f>
        <v>5.3253000000000004</v>
      </c>
      <c r="Q2" s="200">
        <v>0.68000000000000016</v>
      </c>
      <c r="R2" s="202">
        <v>27.09</v>
      </c>
      <c r="U2" s="200">
        <v>5.49</v>
      </c>
    </row>
    <row r="3" spans="1:36" x14ac:dyDescent="0.25">
      <c r="A3" s="203" t="s">
        <v>491</v>
      </c>
      <c r="B3" s="204">
        <f>B4+B5+B6+B7</f>
        <v>63660</v>
      </c>
      <c r="C3" s="205">
        <f>C4+C5+C6+C7</f>
        <v>68746.600000000006</v>
      </c>
      <c r="D3" s="18" t="s">
        <v>492</v>
      </c>
      <c r="E3" s="18" t="s">
        <v>493</v>
      </c>
      <c r="F3" s="18" t="s">
        <v>492</v>
      </c>
      <c r="G3" s="18" t="s">
        <v>494</v>
      </c>
      <c r="H3" s="18" t="s">
        <v>492</v>
      </c>
      <c r="I3" s="206" t="s">
        <v>495</v>
      </c>
      <c r="J3" s="18" t="s">
        <v>496</v>
      </c>
      <c r="K3" s="18" t="s">
        <v>497</v>
      </c>
      <c r="M3" s="199">
        <v>10</v>
      </c>
      <c r="N3" s="207">
        <v>14.23</v>
      </c>
      <c r="O3" s="207">
        <v>5.59</v>
      </c>
      <c r="P3" s="201">
        <f t="shared" si="0"/>
        <v>4.9179000000000004</v>
      </c>
      <c r="Q3" s="207">
        <v>0.62</v>
      </c>
      <c r="R3" s="208">
        <v>25.52</v>
      </c>
      <c r="U3" s="207">
        <v>5.07</v>
      </c>
    </row>
    <row r="4" spans="1:36" x14ac:dyDescent="0.25">
      <c r="A4" s="203" t="s">
        <v>498</v>
      </c>
      <c r="B4" s="204">
        <v>36877</v>
      </c>
      <c r="C4" s="209">
        <v>39341.120000000003</v>
      </c>
      <c r="D4" s="210">
        <v>45</v>
      </c>
      <c r="E4" s="211">
        <f>D4*(C4-B4)</f>
        <v>110885.40000000011</v>
      </c>
      <c r="F4" s="212">
        <v>0.5</v>
      </c>
      <c r="G4" s="211">
        <f>(C4-B4)*F4</f>
        <v>1232.0600000000013</v>
      </c>
      <c r="H4" s="212">
        <v>7</v>
      </c>
      <c r="I4" s="213">
        <f>(C4-B4)*H4</f>
        <v>17248.840000000018</v>
      </c>
      <c r="J4" s="211">
        <f>H4*C4</f>
        <v>275387.84000000003</v>
      </c>
      <c r="K4" s="18">
        <f>B4*F4</f>
        <v>18438.5</v>
      </c>
      <c r="L4" s="27">
        <f>5000*N13*F4</f>
        <v>1382.4289405684756</v>
      </c>
      <c r="M4" s="199">
        <v>9</v>
      </c>
      <c r="N4" s="200">
        <v>13.49</v>
      </c>
      <c r="O4" s="200">
        <v>5.24</v>
      </c>
      <c r="P4" s="201">
        <f t="shared" si="0"/>
        <v>4.5202</v>
      </c>
      <c r="Q4" s="200">
        <v>0.56999999999999995</v>
      </c>
      <c r="R4" s="202">
        <v>23.95</v>
      </c>
      <c r="U4" s="200">
        <v>4.66</v>
      </c>
    </row>
    <row r="5" spans="1:36" x14ac:dyDescent="0.25">
      <c r="A5" s="203" t="s">
        <v>499</v>
      </c>
      <c r="B5" s="204">
        <v>13921</v>
      </c>
      <c r="C5" s="214">
        <v>15100.32</v>
      </c>
      <c r="D5" s="215">
        <v>75</v>
      </c>
      <c r="E5" s="211">
        <f>D5*(C5-B5)</f>
        <v>88448.999999999971</v>
      </c>
      <c r="F5" s="216">
        <v>0.7</v>
      </c>
      <c r="G5" s="211">
        <f>(C5-B5)*F5</f>
        <v>825.52399999999977</v>
      </c>
      <c r="H5" s="216">
        <v>10</v>
      </c>
      <c r="I5" s="213">
        <f>(C5-B5)*H5</f>
        <v>11793.199999999997</v>
      </c>
      <c r="J5" s="211">
        <f>H5*C5</f>
        <v>151003.20000000001</v>
      </c>
      <c r="K5" s="18">
        <f>B5*F5</f>
        <v>9744.6999999999989</v>
      </c>
      <c r="L5" s="27">
        <f>5000*O13*F5</f>
        <v>768.73385012919903</v>
      </c>
      <c r="M5" s="199">
        <v>8</v>
      </c>
      <c r="N5" s="207">
        <v>12.74</v>
      </c>
      <c r="O5" s="207">
        <v>4.8899999999999997</v>
      </c>
      <c r="P5" s="201">
        <f t="shared" si="0"/>
        <v>4.1224999999999996</v>
      </c>
      <c r="Q5" s="207">
        <v>0.51</v>
      </c>
      <c r="R5" s="208">
        <v>22.39</v>
      </c>
      <c r="U5" s="207">
        <v>4.25</v>
      </c>
    </row>
    <row r="6" spans="1:36" x14ac:dyDescent="0.25">
      <c r="A6" s="203" t="s">
        <v>500</v>
      </c>
      <c r="B6" s="204">
        <v>11448</v>
      </c>
      <c r="C6" s="214">
        <v>12730.279999999999</v>
      </c>
      <c r="D6" s="210">
        <v>90</v>
      </c>
      <c r="E6" s="211">
        <f>D6*(C6-B6)</f>
        <v>115405.1999999999</v>
      </c>
      <c r="F6" s="212">
        <v>1</v>
      </c>
      <c r="G6" s="211">
        <f>(C6-B6)*F6</f>
        <v>1282.2799999999988</v>
      </c>
      <c r="H6" s="212">
        <v>19</v>
      </c>
      <c r="I6" s="213">
        <f>(C6-B6)*H6</f>
        <v>24363.319999999978</v>
      </c>
      <c r="J6" s="211">
        <f>H6*C6</f>
        <v>241875.31999999998</v>
      </c>
      <c r="K6" s="18">
        <f>B6*F6</f>
        <v>11448</v>
      </c>
      <c r="L6" s="27">
        <f>5000*P13*F6</f>
        <v>982.89036544850512</v>
      </c>
      <c r="M6" s="199">
        <v>7</v>
      </c>
      <c r="N6" s="200">
        <v>12</v>
      </c>
      <c r="O6" s="200">
        <v>4.53</v>
      </c>
      <c r="P6" s="201">
        <f t="shared" si="0"/>
        <v>3.7247999999999997</v>
      </c>
      <c r="Q6" s="200">
        <v>0.46000000000000008</v>
      </c>
      <c r="R6" s="202">
        <v>20.83</v>
      </c>
      <c r="U6" s="200">
        <v>3.84</v>
      </c>
    </row>
    <row r="7" spans="1:36" x14ac:dyDescent="0.25">
      <c r="A7" s="203" t="s">
        <v>501</v>
      </c>
      <c r="B7" s="204">
        <v>1414</v>
      </c>
      <c r="C7" s="217">
        <v>1574.88</v>
      </c>
      <c r="D7" s="215">
        <v>300</v>
      </c>
      <c r="E7" s="211">
        <f>D7*(C7-B7)</f>
        <v>48264.000000000029</v>
      </c>
      <c r="F7" s="216">
        <v>2.5</v>
      </c>
      <c r="G7" s="211">
        <f>(C7-B7)*F7</f>
        <v>402.20000000000027</v>
      </c>
      <c r="H7" s="216">
        <v>35</v>
      </c>
      <c r="I7" s="213">
        <f>(C7-B7)*H7</f>
        <v>5630.8000000000038</v>
      </c>
      <c r="J7" s="211">
        <f>H7*C7</f>
        <v>55120.800000000003</v>
      </c>
      <c r="K7" s="18">
        <f>B7*F7</f>
        <v>3535</v>
      </c>
      <c r="L7" s="27">
        <f>5000*Q13*F7</f>
        <v>313.76891842008126</v>
      </c>
      <c r="M7" s="199">
        <v>6</v>
      </c>
      <c r="N7" s="207">
        <v>11.26</v>
      </c>
      <c r="O7" s="207">
        <v>4.17</v>
      </c>
      <c r="P7" s="201">
        <f t="shared" si="0"/>
        <v>3.3367999999999998</v>
      </c>
      <c r="Q7" s="207">
        <v>0.41</v>
      </c>
      <c r="R7" s="208">
        <v>19.27</v>
      </c>
      <c r="U7" s="207">
        <v>3.44</v>
      </c>
    </row>
    <row r="8" spans="1:36" x14ac:dyDescent="0.25">
      <c r="C8" s="218">
        <f>C4/$C$3</f>
        <v>0.57226277372262768</v>
      </c>
      <c r="J8" s="211">
        <f>J7+J6+J5+J4</f>
        <v>723387.16</v>
      </c>
      <c r="K8" s="18">
        <f>K7+K6+K5+K4</f>
        <v>43166.2</v>
      </c>
      <c r="L8" s="18">
        <f>L7+L6+L5+L4</f>
        <v>3447.8220745662611</v>
      </c>
      <c r="M8" s="199">
        <v>5</v>
      </c>
      <c r="N8" s="200">
        <v>10.52</v>
      </c>
      <c r="O8" s="200">
        <v>3.81</v>
      </c>
      <c r="P8" s="201">
        <f t="shared" si="0"/>
        <v>2.9390999999999998</v>
      </c>
      <c r="Q8" s="200">
        <v>0.35</v>
      </c>
      <c r="R8" s="202">
        <v>17.719999999999995</v>
      </c>
      <c r="U8" s="200">
        <v>3.03</v>
      </c>
    </row>
    <row r="9" spans="1:36" x14ac:dyDescent="0.25">
      <c r="C9" s="219">
        <f>C5/$C$3</f>
        <v>0.21965188096574956</v>
      </c>
      <c r="E9" s="25">
        <f>C4-B4</f>
        <v>2464.1200000000026</v>
      </c>
      <c r="F9">
        <f>D4*C4</f>
        <v>1770350.4000000001</v>
      </c>
      <c r="H9">
        <f>H10+H11+H12+H13</f>
        <v>71304</v>
      </c>
      <c r="M9" s="199">
        <v>4</v>
      </c>
      <c r="N9" s="207">
        <v>9.8000000000000007</v>
      </c>
      <c r="O9" s="207">
        <v>3.46</v>
      </c>
      <c r="P9" s="201">
        <f t="shared" si="0"/>
        <v>2.5510999999999999</v>
      </c>
      <c r="Q9" s="207">
        <v>0.3</v>
      </c>
      <c r="R9" s="208">
        <v>16.170000000000002</v>
      </c>
      <c r="U9" s="207">
        <v>2.63</v>
      </c>
    </row>
    <row r="10" spans="1:36" x14ac:dyDescent="0.25">
      <c r="B10" s="220">
        <f>B11/B13</f>
        <v>2.6809392724359768E-2</v>
      </c>
      <c r="C10" s="219">
        <f>C6/$C$3</f>
        <v>0.1851768669286917</v>
      </c>
      <c r="E10" s="25">
        <f>C5-B5</f>
        <v>1179.3199999999997</v>
      </c>
      <c r="F10">
        <f t="shared" ref="F10:F12" si="1">D5*C5</f>
        <v>1132524</v>
      </c>
      <c r="H10">
        <v>40146</v>
      </c>
      <c r="I10" s="58">
        <f>H10/$H$9</f>
        <v>0.56302591719959605</v>
      </c>
      <c r="M10" s="199">
        <v>3</v>
      </c>
      <c r="N10" s="200">
        <v>9.09</v>
      </c>
      <c r="O10" s="200">
        <v>3.1</v>
      </c>
      <c r="P10" s="201">
        <f t="shared" si="0"/>
        <v>2.1436999999999999</v>
      </c>
      <c r="Q10" s="200">
        <v>0.24</v>
      </c>
      <c r="R10" s="202">
        <v>14.63</v>
      </c>
      <c r="U10" s="200">
        <v>2.21</v>
      </c>
    </row>
    <row r="11" spans="1:36" x14ac:dyDescent="0.25">
      <c r="A11" s="189" t="s">
        <v>502</v>
      </c>
      <c r="B11" s="221">
        <v>10000</v>
      </c>
      <c r="C11" s="219">
        <f>C7/$C$3</f>
        <v>2.2908478382930936E-2</v>
      </c>
      <c r="E11" s="25">
        <f>C6-B6</f>
        <v>1282.2799999999988</v>
      </c>
      <c r="F11">
        <f t="shared" si="1"/>
        <v>1145725.2</v>
      </c>
      <c r="H11">
        <v>15594</v>
      </c>
      <c r="I11" s="58">
        <f>H11/$H$9</f>
        <v>0.21869740828004039</v>
      </c>
      <c r="M11" s="199">
        <v>2</v>
      </c>
      <c r="N11" s="207">
        <v>8.42</v>
      </c>
      <c r="O11" s="207">
        <v>2.73</v>
      </c>
      <c r="P11" s="201">
        <f t="shared" si="0"/>
        <v>1.7168999999999999</v>
      </c>
      <c r="Q11" s="207">
        <v>0.17999999999999997</v>
      </c>
      <c r="R11" s="208">
        <v>13.090000000000002</v>
      </c>
      <c r="U11" s="207">
        <v>1.77</v>
      </c>
    </row>
    <row r="12" spans="1:36" x14ac:dyDescent="0.25">
      <c r="A12" s="189" t="s">
        <v>503</v>
      </c>
      <c r="B12" s="222">
        <f>E7+E6+E5+E4</f>
        <v>363003.6</v>
      </c>
      <c r="E12" s="25">
        <f>C7-B7</f>
        <v>160.88000000000011</v>
      </c>
      <c r="F12">
        <f t="shared" si="1"/>
        <v>472464.00000000006</v>
      </c>
      <c r="H12">
        <v>13868</v>
      </c>
      <c r="I12" s="58">
        <f>H12/$H$9</f>
        <v>0.19449119263996409</v>
      </c>
      <c r="M12" s="199">
        <v>1</v>
      </c>
      <c r="N12" s="200">
        <v>7.8499999999999988</v>
      </c>
      <c r="O12" s="200">
        <v>2.34</v>
      </c>
      <c r="P12" s="201">
        <f t="shared" si="0"/>
        <v>1.1931</v>
      </c>
      <c r="Q12" s="200">
        <v>0.1</v>
      </c>
      <c r="R12" s="202">
        <v>11.53</v>
      </c>
      <c r="U12" s="200">
        <v>1.23</v>
      </c>
    </row>
    <row r="13" spans="1:36" x14ac:dyDescent="0.25">
      <c r="A13" s="223" t="s">
        <v>372</v>
      </c>
      <c r="B13" s="224">
        <f>B11+B12</f>
        <v>373003.6</v>
      </c>
      <c r="H13">
        <v>1696</v>
      </c>
      <c r="I13" s="58">
        <f>H13/$H$9</f>
        <v>2.3785481880399417E-2</v>
      </c>
      <c r="N13">
        <f>N2/R2</f>
        <v>0.55297157622739024</v>
      </c>
      <c r="O13">
        <f>O2/R2</f>
        <v>0.21963824289405687</v>
      </c>
      <c r="P13" s="201">
        <f>P2/R2</f>
        <v>0.19657807308970102</v>
      </c>
      <c r="Q13">
        <f>Q2/R2</f>
        <v>2.5101513473606504E-2</v>
      </c>
    </row>
    <row r="15" spans="1:36" x14ac:dyDescent="0.25">
      <c r="A15" s="43"/>
      <c r="B15" s="225" t="s">
        <v>326</v>
      </c>
      <c r="C15" s="225" t="s">
        <v>327</v>
      </c>
      <c r="D15" s="225" t="s">
        <v>328</v>
      </c>
      <c r="E15" s="225" t="s">
        <v>329</v>
      </c>
      <c r="F15" s="225" t="s">
        <v>330</v>
      </c>
      <c r="G15" s="225" t="s">
        <v>331</v>
      </c>
      <c r="H15" s="225" t="s">
        <v>332</v>
      </c>
      <c r="I15" s="225" t="s">
        <v>333</v>
      </c>
      <c r="J15" s="225" t="s">
        <v>334</v>
      </c>
      <c r="K15" s="225" t="s">
        <v>335</v>
      </c>
      <c r="L15" s="225" t="s">
        <v>336</v>
      </c>
      <c r="M15" s="225" t="s">
        <v>337</v>
      </c>
      <c r="N15" s="225" t="s">
        <v>338</v>
      </c>
      <c r="O15" s="225" t="s">
        <v>339</v>
      </c>
      <c r="P15" s="225" t="s">
        <v>340</v>
      </c>
      <c r="Q15" s="225" t="s">
        <v>341</v>
      </c>
      <c r="R15" s="225" t="s">
        <v>326</v>
      </c>
      <c r="S15" s="225" t="s">
        <v>327</v>
      </c>
      <c r="T15" s="225" t="s">
        <v>328</v>
      </c>
      <c r="U15" s="225" t="s">
        <v>329</v>
      </c>
      <c r="V15" s="225" t="s">
        <v>330</v>
      </c>
      <c r="W15" s="225" t="s">
        <v>331</v>
      </c>
      <c r="X15" s="225" t="s">
        <v>332</v>
      </c>
      <c r="Y15" s="225" t="s">
        <v>333</v>
      </c>
      <c r="Z15" s="225" t="s">
        <v>334</v>
      </c>
      <c r="AA15" s="225" t="s">
        <v>335</v>
      </c>
      <c r="AB15" s="225" t="s">
        <v>336</v>
      </c>
      <c r="AC15" s="225" t="s">
        <v>337</v>
      </c>
      <c r="AD15" s="225" t="s">
        <v>338</v>
      </c>
      <c r="AE15" s="225" t="s">
        <v>339</v>
      </c>
      <c r="AF15" s="225" t="s">
        <v>340</v>
      </c>
      <c r="AG15" s="225" t="s">
        <v>341</v>
      </c>
      <c r="AH15" s="225"/>
      <c r="AI15" s="225"/>
    </row>
    <row r="16" spans="1:36" x14ac:dyDescent="0.25">
      <c r="A16" s="226" t="s">
        <v>504</v>
      </c>
      <c r="B16" s="227">
        <v>3073</v>
      </c>
      <c r="C16" s="227">
        <f>B16+1</f>
        <v>3074</v>
      </c>
      <c r="D16" s="227">
        <f>C16+1</f>
        <v>3075</v>
      </c>
      <c r="E16" s="227">
        <f t="shared" ref="E16:AD16" si="2">D16+1</f>
        <v>3076</v>
      </c>
      <c r="F16" s="227">
        <f t="shared" si="2"/>
        <v>3077</v>
      </c>
      <c r="G16" s="227">
        <f t="shared" si="2"/>
        <v>3078</v>
      </c>
      <c r="H16" s="227">
        <f t="shared" si="2"/>
        <v>3079</v>
      </c>
      <c r="I16" s="227">
        <f t="shared" si="2"/>
        <v>3080</v>
      </c>
      <c r="J16" s="227">
        <f t="shared" si="2"/>
        <v>3081</v>
      </c>
      <c r="K16" s="227">
        <f t="shared" si="2"/>
        <v>3082</v>
      </c>
      <c r="L16" s="227">
        <f t="shared" si="2"/>
        <v>3083</v>
      </c>
      <c r="M16" s="227">
        <f t="shared" si="2"/>
        <v>3084</v>
      </c>
      <c r="N16" s="227">
        <f t="shared" si="2"/>
        <v>3085</v>
      </c>
      <c r="O16" s="227">
        <f t="shared" si="2"/>
        <v>3086</v>
      </c>
      <c r="P16" s="227">
        <f t="shared" si="2"/>
        <v>3087</v>
      </c>
      <c r="Q16" s="227">
        <f t="shared" si="2"/>
        <v>3088</v>
      </c>
      <c r="R16" s="227">
        <f t="shared" si="2"/>
        <v>3089</v>
      </c>
      <c r="S16" s="227">
        <f t="shared" si="2"/>
        <v>3090</v>
      </c>
      <c r="T16" s="227">
        <f t="shared" si="2"/>
        <v>3091</v>
      </c>
      <c r="U16" s="227">
        <f t="shared" si="2"/>
        <v>3092</v>
      </c>
      <c r="V16" s="227">
        <f t="shared" si="2"/>
        <v>3093</v>
      </c>
      <c r="W16" s="227">
        <f t="shared" si="2"/>
        <v>3094</v>
      </c>
      <c r="X16" s="227">
        <f t="shared" si="2"/>
        <v>3095</v>
      </c>
      <c r="Y16" s="227">
        <f t="shared" si="2"/>
        <v>3096</v>
      </c>
      <c r="Z16" s="227">
        <f t="shared" si="2"/>
        <v>3097</v>
      </c>
      <c r="AA16" s="227">
        <f t="shared" si="2"/>
        <v>3098</v>
      </c>
      <c r="AB16" s="227">
        <f t="shared" si="2"/>
        <v>3099</v>
      </c>
      <c r="AC16" s="227">
        <f t="shared" si="2"/>
        <v>3100</v>
      </c>
      <c r="AD16" s="227">
        <f t="shared" si="2"/>
        <v>3101</v>
      </c>
      <c r="AE16" s="227">
        <f t="shared" ref="AE16:AG16" si="3">AD16+2</f>
        <v>3103</v>
      </c>
      <c r="AF16" s="227">
        <f t="shared" si="3"/>
        <v>3105</v>
      </c>
      <c r="AG16" s="227">
        <f t="shared" si="3"/>
        <v>3107</v>
      </c>
      <c r="AH16" s="227">
        <f>AG16+4</f>
        <v>3111</v>
      </c>
      <c r="AI16" s="227">
        <f>AH16+4</f>
        <v>3115</v>
      </c>
      <c r="AJ16" s="227">
        <f>AI16+4</f>
        <v>3119</v>
      </c>
    </row>
    <row r="17" spans="1:48" s="41" customFormat="1" x14ac:dyDescent="0.25">
      <c r="A17" s="237"/>
      <c r="B17" s="238">
        <f t="shared" ref="B17:AD17" si="4">B18+B19+B20+B21</f>
        <v>68412.662500000006</v>
      </c>
      <c r="C17" s="238">
        <f t="shared" si="4"/>
        <v>68434.925000000003</v>
      </c>
      <c r="D17" s="238">
        <f t="shared" si="4"/>
        <v>68457.1875</v>
      </c>
      <c r="E17" s="238">
        <f t="shared" si="4"/>
        <v>68479.45</v>
      </c>
      <c r="F17" s="238">
        <f t="shared" si="4"/>
        <v>68501.712500000009</v>
      </c>
      <c r="G17" s="238">
        <f t="shared" si="4"/>
        <v>68523.974999999991</v>
      </c>
      <c r="H17" s="238">
        <f t="shared" si="4"/>
        <v>68546.237499999988</v>
      </c>
      <c r="I17" s="238">
        <f t="shared" si="4"/>
        <v>68568.5</v>
      </c>
      <c r="J17" s="238">
        <f t="shared" si="4"/>
        <v>68590.762499999997</v>
      </c>
      <c r="K17" s="238">
        <f t="shared" si="4"/>
        <v>68613.025000000009</v>
      </c>
      <c r="L17" s="238">
        <f t="shared" si="4"/>
        <v>68635.287499999991</v>
      </c>
      <c r="M17" s="238">
        <f t="shared" si="4"/>
        <v>68657.549999999988</v>
      </c>
      <c r="N17" s="238">
        <f t="shared" si="4"/>
        <v>68679.8125</v>
      </c>
      <c r="O17" s="238">
        <f t="shared" si="4"/>
        <v>68702.074999999997</v>
      </c>
      <c r="P17" s="238">
        <f t="shared" si="4"/>
        <v>68724.337499999994</v>
      </c>
      <c r="Q17" s="238">
        <f t="shared" si="4"/>
        <v>68746.600000000006</v>
      </c>
      <c r="R17" s="238">
        <f t="shared" si="4"/>
        <v>68768.862500000003</v>
      </c>
      <c r="S17" s="238">
        <f t="shared" si="4"/>
        <v>68791.124999999985</v>
      </c>
      <c r="T17" s="238">
        <f t="shared" si="4"/>
        <v>68813.387500000012</v>
      </c>
      <c r="U17" s="238">
        <f t="shared" si="4"/>
        <v>68835.649999999994</v>
      </c>
      <c r="V17" s="238">
        <f t="shared" si="4"/>
        <v>68857.912499999991</v>
      </c>
      <c r="W17" s="238">
        <f t="shared" si="4"/>
        <v>68880.175000000003</v>
      </c>
      <c r="X17" s="238">
        <f t="shared" si="4"/>
        <v>68902.4375</v>
      </c>
      <c r="Y17" s="238">
        <f t="shared" si="4"/>
        <v>68924.7</v>
      </c>
      <c r="Z17" s="238">
        <f t="shared" si="4"/>
        <v>68946.962499999994</v>
      </c>
      <c r="AA17" s="238">
        <f t="shared" si="4"/>
        <v>68969.225000000006</v>
      </c>
      <c r="AB17" s="238">
        <f t="shared" si="4"/>
        <v>68991.487500000003</v>
      </c>
      <c r="AC17" s="238">
        <f t="shared" si="4"/>
        <v>69013.75</v>
      </c>
      <c r="AD17" s="238">
        <f t="shared" si="4"/>
        <v>69036.012499999997</v>
      </c>
      <c r="AE17" s="238"/>
      <c r="AF17" s="238"/>
      <c r="AG17" s="238"/>
      <c r="AH17" s="238"/>
      <c r="AI17" s="238"/>
    </row>
    <row r="18" spans="1:48" x14ac:dyDescent="0.25">
      <c r="A18" s="228" t="s">
        <v>505</v>
      </c>
      <c r="B18" s="229">
        <f>B16*$N$5</f>
        <v>39150.020000000004</v>
      </c>
      <c r="C18" s="229">
        <f t="shared" ref="C18:AK18" si="5">C16*$N$5</f>
        <v>39162.76</v>
      </c>
      <c r="D18" s="229">
        <f t="shared" si="5"/>
        <v>39175.5</v>
      </c>
      <c r="E18" s="229">
        <f t="shared" si="5"/>
        <v>39188.239999999998</v>
      </c>
      <c r="F18" s="229">
        <f t="shared" si="5"/>
        <v>39200.980000000003</v>
      </c>
      <c r="G18" s="229">
        <f t="shared" si="5"/>
        <v>39213.72</v>
      </c>
      <c r="H18" s="229">
        <f t="shared" si="5"/>
        <v>39226.46</v>
      </c>
      <c r="I18" s="229">
        <f t="shared" si="5"/>
        <v>39239.199999999997</v>
      </c>
      <c r="J18" s="229">
        <f t="shared" si="5"/>
        <v>39251.94</v>
      </c>
      <c r="K18" s="229">
        <f t="shared" si="5"/>
        <v>39264.68</v>
      </c>
      <c r="L18" s="229">
        <f t="shared" si="5"/>
        <v>39277.42</v>
      </c>
      <c r="M18" s="229">
        <f t="shared" si="5"/>
        <v>39290.160000000003</v>
      </c>
      <c r="N18" s="229">
        <f t="shared" si="5"/>
        <v>39302.9</v>
      </c>
      <c r="O18" s="229">
        <f t="shared" si="5"/>
        <v>39315.64</v>
      </c>
      <c r="P18" s="229">
        <f t="shared" si="5"/>
        <v>39328.379999999997</v>
      </c>
      <c r="Q18" s="229">
        <f t="shared" si="5"/>
        <v>39341.120000000003</v>
      </c>
      <c r="R18" s="229">
        <f t="shared" si="5"/>
        <v>39353.86</v>
      </c>
      <c r="S18" s="229">
        <f t="shared" si="5"/>
        <v>39366.6</v>
      </c>
      <c r="T18" s="229">
        <f t="shared" si="5"/>
        <v>39379.340000000004</v>
      </c>
      <c r="U18" s="229">
        <f t="shared" si="5"/>
        <v>39392.080000000002</v>
      </c>
      <c r="V18" s="229">
        <f t="shared" si="5"/>
        <v>39404.82</v>
      </c>
      <c r="W18" s="229">
        <f t="shared" si="5"/>
        <v>39417.56</v>
      </c>
      <c r="X18" s="229">
        <f t="shared" si="5"/>
        <v>39430.300000000003</v>
      </c>
      <c r="Y18" s="229">
        <f t="shared" si="5"/>
        <v>39443.040000000001</v>
      </c>
      <c r="Z18" s="229">
        <f t="shared" si="5"/>
        <v>39455.78</v>
      </c>
      <c r="AA18" s="229">
        <f t="shared" si="5"/>
        <v>39468.520000000004</v>
      </c>
      <c r="AB18" s="229">
        <f t="shared" si="5"/>
        <v>39481.26</v>
      </c>
      <c r="AC18" s="229">
        <f t="shared" si="5"/>
        <v>39494</v>
      </c>
      <c r="AD18" s="229">
        <f t="shared" si="5"/>
        <v>39506.74</v>
      </c>
      <c r="AE18" s="229">
        <f t="shared" si="5"/>
        <v>39532.22</v>
      </c>
      <c r="AF18" s="229">
        <f t="shared" si="5"/>
        <v>39557.699999999997</v>
      </c>
      <c r="AG18" s="229">
        <f t="shared" si="5"/>
        <v>39583.18</v>
      </c>
      <c r="AH18" s="229">
        <f t="shared" si="5"/>
        <v>39634.14</v>
      </c>
      <c r="AI18" s="229">
        <f t="shared" si="5"/>
        <v>39685.1</v>
      </c>
      <c r="AJ18" s="229">
        <f t="shared" si="5"/>
        <v>39736.06</v>
      </c>
      <c r="AK18" s="229">
        <f t="shared" si="5"/>
        <v>0</v>
      </c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</row>
    <row r="19" spans="1:48" x14ac:dyDescent="0.25">
      <c r="A19" s="228" t="s">
        <v>506</v>
      </c>
      <c r="B19" s="229">
        <f>B16*$O$5</f>
        <v>15026.97</v>
      </c>
      <c r="C19" s="229">
        <f t="shared" ref="C19:AK19" si="6">C16*$O$5</f>
        <v>15031.859999999999</v>
      </c>
      <c r="D19" s="229">
        <f t="shared" si="6"/>
        <v>15036.749999999998</v>
      </c>
      <c r="E19" s="229">
        <f t="shared" si="6"/>
        <v>15041.64</v>
      </c>
      <c r="F19" s="229">
        <f t="shared" si="6"/>
        <v>15046.529999999999</v>
      </c>
      <c r="G19" s="229">
        <f t="shared" si="6"/>
        <v>15051.419999999998</v>
      </c>
      <c r="H19" s="229">
        <f t="shared" si="6"/>
        <v>15056.31</v>
      </c>
      <c r="I19" s="229">
        <f t="shared" si="6"/>
        <v>15061.199999999999</v>
      </c>
      <c r="J19" s="229">
        <f t="shared" si="6"/>
        <v>15066.089999999998</v>
      </c>
      <c r="K19" s="229">
        <f t="shared" si="6"/>
        <v>15070.98</v>
      </c>
      <c r="L19" s="229">
        <f t="shared" si="6"/>
        <v>15075.869999999999</v>
      </c>
      <c r="M19" s="229">
        <f t="shared" si="6"/>
        <v>15080.759999999998</v>
      </c>
      <c r="N19" s="229">
        <f t="shared" si="6"/>
        <v>15085.65</v>
      </c>
      <c r="O19" s="229">
        <f t="shared" si="6"/>
        <v>15090.539999999999</v>
      </c>
      <c r="P19" s="229">
        <f t="shared" si="6"/>
        <v>15095.429999999998</v>
      </c>
      <c r="Q19" s="229">
        <f t="shared" si="6"/>
        <v>15100.32</v>
      </c>
      <c r="R19" s="229">
        <f t="shared" si="6"/>
        <v>15105.21</v>
      </c>
      <c r="S19" s="229">
        <f t="shared" si="6"/>
        <v>15110.099999999999</v>
      </c>
      <c r="T19" s="229">
        <f t="shared" si="6"/>
        <v>15114.99</v>
      </c>
      <c r="U19" s="229">
        <f t="shared" si="6"/>
        <v>15119.88</v>
      </c>
      <c r="V19" s="229">
        <f t="shared" si="6"/>
        <v>15124.769999999999</v>
      </c>
      <c r="W19" s="229">
        <f t="shared" si="6"/>
        <v>15129.66</v>
      </c>
      <c r="X19" s="229">
        <f t="shared" si="6"/>
        <v>15134.55</v>
      </c>
      <c r="Y19" s="229">
        <f t="shared" si="6"/>
        <v>15139.439999999999</v>
      </c>
      <c r="Z19" s="229">
        <f t="shared" si="6"/>
        <v>15144.329999999998</v>
      </c>
      <c r="AA19" s="229">
        <f t="shared" si="6"/>
        <v>15149.22</v>
      </c>
      <c r="AB19" s="229">
        <f t="shared" si="6"/>
        <v>15154.109999999999</v>
      </c>
      <c r="AC19" s="229">
        <f t="shared" si="6"/>
        <v>15158.999999999998</v>
      </c>
      <c r="AD19" s="229">
        <f t="shared" si="6"/>
        <v>15163.89</v>
      </c>
      <c r="AE19" s="229">
        <f t="shared" si="6"/>
        <v>15173.669999999998</v>
      </c>
      <c r="AF19" s="229">
        <f t="shared" si="6"/>
        <v>15183.449999999999</v>
      </c>
      <c r="AG19" s="229">
        <f t="shared" si="6"/>
        <v>15193.23</v>
      </c>
      <c r="AH19" s="229">
        <f t="shared" si="6"/>
        <v>15212.789999999999</v>
      </c>
      <c r="AI19" s="229">
        <f t="shared" si="6"/>
        <v>15232.349999999999</v>
      </c>
      <c r="AJ19" s="229">
        <f t="shared" si="6"/>
        <v>15251.91</v>
      </c>
      <c r="AK19" s="229">
        <f t="shared" si="6"/>
        <v>0</v>
      </c>
    </row>
    <row r="20" spans="1:48" x14ac:dyDescent="0.25">
      <c r="A20" s="228" t="s">
        <v>507</v>
      </c>
      <c r="B20" s="229">
        <f>B16*$P$5</f>
        <v>12668.442499999999</v>
      </c>
      <c r="C20" s="229">
        <f t="shared" ref="C20:AK20" si="7">C16*$P$5</f>
        <v>12672.564999999999</v>
      </c>
      <c r="D20" s="229">
        <f t="shared" si="7"/>
        <v>12676.687499999998</v>
      </c>
      <c r="E20" s="229">
        <f t="shared" si="7"/>
        <v>12680.81</v>
      </c>
      <c r="F20" s="229">
        <f t="shared" si="7"/>
        <v>12684.932499999999</v>
      </c>
      <c r="G20" s="229">
        <f t="shared" si="7"/>
        <v>12689.054999999998</v>
      </c>
      <c r="H20" s="229">
        <f t="shared" si="7"/>
        <v>12693.177499999998</v>
      </c>
      <c r="I20" s="229">
        <f t="shared" si="7"/>
        <v>12697.3</v>
      </c>
      <c r="J20" s="229">
        <f t="shared" si="7"/>
        <v>12701.422499999999</v>
      </c>
      <c r="K20" s="229">
        <f t="shared" si="7"/>
        <v>12705.544999999998</v>
      </c>
      <c r="L20" s="229">
        <f t="shared" si="7"/>
        <v>12709.6675</v>
      </c>
      <c r="M20" s="229">
        <f t="shared" si="7"/>
        <v>12713.789999999999</v>
      </c>
      <c r="N20" s="229">
        <f t="shared" si="7"/>
        <v>12717.912499999999</v>
      </c>
      <c r="O20" s="229">
        <f t="shared" si="7"/>
        <v>12722.034999999998</v>
      </c>
      <c r="P20" s="229">
        <f t="shared" si="7"/>
        <v>12726.157499999999</v>
      </c>
      <c r="Q20" s="229">
        <f t="shared" si="7"/>
        <v>12730.279999999999</v>
      </c>
      <c r="R20" s="229">
        <f t="shared" si="7"/>
        <v>12734.402499999998</v>
      </c>
      <c r="S20" s="229">
        <f t="shared" si="7"/>
        <v>12738.525</v>
      </c>
      <c r="T20" s="229">
        <f t="shared" si="7"/>
        <v>12742.647499999999</v>
      </c>
      <c r="U20" s="229">
        <f t="shared" si="7"/>
        <v>12746.769999999999</v>
      </c>
      <c r="V20" s="229">
        <f t="shared" si="7"/>
        <v>12750.892499999998</v>
      </c>
      <c r="W20" s="229">
        <f t="shared" si="7"/>
        <v>12755.014999999999</v>
      </c>
      <c r="X20" s="229">
        <f t="shared" si="7"/>
        <v>12759.137499999999</v>
      </c>
      <c r="Y20" s="229">
        <f t="shared" si="7"/>
        <v>12763.259999999998</v>
      </c>
      <c r="Z20" s="229">
        <f t="shared" si="7"/>
        <v>12767.382499999998</v>
      </c>
      <c r="AA20" s="229">
        <f t="shared" si="7"/>
        <v>12771.504999999999</v>
      </c>
      <c r="AB20" s="229">
        <f t="shared" si="7"/>
        <v>12775.627499999999</v>
      </c>
      <c r="AC20" s="229">
        <f t="shared" si="7"/>
        <v>12779.749999999998</v>
      </c>
      <c r="AD20" s="229">
        <f t="shared" si="7"/>
        <v>12783.872499999999</v>
      </c>
      <c r="AE20" s="229">
        <f t="shared" si="7"/>
        <v>12792.117499999998</v>
      </c>
      <c r="AF20" s="229">
        <f t="shared" si="7"/>
        <v>12800.362499999999</v>
      </c>
      <c r="AG20" s="229">
        <f t="shared" si="7"/>
        <v>12808.607499999998</v>
      </c>
      <c r="AH20" s="229">
        <f t="shared" si="7"/>
        <v>12825.097499999998</v>
      </c>
      <c r="AI20" s="229">
        <f t="shared" si="7"/>
        <v>12841.5875</v>
      </c>
      <c r="AJ20" s="229">
        <f t="shared" si="7"/>
        <v>12858.077499999999</v>
      </c>
      <c r="AK20" s="229">
        <f t="shared" si="7"/>
        <v>0</v>
      </c>
    </row>
    <row r="21" spans="1:48" x14ac:dyDescent="0.25">
      <c r="A21" s="228" t="s">
        <v>508</v>
      </c>
      <c r="B21" s="229">
        <f>B16*$Q$5</f>
        <v>1567.23</v>
      </c>
      <c r="C21" s="229">
        <f t="shared" ref="C21:AK21" si="8">C16*$Q$5</f>
        <v>1567.74</v>
      </c>
      <c r="D21" s="229">
        <f t="shared" si="8"/>
        <v>1568.25</v>
      </c>
      <c r="E21" s="229">
        <f t="shared" si="8"/>
        <v>1568.76</v>
      </c>
      <c r="F21" s="229">
        <f t="shared" si="8"/>
        <v>1569.27</v>
      </c>
      <c r="G21" s="229">
        <f t="shared" si="8"/>
        <v>1569.78</v>
      </c>
      <c r="H21" s="229">
        <f t="shared" si="8"/>
        <v>1570.29</v>
      </c>
      <c r="I21" s="229">
        <f t="shared" si="8"/>
        <v>1570.8</v>
      </c>
      <c r="J21" s="229">
        <f t="shared" si="8"/>
        <v>1571.31</v>
      </c>
      <c r="K21" s="229">
        <f t="shared" si="8"/>
        <v>1571.82</v>
      </c>
      <c r="L21" s="229">
        <f t="shared" si="8"/>
        <v>1572.33</v>
      </c>
      <c r="M21" s="229">
        <f t="shared" si="8"/>
        <v>1572.84</v>
      </c>
      <c r="N21" s="229">
        <f t="shared" si="8"/>
        <v>1573.3500000000001</v>
      </c>
      <c r="O21" s="229">
        <f t="shared" si="8"/>
        <v>1573.8600000000001</v>
      </c>
      <c r="P21" s="229">
        <f t="shared" si="8"/>
        <v>1574.3700000000001</v>
      </c>
      <c r="Q21" s="229">
        <f t="shared" si="8"/>
        <v>1574.88</v>
      </c>
      <c r="R21" s="229">
        <f t="shared" si="8"/>
        <v>1575.39</v>
      </c>
      <c r="S21" s="229">
        <f t="shared" si="8"/>
        <v>1575.9</v>
      </c>
      <c r="T21" s="229">
        <f t="shared" si="8"/>
        <v>1576.41</v>
      </c>
      <c r="U21" s="229">
        <f t="shared" si="8"/>
        <v>1576.92</v>
      </c>
      <c r="V21" s="229">
        <f t="shared" si="8"/>
        <v>1577.43</v>
      </c>
      <c r="W21" s="229">
        <f t="shared" si="8"/>
        <v>1577.94</v>
      </c>
      <c r="X21" s="229">
        <f t="shared" si="8"/>
        <v>1578.45</v>
      </c>
      <c r="Y21" s="229">
        <f t="shared" si="8"/>
        <v>1578.96</v>
      </c>
      <c r="Z21" s="229">
        <f t="shared" si="8"/>
        <v>1579.47</v>
      </c>
      <c r="AA21" s="229">
        <f t="shared" si="8"/>
        <v>1579.98</v>
      </c>
      <c r="AB21" s="229">
        <f t="shared" si="8"/>
        <v>1580.49</v>
      </c>
      <c r="AC21" s="229">
        <f t="shared" si="8"/>
        <v>1581</v>
      </c>
      <c r="AD21" s="229">
        <f t="shared" si="8"/>
        <v>1581.51</v>
      </c>
      <c r="AE21" s="229">
        <f t="shared" si="8"/>
        <v>1582.53</v>
      </c>
      <c r="AF21" s="229">
        <f t="shared" si="8"/>
        <v>1583.55</v>
      </c>
      <c r="AG21" s="229">
        <f t="shared" si="8"/>
        <v>1584.57</v>
      </c>
      <c r="AH21" s="229">
        <f t="shared" si="8"/>
        <v>1586.6100000000001</v>
      </c>
      <c r="AI21" s="229">
        <f t="shared" si="8"/>
        <v>1588.65</v>
      </c>
      <c r="AJ21" s="229">
        <f t="shared" si="8"/>
        <v>1590.69</v>
      </c>
      <c r="AK21" s="229">
        <f t="shared" si="8"/>
        <v>0</v>
      </c>
    </row>
    <row r="22" spans="1:48" x14ac:dyDescent="0.25">
      <c r="A22" s="228" t="s">
        <v>509</v>
      </c>
      <c r="B22" s="229">
        <f t="shared" ref="B22:AD22" si="9">MIN(B$18,$C$4)</f>
        <v>39150.020000000004</v>
      </c>
      <c r="C22" s="229">
        <f t="shared" si="9"/>
        <v>39162.76</v>
      </c>
      <c r="D22" s="229">
        <f t="shared" si="9"/>
        <v>39175.5</v>
      </c>
      <c r="E22" s="229">
        <f t="shared" si="9"/>
        <v>39188.239999999998</v>
      </c>
      <c r="F22" s="229">
        <f t="shared" si="9"/>
        <v>39200.980000000003</v>
      </c>
      <c r="G22" s="229">
        <f t="shared" si="9"/>
        <v>39213.72</v>
      </c>
      <c r="H22" s="229">
        <f t="shared" si="9"/>
        <v>39226.46</v>
      </c>
      <c r="I22" s="229">
        <f t="shared" si="9"/>
        <v>39239.199999999997</v>
      </c>
      <c r="J22" s="229">
        <f t="shared" si="9"/>
        <v>39251.94</v>
      </c>
      <c r="K22" s="229">
        <f t="shared" si="9"/>
        <v>39264.68</v>
      </c>
      <c r="L22" s="229">
        <f t="shared" si="9"/>
        <v>39277.42</v>
      </c>
      <c r="M22" s="229">
        <f t="shared" si="9"/>
        <v>39290.160000000003</v>
      </c>
      <c r="N22" s="229">
        <f t="shared" si="9"/>
        <v>39302.9</v>
      </c>
      <c r="O22" s="229">
        <f t="shared" si="9"/>
        <v>39315.64</v>
      </c>
      <c r="P22" s="229">
        <f t="shared" si="9"/>
        <v>39328.379999999997</v>
      </c>
      <c r="Q22" s="229">
        <f t="shared" si="9"/>
        <v>39341.120000000003</v>
      </c>
      <c r="R22" s="229">
        <f t="shared" si="9"/>
        <v>39341.120000000003</v>
      </c>
      <c r="S22" s="229">
        <f t="shared" si="9"/>
        <v>39341.120000000003</v>
      </c>
      <c r="T22" s="229">
        <f t="shared" si="9"/>
        <v>39341.120000000003</v>
      </c>
      <c r="U22" s="229">
        <f t="shared" si="9"/>
        <v>39341.120000000003</v>
      </c>
      <c r="V22" s="229">
        <f t="shared" si="9"/>
        <v>39341.120000000003</v>
      </c>
      <c r="W22" s="229">
        <f t="shared" si="9"/>
        <v>39341.120000000003</v>
      </c>
      <c r="X22" s="229">
        <f t="shared" si="9"/>
        <v>39341.120000000003</v>
      </c>
      <c r="Y22" s="229">
        <f t="shared" si="9"/>
        <v>39341.120000000003</v>
      </c>
      <c r="Z22" s="229">
        <f t="shared" si="9"/>
        <v>39341.120000000003</v>
      </c>
      <c r="AA22" s="229">
        <f t="shared" si="9"/>
        <v>39341.120000000003</v>
      </c>
      <c r="AB22" s="229">
        <f t="shared" si="9"/>
        <v>39341.120000000003</v>
      </c>
      <c r="AC22" s="229">
        <f t="shared" si="9"/>
        <v>39341.120000000003</v>
      </c>
      <c r="AD22" s="229">
        <f t="shared" si="9"/>
        <v>39341.120000000003</v>
      </c>
      <c r="AE22" s="229"/>
      <c r="AF22" s="229"/>
      <c r="AG22" s="229"/>
      <c r="AH22" s="229"/>
      <c r="AI22" s="229"/>
    </row>
    <row r="23" spans="1:48" x14ac:dyDescent="0.25">
      <c r="A23" s="228" t="s">
        <v>510</v>
      </c>
      <c r="B23" s="229">
        <f t="shared" ref="B23:AD23" si="10">MIN(B$19,$C$5)</f>
        <v>15026.97</v>
      </c>
      <c r="C23" s="229">
        <f t="shared" si="10"/>
        <v>15031.859999999999</v>
      </c>
      <c r="D23" s="229">
        <f t="shared" si="10"/>
        <v>15036.749999999998</v>
      </c>
      <c r="E23" s="229">
        <f t="shared" si="10"/>
        <v>15041.64</v>
      </c>
      <c r="F23" s="229">
        <f t="shared" si="10"/>
        <v>15046.529999999999</v>
      </c>
      <c r="G23" s="229">
        <f t="shared" si="10"/>
        <v>15051.419999999998</v>
      </c>
      <c r="H23" s="229">
        <f t="shared" si="10"/>
        <v>15056.31</v>
      </c>
      <c r="I23" s="229">
        <f t="shared" si="10"/>
        <v>15061.199999999999</v>
      </c>
      <c r="J23" s="229">
        <f t="shared" si="10"/>
        <v>15066.089999999998</v>
      </c>
      <c r="K23" s="229">
        <f t="shared" si="10"/>
        <v>15070.98</v>
      </c>
      <c r="L23" s="229">
        <f t="shared" si="10"/>
        <v>15075.869999999999</v>
      </c>
      <c r="M23" s="229">
        <f t="shared" si="10"/>
        <v>15080.759999999998</v>
      </c>
      <c r="N23" s="229">
        <f t="shared" si="10"/>
        <v>15085.65</v>
      </c>
      <c r="O23" s="229">
        <f t="shared" si="10"/>
        <v>15090.539999999999</v>
      </c>
      <c r="P23" s="229">
        <f t="shared" si="10"/>
        <v>15095.429999999998</v>
      </c>
      <c r="Q23" s="229">
        <f t="shared" si="10"/>
        <v>15100.32</v>
      </c>
      <c r="R23" s="229">
        <f t="shared" si="10"/>
        <v>15100.32</v>
      </c>
      <c r="S23" s="229">
        <f t="shared" si="10"/>
        <v>15100.32</v>
      </c>
      <c r="T23" s="229">
        <f t="shared" si="10"/>
        <v>15100.32</v>
      </c>
      <c r="U23" s="229">
        <f t="shared" si="10"/>
        <v>15100.32</v>
      </c>
      <c r="V23" s="229">
        <f t="shared" si="10"/>
        <v>15100.32</v>
      </c>
      <c r="W23" s="229">
        <f t="shared" si="10"/>
        <v>15100.32</v>
      </c>
      <c r="X23" s="229">
        <f t="shared" si="10"/>
        <v>15100.32</v>
      </c>
      <c r="Y23" s="229">
        <f t="shared" si="10"/>
        <v>15100.32</v>
      </c>
      <c r="Z23" s="229">
        <f t="shared" si="10"/>
        <v>15100.32</v>
      </c>
      <c r="AA23" s="229">
        <f t="shared" si="10"/>
        <v>15100.32</v>
      </c>
      <c r="AB23" s="229">
        <f t="shared" si="10"/>
        <v>15100.32</v>
      </c>
      <c r="AC23" s="229">
        <f t="shared" si="10"/>
        <v>15100.32</v>
      </c>
      <c r="AD23" s="229">
        <f t="shared" si="10"/>
        <v>15100.32</v>
      </c>
      <c r="AE23" s="229"/>
      <c r="AF23" s="229"/>
      <c r="AG23" s="229"/>
      <c r="AH23" s="229"/>
      <c r="AI23" s="229"/>
    </row>
    <row r="24" spans="1:48" x14ac:dyDescent="0.25">
      <c r="A24" s="228" t="s">
        <v>511</v>
      </c>
      <c r="B24" s="229">
        <f t="shared" ref="B24:AD24" si="11">MIN(B$20,$C$6)</f>
        <v>12668.442499999999</v>
      </c>
      <c r="C24" s="229">
        <f t="shared" si="11"/>
        <v>12672.564999999999</v>
      </c>
      <c r="D24" s="229">
        <f t="shared" si="11"/>
        <v>12676.687499999998</v>
      </c>
      <c r="E24" s="229">
        <f t="shared" si="11"/>
        <v>12680.81</v>
      </c>
      <c r="F24" s="229">
        <f t="shared" si="11"/>
        <v>12684.932499999999</v>
      </c>
      <c r="G24" s="229">
        <f t="shared" si="11"/>
        <v>12689.054999999998</v>
      </c>
      <c r="H24" s="229">
        <f t="shared" si="11"/>
        <v>12693.177499999998</v>
      </c>
      <c r="I24" s="229">
        <f t="shared" si="11"/>
        <v>12697.3</v>
      </c>
      <c r="J24" s="229">
        <f t="shared" si="11"/>
        <v>12701.422499999999</v>
      </c>
      <c r="K24" s="229">
        <f t="shared" si="11"/>
        <v>12705.544999999998</v>
      </c>
      <c r="L24" s="229">
        <f t="shared" si="11"/>
        <v>12709.6675</v>
      </c>
      <c r="M24" s="229">
        <f t="shared" si="11"/>
        <v>12713.789999999999</v>
      </c>
      <c r="N24" s="229">
        <f t="shared" si="11"/>
        <v>12717.912499999999</v>
      </c>
      <c r="O24" s="229">
        <f t="shared" si="11"/>
        <v>12722.034999999998</v>
      </c>
      <c r="P24" s="229">
        <f t="shared" si="11"/>
        <v>12726.157499999999</v>
      </c>
      <c r="Q24" s="229">
        <f t="shared" si="11"/>
        <v>12730.279999999999</v>
      </c>
      <c r="R24" s="229">
        <f t="shared" si="11"/>
        <v>12730.279999999999</v>
      </c>
      <c r="S24" s="229">
        <f t="shared" si="11"/>
        <v>12730.279999999999</v>
      </c>
      <c r="T24" s="229">
        <f t="shared" si="11"/>
        <v>12730.279999999999</v>
      </c>
      <c r="U24" s="229">
        <f t="shared" si="11"/>
        <v>12730.279999999999</v>
      </c>
      <c r="V24" s="229">
        <f t="shared" si="11"/>
        <v>12730.279999999999</v>
      </c>
      <c r="W24" s="229">
        <f t="shared" si="11"/>
        <v>12730.279999999999</v>
      </c>
      <c r="X24" s="229">
        <f t="shared" si="11"/>
        <v>12730.279999999999</v>
      </c>
      <c r="Y24" s="229">
        <f t="shared" si="11"/>
        <v>12730.279999999999</v>
      </c>
      <c r="Z24" s="229">
        <f t="shared" si="11"/>
        <v>12730.279999999999</v>
      </c>
      <c r="AA24" s="229">
        <f t="shared" si="11"/>
        <v>12730.279999999999</v>
      </c>
      <c r="AB24" s="229">
        <f t="shared" si="11"/>
        <v>12730.279999999999</v>
      </c>
      <c r="AC24" s="229">
        <f t="shared" si="11"/>
        <v>12730.279999999999</v>
      </c>
      <c r="AD24" s="229">
        <f t="shared" si="11"/>
        <v>12730.279999999999</v>
      </c>
      <c r="AE24" s="229"/>
      <c r="AF24" s="229"/>
      <c r="AG24" s="229"/>
      <c r="AH24" s="229"/>
      <c r="AI24" s="229"/>
    </row>
    <row r="25" spans="1:48" x14ac:dyDescent="0.25">
      <c r="A25" s="228" t="s">
        <v>512</v>
      </c>
      <c r="B25" s="229">
        <f t="shared" ref="B25:AD25" si="12">MIN(B$21,$C$7)</f>
        <v>1567.23</v>
      </c>
      <c r="C25" s="229">
        <f t="shared" si="12"/>
        <v>1567.74</v>
      </c>
      <c r="D25" s="229">
        <f t="shared" si="12"/>
        <v>1568.25</v>
      </c>
      <c r="E25" s="229">
        <f t="shared" si="12"/>
        <v>1568.76</v>
      </c>
      <c r="F25" s="229">
        <f t="shared" si="12"/>
        <v>1569.27</v>
      </c>
      <c r="G25" s="229">
        <f t="shared" si="12"/>
        <v>1569.78</v>
      </c>
      <c r="H25" s="229">
        <f t="shared" si="12"/>
        <v>1570.29</v>
      </c>
      <c r="I25" s="229">
        <f t="shared" si="12"/>
        <v>1570.8</v>
      </c>
      <c r="J25" s="229">
        <f t="shared" si="12"/>
        <v>1571.31</v>
      </c>
      <c r="K25" s="229">
        <f t="shared" si="12"/>
        <v>1571.82</v>
      </c>
      <c r="L25" s="229">
        <f t="shared" si="12"/>
        <v>1572.33</v>
      </c>
      <c r="M25" s="229">
        <f t="shared" si="12"/>
        <v>1572.84</v>
      </c>
      <c r="N25" s="229">
        <f t="shared" si="12"/>
        <v>1573.3500000000001</v>
      </c>
      <c r="O25" s="229">
        <f t="shared" si="12"/>
        <v>1573.8600000000001</v>
      </c>
      <c r="P25" s="229">
        <f t="shared" si="12"/>
        <v>1574.3700000000001</v>
      </c>
      <c r="Q25" s="229">
        <f t="shared" si="12"/>
        <v>1574.88</v>
      </c>
      <c r="R25" s="229">
        <f t="shared" si="12"/>
        <v>1574.88</v>
      </c>
      <c r="S25" s="229">
        <f t="shared" si="12"/>
        <v>1574.88</v>
      </c>
      <c r="T25" s="229">
        <f t="shared" si="12"/>
        <v>1574.88</v>
      </c>
      <c r="U25" s="229">
        <f t="shared" si="12"/>
        <v>1574.88</v>
      </c>
      <c r="V25" s="229">
        <f t="shared" si="12"/>
        <v>1574.88</v>
      </c>
      <c r="W25" s="229">
        <f t="shared" si="12"/>
        <v>1574.88</v>
      </c>
      <c r="X25" s="229">
        <f t="shared" si="12"/>
        <v>1574.88</v>
      </c>
      <c r="Y25" s="229">
        <f t="shared" si="12"/>
        <v>1574.88</v>
      </c>
      <c r="Z25" s="229">
        <f t="shared" si="12"/>
        <v>1574.88</v>
      </c>
      <c r="AA25" s="229">
        <f t="shared" si="12"/>
        <v>1574.88</v>
      </c>
      <c r="AB25" s="229">
        <f t="shared" si="12"/>
        <v>1574.88</v>
      </c>
      <c r="AC25" s="229">
        <f t="shared" si="12"/>
        <v>1574.88</v>
      </c>
      <c r="AD25" s="229">
        <f t="shared" si="12"/>
        <v>1574.88</v>
      </c>
      <c r="AE25" s="229"/>
      <c r="AF25" s="229"/>
      <c r="AG25" s="229"/>
      <c r="AH25" s="229"/>
      <c r="AI25" s="229"/>
    </row>
    <row r="26" spans="1:48" x14ac:dyDescent="0.25">
      <c r="A26" s="230" t="s">
        <v>513</v>
      </c>
      <c r="B26" s="231">
        <f>IF(B22&gt;$B$4,(B22-$B$4)*$H$4,0)</f>
        <v>15911.140000000029</v>
      </c>
      <c r="C26" s="231">
        <v>0</v>
      </c>
      <c r="D26" s="231">
        <f>IF(D22&gt;$B$4,(D22-$B$4)*$H$4,0)</f>
        <v>16089.5</v>
      </c>
      <c r="E26" s="231">
        <v>0</v>
      </c>
      <c r="F26" s="231">
        <f>IF(F22&gt;$B$4,(F22-$B$4)*$H$4,0)</f>
        <v>16267.860000000022</v>
      </c>
      <c r="G26" s="231">
        <v>0</v>
      </c>
      <c r="H26" s="231">
        <f>IF(H22&gt;$B$4,(H22-$B$4)*$H$4,0)</f>
        <v>16446.219999999994</v>
      </c>
      <c r="I26" s="231">
        <v>0</v>
      </c>
      <c r="J26" s="231">
        <f>IF(J22&gt;$B$4,(J22-$B$4)*$H$4,0)</f>
        <v>16624.580000000016</v>
      </c>
      <c r="K26" s="231">
        <v>0</v>
      </c>
      <c r="L26" s="231">
        <f>IF(L22&gt;$B$4,(L22-$B$4)*$H$4,0)</f>
        <v>16802.939999999988</v>
      </c>
      <c r="M26" s="231">
        <v>0</v>
      </c>
      <c r="N26" s="231">
        <f>IF(N22&gt;$B$4,(N22-$B$4)*$H$4,0)</f>
        <v>16981.30000000001</v>
      </c>
      <c r="O26" s="231">
        <v>0</v>
      </c>
      <c r="P26" s="231">
        <f>IF(P22&gt;$B$4,(P22-$B$4)*$H$4,0)</f>
        <v>17159.659999999982</v>
      </c>
      <c r="Q26" s="231">
        <v>0</v>
      </c>
      <c r="R26" s="231">
        <f>IF(R22&gt;$B$4,(R22-$B$4)*$H$4,0)</f>
        <v>17248.840000000018</v>
      </c>
      <c r="S26" s="231">
        <v>0</v>
      </c>
      <c r="T26" s="231">
        <f>IF(T22&gt;$B$4,(T22-$B$4)*$H$4,0)</f>
        <v>17248.840000000018</v>
      </c>
      <c r="U26" s="231">
        <v>0</v>
      </c>
      <c r="V26" s="231">
        <f>IF(V22&gt;$B$4,(V22-$B$4)*$H$4,0)</f>
        <v>17248.840000000018</v>
      </c>
      <c r="W26" s="231">
        <v>0</v>
      </c>
      <c r="X26" s="231">
        <f>IF(X22&gt;$B$4,(X22-$B$4)*$H$4,0)</f>
        <v>17248.840000000018</v>
      </c>
      <c r="Y26" s="231">
        <v>0</v>
      </c>
      <c r="Z26" s="231">
        <f>IF(Z22&gt;$B$4,(Z22-$B$4)*$H$4,0)</f>
        <v>17248.840000000018</v>
      </c>
      <c r="AA26" s="231">
        <v>0</v>
      </c>
      <c r="AB26" s="231">
        <f>IF(AB22&gt;$B$4,(AB22-$B$4)*$H$4,0)</f>
        <v>17248.840000000018</v>
      </c>
      <c r="AC26" s="231">
        <v>0</v>
      </c>
      <c r="AD26" s="231">
        <f>IF(AD22&gt;$B$4,(AD22-$B$4)*$H$4,0)</f>
        <v>17248.840000000018</v>
      </c>
      <c r="AE26" s="231">
        <v>0</v>
      </c>
      <c r="AF26" s="231">
        <f>IF(AF22&gt;$B$4,(AF22-$B$4)*$H$4,0)</f>
        <v>0</v>
      </c>
      <c r="AG26" s="231">
        <v>0</v>
      </c>
      <c r="AH26" s="231">
        <f>IF(AH22&gt;$B$4,(AH22-$B$4)*$H$4,0)</f>
        <v>0</v>
      </c>
      <c r="AI26" s="231">
        <v>0</v>
      </c>
      <c r="AJ26" s="231">
        <f>IF(AJ22&gt;$B$4,(AJ22-$B$4)*$H$4,0)</f>
        <v>0</v>
      </c>
      <c r="AK26" s="231">
        <v>0</v>
      </c>
    </row>
    <row r="27" spans="1:48" x14ac:dyDescent="0.25">
      <c r="A27" s="230" t="s">
        <v>514</v>
      </c>
      <c r="B27" s="231">
        <f>IF(B23&gt;$B$5,(B23-$B$5)*$H$5,0)</f>
        <v>11059.699999999993</v>
      </c>
      <c r="C27" s="231">
        <v>0</v>
      </c>
      <c r="D27" s="231">
        <f>IF(D23&gt;$B$5,(D23-$B$5)*$H$5,0)</f>
        <v>11157.499999999982</v>
      </c>
      <c r="E27" s="231">
        <v>0</v>
      </c>
      <c r="F27" s="231">
        <f>IF(F23&gt;$B$5,(F23-$B$5)*$H$5,0)</f>
        <v>11255.299999999988</v>
      </c>
      <c r="G27" s="231">
        <v>0</v>
      </c>
      <c r="H27" s="231">
        <f>IF(H23&gt;$B$5,(H23-$B$5)*$H$5,0)</f>
        <v>11353.099999999995</v>
      </c>
      <c r="I27" s="231">
        <v>0</v>
      </c>
      <c r="J27" s="231">
        <f>IF(J23&gt;$B$5,(J23-$B$5)*$H$5,0)</f>
        <v>11450.899999999983</v>
      </c>
      <c r="K27" s="231">
        <v>0</v>
      </c>
      <c r="L27" s="231">
        <f>IF(L23&gt;$B$5,(L23-$B$5)*$H$5,0)</f>
        <v>11548.69999999999</v>
      </c>
      <c r="M27" s="231">
        <v>0</v>
      </c>
      <c r="N27" s="231">
        <f>IF(N23&gt;$B$5,(N23-$B$5)*$H$5,0)</f>
        <v>11646.499999999996</v>
      </c>
      <c r="O27" s="231">
        <v>0</v>
      </c>
      <c r="P27" s="231">
        <f>IF(P23&gt;$B$5,(P23-$B$5)*$H$5,0)</f>
        <v>11744.299999999985</v>
      </c>
      <c r="Q27" s="231">
        <v>0</v>
      </c>
      <c r="R27" s="231">
        <f>IF(R23&gt;$B$5,(R23-$B$5)*$H$5,0)</f>
        <v>11793.199999999997</v>
      </c>
      <c r="S27" s="231">
        <v>0</v>
      </c>
      <c r="T27" s="231">
        <f>IF(T23&gt;$B$5,(T23-$B$5)*$H$5,0)</f>
        <v>11793.199999999997</v>
      </c>
      <c r="U27" s="231">
        <v>0</v>
      </c>
      <c r="V27" s="231">
        <f>IF(V23&gt;$B$5,(V23-$B$5)*$H$5,0)</f>
        <v>11793.199999999997</v>
      </c>
      <c r="W27" s="231">
        <v>0</v>
      </c>
      <c r="X27" s="231">
        <f>IF(X23&gt;$B$5,(X23-$B$5)*$H$5,0)</f>
        <v>11793.199999999997</v>
      </c>
      <c r="Y27" s="231">
        <v>0</v>
      </c>
      <c r="Z27" s="231">
        <f>IF(Z23&gt;$B$5,(Z23-$B$5)*$H$5,0)</f>
        <v>11793.199999999997</v>
      </c>
      <c r="AA27" s="231">
        <v>0</v>
      </c>
      <c r="AB27" s="231">
        <f>IF(AB23&gt;$B$5,(AB23-$B$5)*$H$5,0)</f>
        <v>11793.199999999997</v>
      </c>
      <c r="AC27" s="231">
        <v>0</v>
      </c>
      <c r="AD27" s="231">
        <f>IF(AD23&gt;$B$5,(AD23-$B$5)*$H$5,0)</f>
        <v>11793.199999999997</v>
      </c>
      <c r="AE27" s="231">
        <v>0</v>
      </c>
      <c r="AF27" s="231">
        <f>IF(AF23&gt;$B$5,(AF23-$B$5)*$H$5,0)</f>
        <v>0</v>
      </c>
      <c r="AG27" s="231">
        <v>0</v>
      </c>
      <c r="AH27" s="231">
        <f>IF(AH23&gt;$B$5,(AH23-$B$5)*$H$5,0)</f>
        <v>0</v>
      </c>
      <c r="AI27" s="231">
        <v>0</v>
      </c>
      <c r="AJ27" s="231">
        <f>IF(AJ23&gt;$B$5,(AJ23-$B$5)*$H$5,0)</f>
        <v>0</v>
      </c>
      <c r="AK27" s="231">
        <v>0</v>
      </c>
    </row>
    <row r="28" spans="1:48" x14ac:dyDescent="0.25">
      <c r="A28" s="230" t="s">
        <v>515</v>
      </c>
      <c r="B28" s="231">
        <f>IF(B24&gt;$B$6,(B24-$B$6)*$H$6,0)</f>
        <v>23188.407499999987</v>
      </c>
      <c r="C28" s="231">
        <v>0</v>
      </c>
      <c r="D28" s="231">
        <f>IF(D24&gt;$B$6,(D24-$B$6)*$H$6,0)</f>
        <v>23345.062499999964</v>
      </c>
      <c r="E28" s="231">
        <v>0</v>
      </c>
      <c r="F28" s="231">
        <f>IF(F24&gt;$B$6,(F24-$B$6)*$H$6,0)</f>
        <v>23501.717499999981</v>
      </c>
      <c r="G28" s="231">
        <v>0</v>
      </c>
      <c r="H28" s="231">
        <f>IF(H24&gt;$B$6,(H24-$B$6)*$H$6,0)</f>
        <v>23658.372499999961</v>
      </c>
      <c r="I28" s="231">
        <v>0</v>
      </c>
      <c r="J28" s="231">
        <f>IF(J24&gt;$B$6,(J24-$B$6)*$H$6,0)</f>
        <v>23815.027499999975</v>
      </c>
      <c r="K28" s="231">
        <v>0</v>
      </c>
      <c r="L28" s="231">
        <f>IF(L24&gt;$B$6,(L24-$B$6)*$H$6,0)</f>
        <v>23971.682499999992</v>
      </c>
      <c r="M28" s="231">
        <v>0</v>
      </c>
      <c r="N28" s="231">
        <f>IF(N24&gt;$B$6,(N24-$B$6)*$H$6,0)</f>
        <v>24128.337499999972</v>
      </c>
      <c r="O28" s="231">
        <v>0</v>
      </c>
      <c r="P28" s="231">
        <f>IF(P24&gt;$B$6,(P24-$B$6)*$H$6,0)</f>
        <v>24284.992499999986</v>
      </c>
      <c r="Q28" s="231">
        <v>0</v>
      </c>
      <c r="R28" s="231">
        <f>IF(R24&gt;$B$6,(R24-$B$6)*$H$6,0)</f>
        <v>24363.319999999978</v>
      </c>
      <c r="S28" s="231">
        <v>0</v>
      </c>
      <c r="T28" s="231">
        <f>IF(T24&gt;$B$6,(T24-$B$6)*$H$6,0)</f>
        <v>24363.319999999978</v>
      </c>
      <c r="U28" s="231">
        <v>0</v>
      </c>
      <c r="V28" s="231">
        <f>IF(V24&gt;$B$6,(V24-$B$6)*$H$6,0)</f>
        <v>24363.319999999978</v>
      </c>
      <c r="W28" s="231">
        <v>0</v>
      </c>
      <c r="X28" s="231">
        <f>IF(X24&gt;$B$6,(X24-$B$6)*$H$6,0)</f>
        <v>24363.319999999978</v>
      </c>
      <c r="Y28" s="231">
        <v>0</v>
      </c>
      <c r="Z28" s="231">
        <f>IF(Z24&gt;$B$6,(Z24-$B$6)*$H$6,0)</f>
        <v>24363.319999999978</v>
      </c>
      <c r="AA28" s="231">
        <v>0</v>
      </c>
      <c r="AB28" s="231">
        <f>IF(AB24&gt;$B$6,(AB24-$B$6)*$H$6,0)</f>
        <v>24363.319999999978</v>
      </c>
      <c r="AC28" s="231">
        <v>0</v>
      </c>
      <c r="AD28" s="231">
        <f>IF(AD24&gt;$B$6,(AD24-$B$6)*$H$6,0)</f>
        <v>24363.319999999978</v>
      </c>
      <c r="AE28" s="231">
        <v>0</v>
      </c>
      <c r="AF28" s="231">
        <f>IF(AF24&gt;$B$6,(AF24-$B$6)*$H$6,0)</f>
        <v>0</v>
      </c>
      <c r="AG28" s="231">
        <v>0</v>
      </c>
      <c r="AH28" s="231">
        <f>IF(AH24&gt;$B$6,(AH24-$B$6)*$H$6,0)</f>
        <v>0</v>
      </c>
      <c r="AI28" s="231">
        <v>0</v>
      </c>
      <c r="AJ28" s="231">
        <f>IF(AJ24&gt;$B$6,(AJ24-$B$6)*$H$6,0)</f>
        <v>0</v>
      </c>
      <c r="AK28" s="231">
        <v>0</v>
      </c>
    </row>
    <row r="29" spans="1:48" x14ac:dyDescent="0.25">
      <c r="A29" s="230" t="s">
        <v>516</v>
      </c>
      <c r="B29" s="231">
        <f>IF(B25&gt;$B$7,(B25-$B$7)*$H$7,0)</f>
        <v>5363.0500000000011</v>
      </c>
      <c r="C29" s="231">
        <v>0</v>
      </c>
      <c r="D29" s="231">
        <f>IF(D25&gt;$B$7,(D25-$B$7)*$H$7,0)</f>
        <v>5398.75</v>
      </c>
      <c r="E29" s="231">
        <v>0</v>
      </c>
      <c r="F29" s="231">
        <f>IF(F25&gt;$B$7,(F25-$B$7)*$H$7,0)</f>
        <v>5434.4499999999989</v>
      </c>
      <c r="G29" s="231">
        <v>0</v>
      </c>
      <c r="H29" s="231">
        <f>IF(H25&gt;$B$7,(H25-$B$7)*$H$7,0)</f>
        <v>5470.1499999999987</v>
      </c>
      <c r="I29" s="231">
        <v>0</v>
      </c>
      <c r="J29" s="231">
        <f>IF(J25&gt;$B$7,(J25-$B$7)*$H$7,0)</f>
        <v>5505.8499999999985</v>
      </c>
      <c r="K29" s="231">
        <v>0</v>
      </c>
      <c r="L29" s="231">
        <f>IF(L25&gt;$B$7,(L25-$B$7)*$H$7,0)</f>
        <v>5541.5499999999975</v>
      </c>
      <c r="M29" s="231">
        <v>0</v>
      </c>
      <c r="N29" s="231">
        <f>IF(N25&gt;$B$7,(N25-$B$7)*$H$7,0)</f>
        <v>5577.2500000000045</v>
      </c>
      <c r="O29" s="231">
        <v>0</v>
      </c>
      <c r="P29" s="231">
        <f>IF(P25&gt;$B$7,(P25-$B$7)*$H$7,0)</f>
        <v>5612.9500000000044</v>
      </c>
      <c r="Q29" s="231">
        <v>0</v>
      </c>
      <c r="R29" s="231">
        <f>IF(R25&gt;$B$7,(R25-$B$7)*$H$7,0)</f>
        <v>5630.8000000000038</v>
      </c>
      <c r="S29" s="231">
        <v>0</v>
      </c>
      <c r="T29" s="231">
        <f>IF(T25&gt;$B$7,(T25-$B$7)*$H$7,0)</f>
        <v>5630.8000000000038</v>
      </c>
      <c r="U29" s="231">
        <v>0</v>
      </c>
      <c r="V29" s="231">
        <f>IF(V25&gt;$B$7,(V25-$B$7)*$H$7,0)</f>
        <v>5630.8000000000038</v>
      </c>
      <c r="W29" s="231">
        <v>0</v>
      </c>
      <c r="X29" s="231">
        <f>IF(X25&gt;$B$7,(X25-$B$7)*$H$7,0)</f>
        <v>5630.8000000000038</v>
      </c>
      <c r="Y29" s="231">
        <v>0</v>
      </c>
      <c r="Z29" s="231">
        <f>IF(Z25&gt;$B$7,(Z25-$B$7)*$H$7,0)</f>
        <v>5630.8000000000038</v>
      </c>
      <c r="AA29" s="231">
        <v>0</v>
      </c>
      <c r="AB29" s="231">
        <f>IF(AB25&gt;$B$7,(AB25-$B$7)*$H$7,0)</f>
        <v>5630.8000000000038</v>
      </c>
      <c r="AC29" s="231">
        <v>0</v>
      </c>
      <c r="AD29" s="231">
        <f>IF(AD25&gt;$B$7,(AD25-$B$7)*$H$7,0)</f>
        <v>5630.8000000000038</v>
      </c>
      <c r="AE29" s="231">
        <v>0</v>
      </c>
      <c r="AF29" s="231">
        <f>IF(AF25&gt;$B$7,(AF25-$B$7)*$H$7,0)</f>
        <v>0</v>
      </c>
      <c r="AG29" s="231">
        <v>0</v>
      </c>
      <c r="AH29" s="231">
        <f>IF(AH25&gt;$B$7,(AH25-$B$7)*$H$7,0)</f>
        <v>0</v>
      </c>
      <c r="AI29" s="231">
        <v>0</v>
      </c>
      <c r="AJ29" s="231">
        <f>IF(AJ25&gt;$B$7,(AJ25-$B$7)*$H$7,0)</f>
        <v>0</v>
      </c>
      <c r="AK29" s="231">
        <v>0</v>
      </c>
    </row>
    <row r="30" spans="1:48" x14ac:dyDescent="0.25">
      <c r="A30" s="232" t="s">
        <v>517</v>
      </c>
      <c r="B30" s="233">
        <f>G4+G5+G6+G7</f>
        <v>3742.0640000000003</v>
      </c>
      <c r="C30" s="233">
        <f t="shared" ref="C30:AD30" si="13">B30</f>
        <v>3742.0640000000003</v>
      </c>
      <c r="D30" s="233">
        <f t="shared" si="13"/>
        <v>3742.0640000000003</v>
      </c>
      <c r="E30" s="233">
        <f t="shared" si="13"/>
        <v>3742.0640000000003</v>
      </c>
      <c r="F30" s="233">
        <f t="shared" si="13"/>
        <v>3742.0640000000003</v>
      </c>
      <c r="G30" s="233">
        <f t="shared" si="13"/>
        <v>3742.0640000000003</v>
      </c>
      <c r="H30" s="233">
        <f t="shared" si="13"/>
        <v>3742.0640000000003</v>
      </c>
      <c r="I30" s="233">
        <f t="shared" si="13"/>
        <v>3742.0640000000003</v>
      </c>
      <c r="J30" s="233">
        <f t="shared" si="13"/>
        <v>3742.0640000000003</v>
      </c>
      <c r="K30" s="233">
        <f t="shared" si="13"/>
        <v>3742.0640000000003</v>
      </c>
      <c r="L30" s="233">
        <f t="shared" si="13"/>
        <v>3742.0640000000003</v>
      </c>
      <c r="M30" s="233">
        <f t="shared" si="13"/>
        <v>3742.0640000000003</v>
      </c>
      <c r="N30" s="233">
        <f t="shared" si="13"/>
        <v>3742.0640000000003</v>
      </c>
      <c r="O30" s="233">
        <f t="shared" si="13"/>
        <v>3742.0640000000003</v>
      </c>
      <c r="P30" s="233">
        <f t="shared" si="13"/>
        <v>3742.0640000000003</v>
      </c>
      <c r="Q30" s="233">
        <f t="shared" si="13"/>
        <v>3742.0640000000003</v>
      </c>
      <c r="R30" s="233">
        <f t="shared" si="13"/>
        <v>3742.0640000000003</v>
      </c>
      <c r="S30" s="233">
        <f t="shared" si="13"/>
        <v>3742.0640000000003</v>
      </c>
      <c r="T30" s="233">
        <f t="shared" si="13"/>
        <v>3742.0640000000003</v>
      </c>
      <c r="U30" s="233">
        <f t="shared" si="13"/>
        <v>3742.0640000000003</v>
      </c>
      <c r="V30" s="233">
        <f t="shared" si="13"/>
        <v>3742.0640000000003</v>
      </c>
      <c r="W30" s="233">
        <f t="shared" si="13"/>
        <v>3742.0640000000003</v>
      </c>
      <c r="X30" s="233">
        <f t="shared" si="13"/>
        <v>3742.0640000000003</v>
      </c>
      <c r="Y30" s="233">
        <f t="shared" si="13"/>
        <v>3742.0640000000003</v>
      </c>
      <c r="Z30" s="233">
        <f t="shared" si="13"/>
        <v>3742.0640000000003</v>
      </c>
      <c r="AA30" s="233">
        <f t="shared" si="13"/>
        <v>3742.0640000000003</v>
      </c>
      <c r="AB30" s="233">
        <f t="shared" si="13"/>
        <v>3742.0640000000003</v>
      </c>
      <c r="AC30" s="233">
        <f t="shared" si="13"/>
        <v>3742.0640000000003</v>
      </c>
      <c r="AD30" s="233">
        <f t="shared" si="13"/>
        <v>3742.0640000000003</v>
      </c>
      <c r="AE30" s="233"/>
      <c r="AF30" s="233"/>
      <c r="AG30" s="233"/>
      <c r="AH30" s="233"/>
      <c r="AI30" s="233"/>
    </row>
    <row r="31" spans="1:48" x14ac:dyDescent="0.25">
      <c r="A31" s="234" t="s">
        <v>518</v>
      </c>
      <c r="B31" s="235">
        <f t="shared" ref="B31:AD31" si="14">B26+B27+B28+B29-B30</f>
        <v>51780.233500000017</v>
      </c>
      <c r="C31" s="235">
        <f t="shared" si="14"/>
        <v>-3742.0640000000003</v>
      </c>
      <c r="D31" s="235">
        <f t="shared" si="14"/>
        <v>52248.748499999943</v>
      </c>
      <c r="E31" s="235">
        <f t="shared" si="14"/>
        <v>-3742.0640000000003</v>
      </c>
      <c r="F31" s="235">
        <f t="shared" si="14"/>
        <v>52717.263499999986</v>
      </c>
      <c r="G31" s="235">
        <f t="shared" si="14"/>
        <v>-3742.0640000000003</v>
      </c>
      <c r="H31" s="235">
        <f t="shared" si="14"/>
        <v>53185.778499999949</v>
      </c>
      <c r="I31" s="235">
        <f t="shared" si="14"/>
        <v>-3742.0640000000003</v>
      </c>
      <c r="J31" s="235">
        <f t="shared" si="14"/>
        <v>53654.293499999978</v>
      </c>
      <c r="K31" s="235">
        <f t="shared" si="14"/>
        <v>-3742.0640000000003</v>
      </c>
      <c r="L31" s="235">
        <f t="shared" si="14"/>
        <v>54122.808499999963</v>
      </c>
      <c r="M31" s="235">
        <f t="shared" si="14"/>
        <v>-3742.0640000000003</v>
      </c>
      <c r="N31" s="235">
        <f t="shared" si="14"/>
        <v>54591.323499999991</v>
      </c>
      <c r="O31" s="235">
        <f t="shared" si="14"/>
        <v>-3742.0640000000003</v>
      </c>
      <c r="P31" s="235">
        <f t="shared" si="14"/>
        <v>55059.838499999962</v>
      </c>
      <c r="Q31" s="235">
        <f t="shared" si="14"/>
        <v>-3742.0640000000003</v>
      </c>
      <c r="R31" s="235">
        <f t="shared" si="14"/>
        <v>55294.095999999998</v>
      </c>
      <c r="S31" s="235">
        <f t="shared" si="14"/>
        <v>-3742.0640000000003</v>
      </c>
      <c r="T31" s="235">
        <f t="shared" si="14"/>
        <v>55294.095999999998</v>
      </c>
      <c r="U31" s="235">
        <f t="shared" si="14"/>
        <v>-3742.0640000000003</v>
      </c>
      <c r="V31" s="235">
        <f t="shared" si="14"/>
        <v>55294.095999999998</v>
      </c>
      <c r="W31" s="235">
        <f t="shared" si="14"/>
        <v>-3742.0640000000003</v>
      </c>
      <c r="X31" s="235">
        <f t="shared" si="14"/>
        <v>55294.095999999998</v>
      </c>
      <c r="Y31" s="235">
        <f t="shared" si="14"/>
        <v>-3742.0640000000003</v>
      </c>
      <c r="Z31" s="235">
        <f t="shared" si="14"/>
        <v>55294.095999999998</v>
      </c>
      <c r="AA31" s="235">
        <f t="shared" si="14"/>
        <v>-3742.0640000000003</v>
      </c>
      <c r="AB31" s="235">
        <f t="shared" si="14"/>
        <v>55294.095999999998</v>
      </c>
      <c r="AC31" s="235">
        <f t="shared" si="14"/>
        <v>-3742.0640000000003</v>
      </c>
      <c r="AD31" s="235">
        <f t="shared" si="14"/>
        <v>55294.095999999998</v>
      </c>
      <c r="AE31" s="235"/>
      <c r="AF31" s="235"/>
      <c r="AG31" s="235"/>
      <c r="AH31" s="235"/>
      <c r="AI31" s="235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</row>
    <row r="32" spans="1:48" x14ac:dyDescent="0.25">
      <c r="A32" s="236" t="s">
        <v>519</v>
      </c>
      <c r="B32" s="235">
        <f>-B12-B11+B31</f>
        <v>-321223.36649999995</v>
      </c>
      <c r="C32" s="235">
        <f t="shared" ref="C32:AD32" si="15">B32+C31</f>
        <v>-324965.43049999996</v>
      </c>
      <c r="D32" s="235">
        <f t="shared" si="15"/>
        <v>-272716.68200000003</v>
      </c>
      <c r="E32" s="235">
        <f t="shared" si="15"/>
        <v>-276458.74600000004</v>
      </c>
      <c r="F32" s="235">
        <f t="shared" si="15"/>
        <v>-223741.48250000004</v>
      </c>
      <c r="G32" s="235">
        <f t="shared" si="15"/>
        <v>-227483.54650000005</v>
      </c>
      <c r="H32" s="235">
        <f t="shared" si="15"/>
        <v>-174297.7680000001</v>
      </c>
      <c r="I32" s="235">
        <f t="shared" si="15"/>
        <v>-178039.83200000011</v>
      </c>
      <c r="J32" s="235">
        <f t="shared" si="15"/>
        <v>-124385.53850000014</v>
      </c>
      <c r="K32" s="235">
        <f t="shared" si="15"/>
        <v>-128127.60250000014</v>
      </c>
      <c r="L32" s="235">
        <f t="shared" si="15"/>
        <v>-74004.794000000169</v>
      </c>
      <c r="M32" s="235">
        <f t="shared" si="15"/>
        <v>-77746.858000000168</v>
      </c>
      <c r="N32" s="235">
        <f t="shared" si="15"/>
        <v>-23155.534500000176</v>
      </c>
      <c r="O32" s="235">
        <f t="shared" si="15"/>
        <v>-26897.598500000175</v>
      </c>
      <c r="P32" s="235">
        <f t="shared" si="15"/>
        <v>28162.239999999787</v>
      </c>
      <c r="Q32" s="235">
        <f t="shared" si="15"/>
        <v>24420.175999999788</v>
      </c>
      <c r="R32" s="235">
        <f t="shared" si="15"/>
        <v>79714.271999999793</v>
      </c>
      <c r="S32" s="235">
        <f t="shared" si="15"/>
        <v>75972.207999999795</v>
      </c>
      <c r="T32" s="235">
        <f t="shared" si="15"/>
        <v>131266.3039999998</v>
      </c>
      <c r="U32" s="235">
        <f t="shared" si="15"/>
        <v>127524.2399999998</v>
      </c>
      <c r="V32" s="235">
        <f t="shared" si="15"/>
        <v>182818.33599999981</v>
      </c>
      <c r="W32" s="235">
        <f t="shared" si="15"/>
        <v>179076.27199999979</v>
      </c>
      <c r="X32" s="235">
        <f t="shared" si="15"/>
        <v>234370.36799999978</v>
      </c>
      <c r="Y32" s="235">
        <f t="shared" si="15"/>
        <v>230628.30399999977</v>
      </c>
      <c r="Z32" s="235">
        <f t="shared" si="15"/>
        <v>285922.39999999979</v>
      </c>
      <c r="AA32" s="235">
        <f t="shared" si="15"/>
        <v>282180.33599999978</v>
      </c>
      <c r="AB32" s="235">
        <f t="shared" si="15"/>
        <v>337474.4319999998</v>
      </c>
      <c r="AC32" s="235">
        <f t="shared" si="15"/>
        <v>333732.36799999978</v>
      </c>
      <c r="AD32" s="235">
        <f t="shared" si="15"/>
        <v>389026.4639999998</v>
      </c>
      <c r="AE32" s="235"/>
      <c r="AF32" s="235"/>
      <c r="AG32" s="235"/>
      <c r="AH32" s="235"/>
      <c r="AI32" s="235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</row>
    <row r="33" spans="2:35" x14ac:dyDescent="0.25">
      <c r="B33" s="58">
        <f t="shared" ref="B33:AD33" si="16">B32/$B$13</f>
        <v>-0.86118033847394493</v>
      </c>
      <c r="C33" s="58">
        <f t="shared" si="16"/>
        <v>-0.87121258481151387</v>
      </c>
      <c r="D33" s="58">
        <f t="shared" si="16"/>
        <v>-0.73113686302223369</v>
      </c>
      <c r="E33" s="58">
        <f t="shared" si="16"/>
        <v>-0.74116910935980262</v>
      </c>
      <c r="F33" s="58">
        <f t="shared" si="16"/>
        <v>-0.59983732730729689</v>
      </c>
      <c r="G33" s="58">
        <f t="shared" si="16"/>
        <v>-0.60986957364486583</v>
      </c>
      <c r="H33" s="58">
        <f t="shared" si="16"/>
        <v>-0.46728173132913492</v>
      </c>
      <c r="I33" s="58">
        <f t="shared" si="16"/>
        <v>-0.4773139776667038</v>
      </c>
      <c r="J33" s="58">
        <f t="shared" si="16"/>
        <v>-0.33347007508774756</v>
      </c>
      <c r="K33" s="58">
        <f t="shared" si="16"/>
        <v>-0.34350232142531639</v>
      </c>
      <c r="L33" s="58">
        <f t="shared" si="16"/>
        <v>-0.19840235858313479</v>
      </c>
      <c r="M33" s="58">
        <f t="shared" si="16"/>
        <v>-0.20843460492070365</v>
      </c>
      <c r="N33" s="58">
        <f t="shared" si="16"/>
        <v>-6.207858181529663E-2</v>
      </c>
      <c r="O33" s="58">
        <f t="shared" si="16"/>
        <v>-7.2110828152865486E-2</v>
      </c>
      <c r="P33" s="58">
        <f t="shared" si="16"/>
        <v>7.5501255215766783E-2</v>
      </c>
      <c r="Q33" s="58">
        <f t="shared" si="16"/>
        <v>6.5469008878197926E-2</v>
      </c>
      <c r="R33" s="58">
        <f t="shared" si="16"/>
        <v>0.213709122378443</v>
      </c>
      <c r="S33" s="58">
        <f t="shared" si="16"/>
        <v>0.20367687604087414</v>
      </c>
      <c r="T33" s="58">
        <f t="shared" si="16"/>
        <v>0.35191698954111922</v>
      </c>
      <c r="U33" s="58">
        <f t="shared" si="16"/>
        <v>0.34188474320355033</v>
      </c>
      <c r="V33" s="58">
        <f t="shared" si="16"/>
        <v>0.49012485670379541</v>
      </c>
      <c r="W33" s="58">
        <f t="shared" si="16"/>
        <v>0.48009261036622652</v>
      </c>
      <c r="X33" s="58">
        <f t="shared" si="16"/>
        <v>0.62833272386647154</v>
      </c>
      <c r="Y33" s="58">
        <f t="shared" si="16"/>
        <v>0.6183004775289026</v>
      </c>
      <c r="Z33" s="58">
        <f t="shared" si="16"/>
        <v>0.76654059102914773</v>
      </c>
      <c r="AA33" s="58">
        <f t="shared" si="16"/>
        <v>0.75650834469157879</v>
      </c>
      <c r="AB33" s="58">
        <f t="shared" si="16"/>
        <v>0.90474845819182392</v>
      </c>
      <c r="AC33" s="58">
        <f t="shared" si="16"/>
        <v>0.89471621185425498</v>
      </c>
      <c r="AD33" s="58">
        <f t="shared" si="16"/>
        <v>1.0429563253545002</v>
      </c>
      <c r="AE33" s="58"/>
      <c r="AF33" s="58"/>
      <c r="AG33" s="58"/>
      <c r="AH33" s="58"/>
      <c r="AI33" s="58"/>
    </row>
    <row r="36" spans="2:35" x14ac:dyDescent="0.25">
      <c r="K36" s="58"/>
    </row>
    <row r="37" spans="2:35" x14ac:dyDescent="0.25">
      <c r="K37" s="58"/>
    </row>
    <row r="38" spans="2:35" x14ac:dyDescent="0.25">
      <c r="K38" s="58"/>
    </row>
  </sheetData>
  <mergeCells count="3">
    <mergeCell ref="D2:E2"/>
    <mergeCell ref="F2:G2"/>
    <mergeCell ref="H2:I2"/>
  </mergeCells>
  <conditionalFormatting sqref="B32:AD32">
    <cfRule type="cellIs" dxfId="13" priority="1" operator="lessThan">
      <formula>0</formula>
    </cfRule>
  </conditionalFormatting>
  <conditionalFormatting sqref="B32:AD32">
    <cfRule type="cellIs" dxfId="12" priority="2" operator="greaterThan">
      <formula>0</formula>
    </cfRule>
  </conditionalFormatting>
  <pageMargins left="0.7" right="0.7" top="0.75" bottom="0.75" header="0.3" footer="0.3"/>
  <pageSetup paperSize="9" fitToWidth="0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B7DEE8"/>
  </sheetPr>
  <dimension ref="A1:CE28"/>
  <sheetViews>
    <sheetView workbookViewId="0">
      <pane xSplit="9" ySplit="2" topLeftCell="AJ3" activePane="bottomRight" state="frozen"/>
      <selection pane="topRight"/>
      <selection pane="bottomLeft"/>
      <selection pane="bottomRight" activeCell="AP1" sqref="AP1:BC1048576"/>
    </sheetView>
  </sheetViews>
  <sheetFormatPr baseColWidth="10" defaultColWidth="11.42578125" defaultRowHeight="15" x14ac:dyDescent="0.25"/>
  <cols>
    <col min="1" max="1" width="19.7109375" customWidth="1"/>
    <col min="2" max="2" width="5.42578125" customWidth="1"/>
    <col min="3" max="3" width="5.5703125" customWidth="1"/>
    <col min="4" max="4" width="5.42578125" style="42" customWidth="1"/>
    <col min="5" max="5" width="13" customWidth="1"/>
    <col min="6" max="6" width="4.5703125" customWidth="1"/>
    <col min="7" max="7" width="5.42578125" customWidth="1"/>
    <col min="8" max="8" width="5.7109375" customWidth="1"/>
    <col min="9" max="9" width="7.42578125" customWidth="1"/>
    <col min="10" max="10" width="4.5703125" customWidth="1"/>
    <col min="11" max="17" width="5.5703125" customWidth="1"/>
    <col min="18" max="18" width="4.85546875" customWidth="1"/>
    <col min="19" max="20" width="6.140625" customWidth="1"/>
    <col min="21" max="22" width="7.85546875" customWidth="1"/>
    <col min="23" max="23" width="7.7109375" customWidth="1"/>
    <col min="24" max="24" width="7.85546875" customWidth="1"/>
    <col min="25" max="25" width="7.42578125" customWidth="1"/>
    <col min="26" max="26" width="10" customWidth="1"/>
    <col min="27" max="27" width="7.85546875" customWidth="1"/>
    <col min="28" max="28" width="7.42578125" customWidth="1"/>
    <col min="29" max="29" width="5.140625" customWidth="1"/>
    <col min="30" max="30" width="7.42578125" customWidth="1"/>
    <col min="31" max="31" width="7.85546875" customWidth="1"/>
    <col min="32" max="32" width="7.42578125" customWidth="1"/>
    <col min="33" max="33" width="5.140625" customWidth="1"/>
    <col min="34" max="34" width="9.7109375" customWidth="1"/>
    <col min="35" max="35" width="7.85546875" customWidth="1"/>
    <col min="36" max="36" width="5.140625" customWidth="1"/>
    <col min="37" max="37" width="6.42578125" customWidth="1"/>
    <col min="38" max="38" width="7.42578125" customWidth="1"/>
    <col min="39" max="41" width="7.85546875" customWidth="1"/>
    <col min="42" max="42" width="7.42578125" customWidth="1"/>
    <col min="43" max="43" width="7.85546875" customWidth="1"/>
    <col min="44" max="44" width="7.42578125" customWidth="1"/>
    <col min="45" max="45" width="5.5703125" customWidth="1"/>
    <col min="46" max="46" width="6.42578125" customWidth="1"/>
    <col min="47" max="47" width="6.85546875" customWidth="1"/>
    <col min="48" max="48" width="6.42578125" customWidth="1"/>
    <col min="49" max="49" width="7.42578125" customWidth="1"/>
    <col min="50" max="50" width="7.85546875" customWidth="1"/>
    <col min="51" max="51" width="7.42578125" customWidth="1"/>
    <col min="52" max="52" width="5.5703125" customWidth="1"/>
    <col min="53" max="53" width="6.42578125" customWidth="1"/>
    <col min="54" max="54" width="6.85546875" customWidth="1"/>
    <col min="55" max="55" width="6.42578125" customWidth="1"/>
    <col min="56" max="56" width="7.42578125" customWidth="1"/>
    <col min="57" max="57" width="7.85546875" customWidth="1"/>
    <col min="58" max="58" width="5.5703125" customWidth="1"/>
    <col min="59" max="59" width="6.42578125" customWidth="1"/>
    <col min="60" max="60" width="6.85546875" customWidth="1"/>
    <col min="61" max="61" width="7.42578125" customWidth="1"/>
    <col min="62" max="62" width="7.85546875" customWidth="1"/>
    <col min="63" max="63" width="5.140625" customWidth="1"/>
    <col min="64" max="64" width="6.42578125" customWidth="1"/>
    <col min="65" max="65" width="6.85546875" customWidth="1"/>
    <col min="66" max="66" width="7.42578125" customWidth="1"/>
    <col min="67" max="67" width="7.85546875" customWidth="1"/>
    <col min="68" max="68" width="5.140625" customWidth="1"/>
    <col min="69" max="69" width="6.42578125" customWidth="1"/>
    <col min="70" max="70" width="6.85546875" customWidth="1"/>
    <col min="71" max="71" width="7.42578125" customWidth="1"/>
    <col min="72" max="72" width="7.85546875" customWidth="1"/>
    <col min="73" max="73" width="6" customWidth="1"/>
    <col min="74" max="74" width="6.42578125" customWidth="1"/>
    <col min="75" max="75" width="6.85546875" customWidth="1"/>
    <col min="76" max="76" width="5.140625" customWidth="1"/>
    <col min="77" max="77" width="6.42578125" customWidth="1"/>
    <col min="78" max="78" width="6.85546875" customWidth="1"/>
    <col min="79" max="80" width="6.42578125" customWidth="1"/>
    <col min="81" max="81" width="6.85546875" customWidth="1"/>
    <col min="82" max="82" width="6.42578125" customWidth="1"/>
    <col min="83" max="83" width="5.140625" customWidth="1"/>
  </cols>
  <sheetData>
    <row r="1" spans="1:83" x14ac:dyDescent="0.25">
      <c r="A1" s="23"/>
      <c r="W1" t="s">
        <v>620</v>
      </c>
      <c r="Z1" t="s">
        <v>621</v>
      </c>
      <c r="AD1" t="s">
        <v>622</v>
      </c>
      <c r="AH1" t="s">
        <v>623</v>
      </c>
      <c r="AL1" t="s">
        <v>624</v>
      </c>
      <c r="AP1" t="s">
        <v>625</v>
      </c>
      <c r="AW1" t="s">
        <v>626</v>
      </c>
      <c r="BD1" t="s">
        <v>627</v>
      </c>
      <c r="BI1" t="s">
        <v>628</v>
      </c>
      <c r="BN1" t="s">
        <v>629</v>
      </c>
      <c r="BS1" t="s">
        <v>630</v>
      </c>
      <c r="BX1" t="s">
        <v>631</v>
      </c>
      <c r="CB1" t="s">
        <v>175</v>
      </c>
    </row>
    <row r="2" spans="1:83" x14ac:dyDescent="0.25">
      <c r="A2" s="31" t="s">
        <v>180</v>
      </c>
      <c r="B2" s="31" t="s">
        <v>632</v>
      </c>
      <c r="C2" s="31" t="s">
        <v>111</v>
      </c>
      <c r="D2" s="51" t="s">
        <v>294</v>
      </c>
      <c r="E2" s="31" t="s">
        <v>633</v>
      </c>
      <c r="F2" s="39" t="s">
        <v>634</v>
      </c>
      <c r="G2" s="39" t="s">
        <v>123</v>
      </c>
      <c r="H2" s="39" t="s">
        <v>124</v>
      </c>
      <c r="I2" s="40" t="s">
        <v>119</v>
      </c>
      <c r="J2" s="32" t="s">
        <v>521</v>
      </c>
      <c r="K2" s="32" t="s">
        <v>151</v>
      </c>
      <c r="L2" s="32" t="s">
        <v>186</v>
      </c>
      <c r="M2" s="32" t="s">
        <v>187</v>
      </c>
      <c r="N2" s="32" t="s">
        <v>318</v>
      </c>
      <c r="O2" s="32" t="s">
        <v>189</v>
      </c>
      <c r="P2" s="32" t="s">
        <v>190</v>
      </c>
      <c r="Q2" s="32" t="s">
        <v>191</v>
      </c>
      <c r="R2" s="33" t="s">
        <v>137</v>
      </c>
      <c r="S2" s="33" t="s">
        <v>635</v>
      </c>
      <c r="T2" s="33" t="s">
        <v>636</v>
      </c>
      <c r="U2" s="33" t="s">
        <v>637</v>
      </c>
      <c r="V2" s="33" t="s">
        <v>638</v>
      </c>
      <c r="W2" s="34" t="s">
        <v>639</v>
      </c>
      <c r="X2" s="34" t="s">
        <v>640</v>
      </c>
      <c r="Y2" s="34" t="s">
        <v>639</v>
      </c>
      <c r="Z2" s="35" t="s">
        <v>639</v>
      </c>
      <c r="AA2" s="35" t="s">
        <v>640</v>
      </c>
      <c r="AB2" s="35" t="s">
        <v>639</v>
      </c>
      <c r="AC2" s="35" t="s">
        <v>170</v>
      </c>
      <c r="AD2" s="35" t="s">
        <v>639</v>
      </c>
      <c r="AE2" s="35" t="s">
        <v>640</v>
      </c>
      <c r="AF2" s="35" t="s">
        <v>639</v>
      </c>
      <c r="AG2" s="35" t="s">
        <v>170</v>
      </c>
      <c r="AH2" s="34" t="s">
        <v>639</v>
      </c>
      <c r="AI2" s="34" t="s">
        <v>640</v>
      </c>
      <c r="AJ2" s="34" t="s">
        <v>170</v>
      </c>
      <c r="AK2" s="34" t="s">
        <v>641</v>
      </c>
      <c r="AL2" s="34" t="s">
        <v>639</v>
      </c>
      <c r="AM2" s="34" t="s">
        <v>640</v>
      </c>
      <c r="AN2" s="34" t="s">
        <v>170</v>
      </c>
      <c r="AO2" s="34" t="s">
        <v>641</v>
      </c>
      <c r="AP2" s="34" t="s">
        <v>639</v>
      </c>
      <c r="AQ2" s="34" t="s">
        <v>640</v>
      </c>
      <c r="AR2" s="34" t="s">
        <v>639</v>
      </c>
      <c r="AS2" s="34" t="s">
        <v>170</v>
      </c>
      <c r="AT2" s="34" t="s">
        <v>641</v>
      </c>
      <c r="AU2" s="34" t="s">
        <v>642</v>
      </c>
      <c r="AV2" s="34" t="s">
        <v>641</v>
      </c>
      <c r="AW2" s="34" t="s">
        <v>639</v>
      </c>
      <c r="AX2" s="34" t="s">
        <v>640</v>
      </c>
      <c r="AY2" s="34" t="s">
        <v>639</v>
      </c>
      <c r="AZ2" s="34" t="s">
        <v>170</v>
      </c>
      <c r="BA2" s="34" t="s">
        <v>641</v>
      </c>
      <c r="BB2" s="34" t="s">
        <v>642</v>
      </c>
      <c r="BC2" s="34" t="s">
        <v>641</v>
      </c>
      <c r="BD2" s="35" t="s">
        <v>639</v>
      </c>
      <c r="BE2" s="35" t="s">
        <v>640</v>
      </c>
      <c r="BF2" s="35" t="s">
        <v>170</v>
      </c>
      <c r="BG2" s="35" t="s">
        <v>641</v>
      </c>
      <c r="BH2" s="35" t="s">
        <v>642</v>
      </c>
      <c r="BI2" s="35" t="s">
        <v>639</v>
      </c>
      <c r="BJ2" s="35" t="s">
        <v>640</v>
      </c>
      <c r="BK2" s="35" t="s">
        <v>170</v>
      </c>
      <c r="BL2" s="35" t="s">
        <v>641</v>
      </c>
      <c r="BM2" s="35" t="s">
        <v>642</v>
      </c>
      <c r="BN2" s="34" t="s">
        <v>639</v>
      </c>
      <c r="BO2" s="34" t="s">
        <v>640</v>
      </c>
      <c r="BP2" s="34" t="s">
        <v>170</v>
      </c>
      <c r="BQ2" s="34" t="s">
        <v>641</v>
      </c>
      <c r="BR2" s="34" t="s">
        <v>642</v>
      </c>
      <c r="BS2" s="34" t="s">
        <v>639</v>
      </c>
      <c r="BT2" s="34" t="s">
        <v>640</v>
      </c>
      <c r="BU2" s="34" t="s">
        <v>170</v>
      </c>
      <c r="BV2" s="34" t="s">
        <v>641</v>
      </c>
      <c r="BW2" s="34" t="s">
        <v>642</v>
      </c>
      <c r="BX2" s="35" t="s">
        <v>170</v>
      </c>
      <c r="BY2" s="35" t="s">
        <v>641</v>
      </c>
      <c r="BZ2" s="35" t="s">
        <v>642</v>
      </c>
      <c r="CA2" s="35" t="s">
        <v>641</v>
      </c>
      <c r="CB2" s="34" t="s">
        <v>641</v>
      </c>
      <c r="CC2" s="34" t="s">
        <v>642</v>
      </c>
      <c r="CD2" s="34" t="s">
        <v>641</v>
      </c>
      <c r="CE2" s="34" t="s">
        <v>170</v>
      </c>
    </row>
    <row r="3" spans="1:83" x14ac:dyDescent="0.25">
      <c r="A3" t="str">
        <f>PLANTILLA!D4</f>
        <v>Cosme Fonteboa</v>
      </c>
      <c r="B3">
        <f>PLANTILLA!E4</f>
        <v>29</v>
      </c>
      <c r="C3" s="25">
        <f ca="1">PLANTILLA!F4</f>
        <v>46</v>
      </c>
      <c r="D3" s="42">
        <f>PLANTILLA!G4</f>
        <v>0</v>
      </c>
      <c r="E3" s="23">
        <f>PLANTILLA!M4</f>
        <v>43415</v>
      </c>
      <c r="F3" s="37">
        <f>PLANTILLA!Q4</f>
        <v>6</v>
      </c>
      <c r="G3" s="38">
        <f t="shared" ref="G3" si="0">(F3/7)^0.5</f>
        <v>0.92582009977255142</v>
      </c>
      <c r="H3" s="38">
        <f t="shared" ref="H3" si="1">IF(F3=7,1,((F3+0.99)/7)^0.5)</f>
        <v>0.99928545900129484</v>
      </c>
      <c r="I3" s="104">
        <f ca="1">PLANTILLA!N4</f>
        <v>1</v>
      </c>
      <c r="J3" s="29">
        <f>PLANTILLA!I4</f>
        <v>11.2</v>
      </c>
      <c r="K3" s="36">
        <f>PLANTILLA!X4</f>
        <v>15</v>
      </c>
      <c r="L3" s="36">
        <f>PLANTILLA!Y4</f>
        <v>13.214285714285714</v>
      </c>
      <c r="M3" s="36">
        <f>PLANTILLA!Z4</f>
        <v>0</v>
      </c>
      <c r="N3" s="36">
        <f>PLANTILLA!AA4</f>
        <v>2</v>
      </c>
      <c r="O3" s="36">
        <f>PLANTILLA!AB4</f>
        <v>1</v>
      </c>
      <c r="P3" s="36">
        <f>PLANTILLA!AC4</f>
        <v>1</v>
      </c>
      <c r="Q3" s="36">
        <f>PLANTILLA!AD4</f>
        <v>17</v>
      </c>
      <c r="R3" s="36">
        <f t="shared" ref="R3" si="2">((2*(O3+1))+(L3+1))/8</f>
        <v>2.2767857142857144</v>
      </c>
      <c r="S3" s="36">
        <f t="shared" ref="S3" si="3">(0.5*P3+0.3*Q3)/10</f>
        <v>0.55999999999999994</v>
      </c>
      <c r="T3" s="36">
        <f t="shared" ref="T3" si="4">(0.4*L3+0.3*Q3)/10</f>
        <v>1.0385714285714287</v>
      </c>
      <c r="U3" s="36">
        <f t="shared" ref="U3" ca="1" si="5">(Q3+I3+(LOG(J3)*4/3))*(F3/7)^0.5</f>
        <v>17.959944641814815</v>
      </c>
      <c r="V3" s="36">
        <f t="shared" ref="V3" ca="1" si="6">IF(F3=7,U3,(Q3+I3+(LOG(J3)*4/3))*((F3+0.99)/7)^0.5)</f>
        <v>19.385096013191845</v>
      </c>
      <c r="W3" s="27">
        <f t="shared" ref="W3" ca="1" si="7">((K3+I3+(LOG(J3)*4/3))*0.597)+((L3+I3+(LOG(J3)*4/3))*0.276)</f>
        <v>14.696432635530948</v>
      </c>
      <c r="X3" s="27">
        <f t="shared" ref="X3" ca="1" si="8">((K3+I3+(LOG(J3)*4/3))*0.866)+((L3+I3+(LOG(J3)*4/3))*0.425)</f>
        <v>21.703125384927702</v>
      </c>
      <c r="Y3" s="27">
        <f t="shared" ref="Y3" ca="1" si="9">W3</f>
        <v>14.696432635530948</v>
      </c>
      <c r="Z3" s="27">
        <f t="shared" ref="Z3" ca="1" si="10">((L3+I3+(LOG(J3)*4/3))*0.516)</f>
        <v>8.0564334281685142</v>
      </c>
      <c r="AA3" s="27">
        <f t="shared" ref="AA3" ca="1" si="11">((L3+I3+(LOG(J3)*4/3))*1)</f>
        <v>15.613243077845956</v>
      </c>
      <c r="AB3" s="27">
        <f t="shared" ref="AB3" ca="1" si="12">Z3/2</f>
        <v>4.0282167140842571</v>
      </c>
      <c r="AC3" s="27">
        <f t="shared" ref="AC3" ca="1" si="13">((M3+I3+(LOG(J3)*4/3))*0.238)</f>
        <v>0.57095185252733749</v>
      </c>
      <c r="AD3" s="27">
        <f t="shared" ref="AD3" ca="1" si="14">((L3+I3+(LOG(J3)*4/3))*0.378)</f>
        <v>5.9018058834257712</v>
      </c>
      <c r="AE3" s="27">
        <f t="shared" ref="AE3" ca="1" si="15">((L3+I3+(LOG(J3)*4/3))*0.723)</f>
        <v>11.288374745282626</v>
      </c>
      <c r="AF3" s="27">
        <f t="shared" ref="AF3" ca="1" si="16">AD3/2</f>
        <v>2.9509029417128856</v>
      </c>
      <c r="AG3" s="27">
        <f t="shared" ref="AG3" ca="1" si="17">((M3+I3+(LOG(J3)*4/3))*0.385)</f>
        <v>0.92359858497069303</v>
      </c>
      <c r="AH3" s="27">
        <f t="shared" ref="AH3" ca="1" si="18">((L3+I3+(LOG(J3)*4/3))*0.92)</f>
        <v>14.36418363161828</v>
      </c>
      <c r="AI3" s="27">
        <f t="shared" ref="AI3" ca="1" si="19">((L3+I3+(LOG(J3)*4/3))*0.414)</f>
        <v>6.4638826342282254</v>
      </c>
      <c r="AJ3" s="27">
        <f t="shared" ref="AJ3" ca="1" si="20">((M3+I3+(LOG(J3)*4/3))*0.167)</f>
        <v>0.40062587971456037</v>
      </c>
      <c r="AK3" s="27">
        <f t="shared" ref="AK3" ca="1" si="21">((N3+I3+(LOG(J3)*4/3))*0.588)</f>
        <v>2.5865869297734219</v>
      </c>
      <c r="AL3" s="27">
        <f t="shared" ref="AL3" ca="1" si="22">((L3+I3+(LOG(J3)*4/3))*0.754)</f>
        <v>11.77238528069585</v>
      </c>
      <c r="AM3" s="27">
        <f t="shared" ref="AM3" ca="1" si="23">((L3+I3+(LOG(J3)*4/3))*0.708)</f>
        <v>11.054176099114937</v>
      </c>
      <c r="AN3" s="27">
        <f t="shared" ref="AN3" ca="1" si="24">((Q3+I3+(LOG(J3)*4/3))*0.167)</f>
        <v>3.2396258797145605</v>
      </c>
      <c r="AO3" s="27">
        <f t="shared" ref="AO3" ca="1" si="25">((R3+I3+(LOG(J3)*4/3))*0.288)</f>
        <v>1.3466140064196352</v>
      </c>
      <c r="AP3" s="27">
        <f t="shared" ref="AP3" ca="1" si="26">((L3+I3+(LOG(J3)*4/3))*0.27)</f>
        <v>4.2155756310184085</v>
      </c>
      <c r="AQ3" s="27">
        <f t="shared" ref="AQ3" ca="1" si="27">((L3+I3+(LOG(J3)*4/3))*0.594)</f>
        <v>9.2742663882404983</v>
      </c>
      <c r="AR3" s="27">
        <f t="shared" ref="AR3" ca="1" si="28">AP3/2</f>
        <v>2.1077878155092042</v>
      </c>
      <c r="AS3" s="27">
        <f t="shared" ref="AS3" ca="1" si="29">((M3+I3+(LOG(J3)*4/3))*0.944)</f>
        <v>2.2646157512008682</v>
      </c>
      <c r="AT3" s="27">
        <f t="shared" ref="AT3" ca="1" si="30">((O3+I3+(LOG(J3)*4/3))*0.13)</f>
        <v>0.44186445726283141</v>
      </c>
      <c r="AU3" s="27">
        <f t="shared" ref="AU3" ca="1" si="31">((P3+I3+(LOG(J3)*4/3))*0.173)+((O3+I3+(LOG(J3)*4/3))*0.12)</f>
        <v>0.99589450752315078</v>
      </c>
      <c r="AV3" s="27">
        <f t="shared" ref="AV3" ca="1" si="32">AT3/2</f>
        <v>0.22093222863141571</v>
      </c>
      <c r="AW3" s="27">
        <f t="shared" ref="AW3" ca="1" si="33">((L3+I3+(LOG(J3)*4/3))*0.189)</f>
        <v>2.9509029417128856</v>
      </c>
      <c r="AX3" s="27">
        <f t="shared" ref="AX3" ca="1" si="34">((L3+I3+(LOG(J3)*4/3))*0.4)</f>
        <v>6.245297231138383</v>
      </c>
      <c r="AY3" s="27">
        <f t="shared" ref="AY3" ca="1" si="35">AW3/2</f>
        <v>1.4754514708564428</v>
      </c>
      <c r="AZ3" s="27">
        <f t="shared" ref="AZ3" ca="1" si="36">((M3+I3+(LOG(J3)*4/3))*1)</f>
        <v>2.3989573635602417</v>
      </c>
      <c r="BA3" s="27">
        <f t="shared" ref="BA3" ca="1" si="37">((O3+I3+(LOG(J3)*4/3))*0.253)</f>
        <v>0.85993621298074119</v>
      </c>
      <c r="BB3" s="27">
        <f t="shared" ref="BB3" ca="1" si="38">((P3+I3+(LOG(J3)*4/3))*0.21)+((O3+I3+(LOG(J3)*4/3))*0.341)</f>
        <v>1.8728255073216933</v>
      </c>
      <c r="BC3" s="27">
        <f t="shared" ref="BC3" ca="1" si="39">BA3/2</f>
        <v>0.42996810649037059</v>
      </c>
      <c r="BD3" s="27">
        <f t="shared" ref="BD3" ca="1" si="40">((L3+I3+(LOG(J3)*4/3))*0.291)</f>
        <v>4.5434537356531726</v>
      </c>
      <c r="BE3" s="27">
        <f t="shared" ref="BE3" ca="1" si="41">((L3+I3+(LOG(J3)*4/3))*0.348)</f>
        <v>5.4334085910903926</v>
      </c>
      <c r="BF3" s="27">
        <f t="shared" ref="BF3" ca="1" si="42">((M3+I3+(LOG(J3)*4/3))*0.881)</f>
        <v>2.1134814372965729</v>
      </c>
      <c r="BG3" s="27">
        <f t="shared" ref="BG3" ca="1" si="43">((N3+I3+(LOG(J3)*4/3))*0.574)+((O3+I3+(LOG(J3)*4/3))*0.315)</f>
        <v>3.5956730962050547</v>
      </c>
      <c r="BH3" s="27">
        <f t="shared" ref="BH3" ca="1" si="44">((O3+I3+(LOG(J3)*4/3))*0.241)</f>
        <v>0.81914872461801824</v>
      </c>
      <c r="BI3" s="27">
        <f t="shared" ref="BI3" ca="1" si="45">((L3+I3+(LOG(J3)*4/3))*0.485)</f>
        <v>7.5724228927552888</v>
      </c>
      <c r="BJ3" s="27">
        <f t="shared" ref="BJ3" ca="1" si="46">((L3+I3+(LOG(J3)*4/3))*0.264)</f>
        <v>4.1218961725513328</v>
      </c>
      <c r="BK3" s="27">
        <f t="shared" ref="BK3" ca="1" si="47">((M3+I3+(LOG(J3)*4/3))*0.381)</f>
        <v>0.91400275551645205</v>
      </c>
      <c r="BL3" s="27">
        <f t="shared" ref="BL3" ca="1" si="48">((N3+I3+(LOG(J3)*4/3))*0.673)+((O3+I3+(LOG(J3)*4/3))*0.201)</f>
        <v>3.6436887357516516</v>
      </c>
      <c r="BM3" s="27">
        <f t="shared" ref="BM3" ca="1" si="49">((O3+I3+(LOG(J3)*4/3))*0.052)</f>
        <v>0.17674578290513257</v>
      </c>
      <c r="BN3" s="27">
        <f t="shared" ref="BN3" ca="1" si="50">((L3+I3+(LOG(J3)*4/3))*0.18)</f>
        <v>2.810383754012272</v>
      </c>
      <c r="BO3" s="27">
        <f t="shared" ref="BO3" ca="1" si="51">((L3+I3+(LOG(J3)*4/3))*0.068)</f>
        <v>1.0617005292935251</v>
      </c>
      <c r="BP3" s="27">
        <f t="shared" ref="BP3" ca="1" si="52">((M3+I3+(LOG(J3)*4/3))*0.305)</f>
        <v>0.73168199588587368</v>
      </c>
      <c r="BQ3" s="27">
        <f t="shared" ref="BQ3" ca="1" si="53">((N3+I3+(LOG(J3)*4/3))*1)+((O3+I3+(LOG(J3)*4/3))*0.286)</f>
        <v>5.3710591695384711</v>
      </c>
      <c r="BR3" s="27">
        <f t="shared" ref="BR3" ca="1" si="54">((O3+I3+(LOG(J3)*4/3))*0.135)</f>
        <v>0.45885924408063267</v>
      </c>
      <c r="BS3" s="27">
        <f t="shared" ref="BS3" ca="1" si="55">((L3+I3+(LOG(J3)*4/3))*0.284)</f>
        <v>4.4341610341082509</v>
      </c>
      <c r="BT3" s="27">
        <f t="shared" ref="BT3" ca="1" si="56">((L3+I3+(LOG(J3)*4/3))*0.244)</f>
        <v>3.8096313109944133</v>
      </c>
      <c r="BU3" s="27">
        <f t="shared" ref="BU3" ca="1" si="57">((M3+I3+(LOG(J3)*4/3))*0.631)</f>
        <v>1.5137420964065125</v>
      </c>
      <c r="BV3" s="27">
        <f t="shared" ref="BV3" ca="1" si="58">((N3+I3+(LOG(J3)*4/3))*0.702)+((O3+I3+(LOG(J3)*4/3))*0.193)</f>
        <v>3.7440668403864166</v>
      </c>
      <c r="BW3" s="27">
        <f t="shared" ref="BW3" ca="1" si="59">((O3+I3+(LOG(J3)*4/3))*0.148)</f>
        <v>0.50304568980691577</v>
      </c>
      <c r="BX3" s="27">
        <f t="shared" ref="BX3" ca="1" si="60">((M3+I3+(LOG(J3)*4/3))*0.406)</f>
        <v>0.97397668960545825</v>
      </c>
      <c r="BY3" s="27">
        <f t="shared" ref="BY3" ca="1" si="61">IF(D3="TEC",((N3+I3+(LOG(J3)*4/3))*0.15)+((O3+I3+(LOG(J3)*4/3))*0.324)+((P3+I3+(LOG(J3)*4/3))*0.127),((N3+I3+(LOG(J3)*4/3))*0.144)+((O3+I3+(LOG(J3)*4/3))*0.25)+((P3+I3+(LOG(J3)*4/3))*0.127))</f>
        <v>1.914856786414886</v>
      </c>
      <c r="BZ3" s="27">
        <f t="shared" ref="BZ3" ca="1" si="62">IF(D3="TEC",((O3+I3+(LOG(J3)*4/3))*0.543)+((P3+I3+(LOG(J3)*4/3))*0.583),((O3+I3+(LOG(J3)*4/3))*0.543)+((P3+I3+(LOG(J3)*4/3))*0.583))</f>
        <v>3.8272259913688318</v>
      </c>
      <c r="CA3" s="27">
        <f t="shared" ref="CA3" ca="1" si="63">BY3</f>
        <v>1.914856786414886</v>
      </c>
      <c r="CB3" s="27">
        <f t="shared" ref="CB3" ca="1" si="64">((P3+I3+(LOG(J3)*4/3))*0.26)+((N3+I3+(LOG(J3)*4/3))*0.221)+((O3+I3+(LOG(J3)*4/3))*0.142)</f>
        <v>2.3385504374980308</v>
      </c>
      <c r="CC3" s="27">
        <f t="shared" ref="CC3" ca="1" si="65">((P3+I3+(LOG(J3)*4/3))*1)+((O3+I3+(LOG(J3)*4/3))*0.369)</f>
        <v>4.6531726307139714</v>
      </c>
      <c r="CD3" s="27">
        <f t="shared" ref="CD3" ca="1" si="66">CB3</f>
        <v>2.3385504374980308</v>
      </c>
      <c r="CE3" s="27">
        <f t="shared" ref="CE3" ca="1" si="67">((M3+I3+(LOG(J3)*4/3))*0.25)</f>
        <v>0.59973934089006042</v>
      </c>
    </row>
    <row r="4" spans="1:83" x14ac:dyDescent="0.25">
      <c r="A4" t="str">
        <f>PLANTILLA!D5</f>
        <v>Nicolae Hornet</v>
      </c>
      <c r="B4">
        <f>PLANTILLA!E5</f>
        <v>29</v>
      </c>
      <c r="C4" s="25">
        <f ca="1">PLANTILLA!F5</f>
        <v>71</v>
      </c>
      <c r="D4" s="42">
        <f>PLANTILLA!G5</f>
        <v>0</v>
      </c>
      <c r="E4" s="23">
        <f>PLANTILLA!M5</f>
        <v>43190</v>
      </c>
      <c r="F4" s="37">
        <f>PLANTILLA!Q5</f>
        <v>4</v>
      </c>
      <c r="G4" s="38">
        <f t="shared" ref="G4:G19" si="68">(F4/7)^0.5</f>
        <v>0.7559289460184544</v>
      </c>
      <c r="H4" s="38">
        <f t="shared" ref="H4:H19" si="69">IF(F4=7,1,((F4+0.99)/7)^0.5)</f>
        <v>0.84430867747355465</v>
      </c>
      <c r="I4" s="104">
        <f ca="1">PLANTILLA!N5</f>
        <v>1</v>
      </c>
      <c r="J4" s="29">
        <f>PLANTILLA!I5</f>
        <v>2.2999999999999998</v>
      </c>
      <c r="K4" s="36">
        <f>PLANTILLA!X5</f>
        <v>6</v>
      </c>
      <c r="L4" s="36">
        <f>PLANTILLA!Y5</f>
        <v>6</v>
      </c>
      <c r="M4" s="36">
        <f>PLANTILLA!Z5</f>
        <v>0</v>
      </c>
      <c r="N4" s="36">
        <f>PLANTILLA!AA5</f>
        <v>3</v>
      </c>
      <c r="O4" s="36">
        <f>PLANTILLA!AB5</f>
        <v>1</v>
      </c>
      <c r="P4" s="36">
        <f>PLANTILLA!AC5</f>
        <v>1</v>
      </c>
      <c r="Q4" s="36">
        <f>PLANTILLA!AD5</f>
        <v>5</v>
      </c>
      <c r="R4" s="36">
        <f t="shared" ref="R4:R19" si="70">((2*(O4+1))+(L4+1))/8</f>
        <v>1.375</v>
      </c>
      <c r="S4" s="36">
        <f t="shared" ref="S4:S19" si="71">(0.5*P4+0.3*Q4)/10</f>
        <v>0.2</v>
      </c>
      <c r="T4" s="36">
        <f t="shared" ref="T4:T19" si="72">(0.4*L4+0.3*Q4)/10</f>
        <v>0.39</v>
      </c>
      <c r="U4" s="36">
        <f t="shared" ref="U4:U19" ca="1" si="73">(Q4+I4+(LOG(J4)*4/3))*(F4/7)^0.5</f>
        <v>4.9001610652124805</v>
      </c>
      <c r="V4" s="36">
        <f t="shared" ref="V4:V19" ca="1" si="74">IF(F4=7,U4,(Q4+I4+(LOG(J4)*4/3))*((F4+0.99)/7)^0.5)</f>
        <v>5.4730653326191741</v>
      </c>
      <c r="W4" s="27">
        <f t="shared" ref="W4:W19" ca="1" si="75">((K4+I4+(LOG(J4)*4/3))*0.597)+((L4+I4+(LOG(J4)*4/3))*0.276)</f>
        <v>6.532051201124478</v>
      </c>
      <c r="X4" s="27">
        <f t="shared" ref="X4:X19" ca="1" si="76">((K4+I4+(LOG(J4)*4/3))*0.866)+((L4+I4+(LOG(J4)*4/3))*0.425)</f>
        <v>9.6596541817316179</v>
      </c>
      <c r="Y4" s="27">
        <f t="shared" ref="Y4:Y19" ca="1" si="77">W4</f>
        <v>6.532051201124478</v>
      </c>
      <c r="Z4" s="27">
        <f t="shared" ref="Z4:Z19" ca="1" si="78">((L4+I4+(LOG(J4)*4/3))*0.516)</f>
        <v>3.8608687511801043</v>
      </c>
      <c r="AA4" s="27">
        <f t="shared" ref="AA4:AA19" ca="1" si="79">((L4+I4+(LOG(J4)*4/3))*1)</f>
        <v>7.4823037813567908</v>
      </c>
      <c r="AB4" s="27">
        <f t="shared" ref="AB4:AB19" ca="1" si="80">Z4/2</f>
        <v>1.9304343755900522</v>
      </c>
      <c r="AC4" s="27">
        <f t="shared" ref="AC4:AC19" ca="1" si="81">((M4+I4+(LOG(J4)*4/3))*0.238)</f>
        <v>0.35278829996291611</v>
      </c>
      <c r="AD4" s="27">
        <f t="shared" ref="AD4:AD19" ca="1" si="82">((L4+I4+(LOG(J4)*4/3))*0.378)</f>
        <v>2.8283108293528669</v>
      </c>
      <c r="AE4" s="27">
        <f t="shared" ref="AE4:AE19" ca="1" si="83">((L4+I4+(LOG(J4)*4/3))*0.723)</f>
        <v>5.4097056339209599</v>
      </c>
      <c r="AF4" s="27">
        <f t="shared" ref="AF4:AF19" ca="1" si="84">AD4/2</f>
        <v>1.4141554146764335</v>
      </c>
      <c r="AG4" s="27">
        <f t="shared" ref="AG4:AG19" ca="1" si="85">((M4+I4+(LOG(J4)*4/3))*0.385)</f>
        <v>0.57068695582236439</v>
      </c>
      <c r="AH4" s="27">
        <f t="shared" ref="AH4:AH19" ca="1" si="86">((L4+I4+(LOG(J4)*4/3))*0.92)</f>
        <v>6.8837194788482474</v>
      </c>
      <c r="AI4" s="27">
        <f t="shared" ref="AI4:AI19" ca="1" si="87">((L4+I4+(LOG(J4)*4/3))*0.414)</f>
        <v>3.0976737654817112</v>
      </c>
      <c r="AJ4" s="27">
        <f t="shared" ref="AJ4:AJ19" ca="1" si="88">((M4+I4+(LOG(J4)*4/3))*0.167)</f>
        <v>0.24754473148658404</v>
      </c>
      <c r="AK4" s="27">
        <f t="shared" ref="AK4:AK19" ca="1" si="89">((N4+I4+(LOG(J4)*4/3))*0.588)</f>
        <v>2.6355946234377927</v>
      </c>
      <c r="AL4" s="27">
        <f t="shared" ref="AL4:AL19" ca="1" si="90">((L4+I4+(LOG(J4)*4/3))*0.754)</f>
        <v>5.64165705114302</v>
      </c>
      <c r="AM4" s="27">
        <f t="shared" ref="AM4:AM19" ca="1" si="91">((L4+I4+(LOG(J4)*4/3))*0.708)</f>
        <v>5.2974710772006075</v>
      </c>
      <c r="AN4" s="27">
        <f t="shared" ref="AN4:AN19" ca="1" si="92">((Q4+I4+(LOG(J4)*4/3))*0.167)</f>
        <v>1.0825447314865841</v>
      </c>
      <c r="AO4" s="27">
        <f t="shared" ref="AO4:AO19" ca="1" si="93">((R4+I4+(LOG(J4)*4/3))*0.288)</f>
        <v>0.8229034890307555</v>
      </c>
      <c r="AP4" s="27">
        <f t="shared" ref="AP4:AP19" ca="1" si="94">((L4+I4+(LOG(J4)*4/3))*0.27)</f>
        <v>2.0202220209663335</v>
      </c>
      <c r="AQ4" s="27">
        <f t="shared" ref="AQ4:AQ19" ca="1" si="95">((L4+I4+(LOG(J4)*4/3))*0.594)</f>
        <v>4.4444884461259333</v>
      </c>
      <c r="AR4" s="27">
        <f t="shared" ref="AR4:AR19" ca="1" si="96">AP4/2</f>
        <v>1.0101110104831668</v>
      </c>
      <c r="AS4" s="27">
        <f t="shared" ref="AS4:AS19" ca="1" si="97">((M4+I4+(LOG(J4)*4/3))*0.944)</f>
        <v>1.3992947696008102</v>
      </c>
      <c r="AT4" s="27">
        <f t="shared" ref="AT4:AT19" ca="1" si="98">((O4+I4+(LOG(J4)*4/3))*0.13)</f>
        <v>0.32269949157638272</v>
      </c>
      <c r="AU4" s="27">
        <f t="shared" ref="AU4:AU19" ca="1" si="99">((P4+I4+(LOG(J4)*4/3))*0.173)+((O4+I4+(LOG(J4)*4/3))*0.12)</f>
        <v>0.72731500793753956</v>
      </c>
      <c r="AV4" s="27">
        <f t="shared" ref="AV4:AV19" ca="1" si="100">AT4/2</f>
        <v>0.16134974578819136</v>
      </c>
      <c r="AW4" s="27">
        <f t="shared" ref="AW4:AW19" ca="1" si="101">((L4+I4+(LOG(J4)*4/3))*0.189)</f>
        <v>1.4141554146764335</v>
      </c>
      <c r="AX4" s="27">
        <f t="shared" ref="AX4:AX19" ca="1" si="102">((L4+I4+(LOG(J4)*4/3))*0.4)</f>
        <v>2.9929215125427167</v>
      </c>
      <c r="AY4" s="27">
        <f t="shared" ref="AY4:AY19" ca="1" si="103">AW4/2</f>
        <v>0.70707770733821673</v>
      </c>
      <c r="AZ4" s="27">
        <f t="shared" ref="AZ4:AZ19" ca="1" si="104">((M4+I4+(LOG(J4)*4/3))*1)</f>
        <v>1.4823037813567905</v>
      </c>
      <c r="BA4" s="27">
        <f t="shared" ref="BA4:BA19" ca="1" si="105">((O4+I4+(LOG(J4)*4/3))*0.253)</f>
        <v>0.62802285668326796</v>
      </c>
      <c r="BB4" s="27">
        <f t="shared" ref="BB4:BB19" ca="1" si="106">((P4+I4+(LOG(J4)*4/3))*0.21)+((O4+I4+(LOG(J4)*4/3))*0.341)</f>
        <v>1.3677493835275916</v>
      </c>
      <c r="BC4" s="27">
        <f t="shared" ref="BC4:BC19" ca="1" si="107">BA4/2</f>
        <v>0.31401142834163398</v>
      </c>
      <c r="BD4" s="27">
        <f t="shared" ref="BD4:BD19" ca="1" si="108">((L4+I4+(LOG(J4)*4/3))*0.291)</f>
        <v>2.1773504003748259</v>
      </c>
      <c r="BE4" s="27">
        <f t="shared" ref="BE4:BE19" ca="1" si="109">((L4+I4+(LOG(J4)*4/3))*0.348)</f>
        <v>2.603841715912163</v>
      </c>
      <c r="BF4" s="27">
        <f t="shared" ref="BF4:BF19" ca="1" si="110">((M4+I4+(LOG(J4)*4/3))*0.881)</f>
        <v>1.3059096313753324</v>
      </c>
      <c r="BG4" s="27">
        <f t="shared" ref="BG4:BG19" ca="1" si="111">((N4+I4+(LOG(J4)*4/3))*0.574)+((O4+I4+(LOG(J4)*4/3))*0.315)</f>
        <v>3.3547680616261863</v>
      </c>
      <c r="BH4" s="27">
        <f t="shared" ref="BH4:BH19" ca="1" si="112">((O4+I4+(LOG(J4)*4/3))*0.241)</f>
        <v>0.59823521130698643</v>
      </c>
      <c r="BI4" s="27">
        <f t="shared" ref="BI4:BI19" ca="1" si="113">((L4+I4+(LOG(J4)*4/3))*0.485)</f>
        <v>3.6289173339580434</v>
      </c>
      <c r="BJ4" s="27">
        <f t="shared" ref="BJ4:BJ19" ca="1" si="114">((L4+I4+(LOG(J4)*4/3))*0.264)</f>
        <v>1.9753281982781929</v>
      </c>
      <c r="BK4" s="27">
        <f t="shared" ref="BK4:BK19" ca="1" si="115">((M4+I4+(LOG(J4)*4/3))*0.381)</f>
        <v>0.56475774069693718</v>
      </c>
      <c r="BL4" s="27">
        <f t="shared" ref="BL4:BL19" ca="1" si="116">((N4+I4+(LOG(J4)*4/3))*0.673)+((O4+I4+(LOG(J4)*4/3))*0.201)</f>
        <v>3.5155335049058354</v>
      </c>
      <c r="BM4" s="27">
        <f t="shared" ref="BM4:BM19" ca="1" si="117">((O4+I4+(LOG(J4)*4/3))*0.052)</f>
        <v>0.12907979663055308</v>
      </c>
      <c r="BN4" s="27">
        <f t="shared" ref="BN4:BN19" ca="1" si="118">((L4+I4+(LOG(J4)*4/3))*0.18)</f>
        <v>1.3468146806442223</v>
      </c>
      <c r="BO4" s="27">
        <f t="shared" ref="BO4:BO19" ca="1" si="119">((L4+I4+(LOG(J4)*4/3))*0.068)</f>
        <v>0.50879665713226185</v>
      </c>
      <c r="BP4" s="27">
        <f t="shared" ref="BP4:BP19" ca="1" si="120">((M4+I4+(LOG(J4)*4/3))*0.305)</f>
        <v>0.4521026533138211</v>
      </c>
      <c r="BQ4" s="27">
        <f t="shared" ref="BQ4:BQ19" ca="1" si="121">((N4+I4+(LOG(J4)*4/3))*1)+((O4+I4+(LOG(J4)*4/3))*0.286)</f>
        <v>5.1922426628248326</v>
      </c>
      <c r="BR4" s="27">
        <f t="shared" ref="BR4:BR19" ca="1" si="122">((O4+I4+(LOG(J4)*4/3))*0.135)</f>
        <v>0.33511101048316672</v>
      </c>
      <c r="BS4" s="27">
        <f t="shared" ref="BS4:BS19" ca="1" si="123">((L4+I4+(LOG(J4)*4/3))*0.284)</f>
        <v>2.1249742739053286</v>
      </c>
      <c r="BT4" s="27">
        <f t="shared" ref="BT4:BT19" ca="1" si="124">((L4+I4+(LOG(J4)*4/3))*0.244)</f>
        <v>1.8256821226510569</v>
      </c>
      <c r="BU4" s="27">
        <f t="shared" ref="BU4:BU19" ca="1" si="125">((M4+I4+(LOG(J4)*4/3))*0.631)</f>
        <v>0.93533368603613487</v>
      </c>
      <c r="BV4" s="27">
        <f t="shared" ref="BV4:BV19" ca="1" si="126">((N4+I4+(LOG(J4)*4/3))*0.702)+((O4+I4+(LOG(J4)*4/3))*0.193)</f>
        <v>3.6256618843143276</v>
      </c>
      <c r="BW4" s="27">
        <f t="shared" ref="BW4:BW19" ca="1" si="127">((O4+I4+(LOG(J4)*4/3))*0.148)</f>
        <v>0.36738095964080497</v>
      </c>
      <c r="BX4" s="27">
        <f t="shared" ref="BX4:BX19" ca="1" si="128">((M4+I4+(LOG(J4)*4/3))*0.406)</f>
        <v>0.60181533523085695</v>
      </c>
      <c r="BY4" s="27">
        <f t="shared" ref="BY4:BY19" ca="1" si="129">IF(D4="TEC",((N4+I4+(LOG(J4)*4/3))*0.15)+((O4+I4+(LOG(J4)*4/3))*0.324)+((P4+I4+(LOG(J4)*4/3))*0.127),((N4+I4+(LOG(J4)*4/3))*0.144)+((O4+I4+(LOG(J4)*4/3))*0.25)+((P4+I4+(LOG(J4)*4/3))*0.127))</f>
        <v>1.581280270086888</v>
      </c>
      <c r="BZ4" s="27">
        <f t="shared" ref="BZ4:BZ19" ca="1" si="130">IF(D4="TEC",((O4+I4+(LOG(J4)*4/3))*0.543)+((P4+I4+(LOG(J4)*4/3))*0.583),((O4+I4+(LOG(J4)*4/3))*0.543)+((P4+I4+(LOG(J4)*4/3))*0.583))</f>
        <v>2.7950740578077458</v>
      </c>
      <c r="CA4" s="27">
        <f t="shared" ref="CA4:CA19" ca="1" si="131">BY4</f>
        <v>1.581280270086888</v>
      </c>
      <c r="CB4" s="27">
        <f t="shared" ref="CB4:CB19" ca="1" si="132">((P4+I4+(LOG(J4)*4/3))*0.26)+((N4+I4+(LOG(J4)*4/3))*0.221)+((O4+I4+(LOG(J4)*4/3))*0.142)</f>
        <v>1.9884752557852803</v>
      </c>
      <c r="CC4" s="27">
        <f t="shared" ref="CC4:CC19" ca="1" si="133">((P4+I4+(LOG(J4)*4/3))*1)+((O4+I4+(LOG(J4)*4/3))*0.369)</f>
        <v>3.3982738766774458</v>
      </c>
      <c r="CD4" s="27">
        <f t="shared" ref="CD4:CD19" ca="1" si="134">CB4</f>
        <v>1.9884752557852803</v>
      </c>
      <c r="CE4" s="27">
        <f t="shared" ref="CE4:CE19" ca="1" si="135">((M4+I4+(LOG(J4)*4/3))*0.25)</f>
        <v>0.37057594533919763</v>
      </c>
    </row>
    <row r="5" spans="1:83" x14ac:dyDescent="0.25">
      <c r="A5" t="str">
        <f>PLANTILLA!D17</f>
        <v>Roxelio Reboredo</v>
      </c>
      <c r="B5">
        <f>PLANTILLA!E17</f>
        <v>34</v>
      </c>
      <c r="C5" s="25">
        <f ca="1">PLANTILLA!F17</f>
        <v>29</v>
      </c>
      <c r="D5" s="42">
        <f>PLANTILLA!G17</f>
        <v>0</v>
      </c>
      <c r="E5" s="23">
        <f>PLANTILLA!M17</f>
        <v>44251</v>
      </c>
      <c r="F5" s="37">
        <f>PLANTILLA!Q17</f>
        <v>5</v>
      </c>
      <c r="G5" s="38">
        <f t="shared" si="68"/>
        <v>0.84515425472851657</v>
      </c>
      <c r="H5" s="38">
        <f t="shared" si="69"/>
        <v>0.92504826128926143</v>
      </c>
      <c r="I5" s="104">
        <f ca="1">PLANTILLA!N17</f>
        <v>0.64171294878145202</v>
      </c>
      <c r="J5" s="29">
        <f>PLANTILLA!I17</f>
        <v>10.3</v>
      </c>
      <c r="K5" s="36">
        <f>PLANTILLA!X17</f>
        <v>0</v>
      </c>
      <c r="L5" s="36">
        <f>PLANTILLA!Y17</f>
        <v>5.95</v>
      </c>
      <c r="M5" s="36">
        <f>PLANTILLA!Z17</f>
        <v>13</v>
      </c>
      <c r="N5" s="36">
        <f>PLANTILLA!AA17</f>
        <v>7</v>
      </c>
      <c r="O5" s="36">
        <f>PLANTILLA!AB17</f>
        <v>12</v>
      </c>
      <c r="P5" s="36">
        <f>PLANTILLA!AC17</f>
        <v>4</v>
      </c>
      <c r="Q5" s="36">
        <f>PLANTILLA!AD17</f>
        <v>16</v>
      </c>
      <c r="R5" s="36">
        <f t="shared" si="70"/>
        <v>4.1187500000000004</v>
      </c>
      <c r="S5" s="36">
        <f t="shared" si="71"/>
        <v>0.67999999999999994</v>
      </c>
      <c r="T5" s="36">
        <f t="shared" si="72"/>
        <v>0.71799999999999997</v>
      </c>
      <c r="U5" s="36">
        <f t="shared" ca="1" si="73"/>
        <v>15.206152757709292</v>
      </c>
      <c r="V5" s="36">
        <f t="shared" ca="1" si="74"/>
        <v>16.643618713055353</v>
      </c>
      <c r="W5" s="27">
        <f t="shared" ca="1" si="75"/>
        <v>3.3813579338430277</v>
      </c>
      <c r="X5" s="27">
        <f t="shared" ca="1" si="76"/>
        <v>5.1006318930026904</v>
      </c>
      <c r="Y5" s="27">
        <f t="shared" ca="1" si="77"/>
        <v>3.3813579338430277</v>
      </c>
      <c r="Z5" s="27">
        <f t="shared" ca="1" si="78"/>
        <v>4.0981558921683874</v>
      </c>
      <c r="AA5" s="27">
        <f t="shared" ca="1" si="79"/>
        <v>7.9421625817216812</v>
      </c>
      <c r="AB5" s="27">
        <f t="shared" ca="1" si="80"/>
        <v>2.0490779460841937</v>
      </c>
      <c r="AC5" s="27">
        <f t="shared" ca="1" si="81"/>
        <v>3.5681346944497601</v>
      </c>
      <c r="AD5" s="27">
        <f t="shared" ca="1" si="82"/>
        <v>3.0021374558907956</v>
      </c>
      <c r="AE5" s="27">
        <f t="shared" ca="1" si="83"/>
        <v>5.7421835465847755</v>
      </c>
      <c r="AF5" s="27">
        <f t="shared" ca="1" si="84"/>
        <v>1.5010687279453978</v>
      </c>
      <c r="AG5" s="27">
        <f t="shared" ca="1" si="85"/>
        <v>5.7719825939628473</v>
      </c>
      <c r="AH5" s="27">
        <f t="shared" ca="1" si="86"/>
        <v>7.3067895751839469</v>
      </c>
      <c r="AI5" s="27">
        <f t="shared" ca="1" si="87"/>
        <v>3.2880553088327757</v>
      </c>
      <c r="AJ5" s="27">
        <f t="shared" ca="1" si="88"/>
        <v>2.5036911511475211</v>
      </c>
      <c r="AK5" s="27">
        <f t="shared" ca="1" si="89"/>
        <v>5.2873915980523485</v>
      </c>
      <c r="AL5" s="27">
        <f t="shared" ca="1" si="90"/>
        <v>5.9883905866181477</v>
      </c>
      <c r="AM5" s="27">
        <f t="shared" ca="1" si="91"/>
        <v>5.6230511078589496</v>
      </c>
      <c r="AN5" s="27">
        <f t="shared" ca="1" si="92"/>
        <v>3.0046911511475214</v>
      </c>
      <c r="AO5" s="27">
        <f t="shared" ca="1" si="93"/>
        <v>1.7599428235358441</v>
      </c>
      <c r="AP5" s="27">
        <f t="shared" ca="1" si="94"/>
        <v>2.1443838970648539</v>
      </c>
      <c r="AQ5" s="27">
        <f t="shared" ca="1" si="95"/>
        <v>4.7176445735426782</v>
      </c>
      <c r="AR5" s="27">
        <f t="shared" ca="1" si="96"/>
        <v>1.0721919485324269</v>
      </c>
      <c r="AS5" s="27">
        <f t="shared" ca="1" si="97"/>
        <v>14.152601477145266</v>
      </c>
      <c r="AT5" s="27">
        <f t="shared" ca="1" si="98"/>
        <v>1.8189811356238186</v>
      </c>
      <c r="AU5" s="27">
        <f t="shared" ca="1" si="99"/>
        <v>2.7157036364444522</v>
      </c>
      <c r="AV5" s="27">
        <f t="shared" ca="1" si="100"/>
        <v>0.90949056781190929</v>
      </c>
      <c r="AW5" s="27">
        <f t="shared" ca="1" si="101"/>
        <v>1.5010687279453978</v>
      </c>
      <c r="AX5" s="27">
        <f t="shared" ca="1" si="102"/>
        <v>3.1768650326886725</v>
      </c>
      <c r="AY5" s="27">
        <f t="shared" ca="1" si="103"/>
        <v>0.7505343639726989</v>
      </c>
      <c r="AZ5" s="27">
        <f t="shared" ca="1" si="104"/>
        <v>14.992162581721681</v>
      </c>
      <c r="BA5" s="27">
        <f t="shared" ca="1" si="105"/>
        <v>3.5400171331755854</v>
      </c>
      <c r="BB5" s="27">
        <f t="shared" ca="1" si="106"/>
        <v>6.0296815825286458</v>
      </c>
      <c r="BC5" s="27">
        <f t="shared" ca="1" si="107"/>
        <v>1.7700085665877927</v>
      </c>
      <c r="BD5" s="27">
        <f t="shared" ca="1" si="108"/>
        <v>2.311169311281009</v>
      </c>
      <c r="BE5" s="27">
        <f t="shared" ca="1" si="109"/>
        <v>2.7638725784391447</v>
      </c>
      <c r="BF5" s="27">
        <f t="shared" ca="1" si="110"/>
        <v>13.208095234496801</v>
      </c>
      <c r="BG5" s="27">
        <f t="shared" ca="1" si="111"/>
        <v>9.5690325351505727</v>
      </c>
      <c r="BH5" s="27">
        <f t="shared" ca="1" si="112"/>
        <v>3.3721111821949252</v>
      </c>
      <c r="BI5" s="27">
        <f t="shared" ca="1" si="113"/>
        <v>3.8519488521350151</v>
      </c>
      <c r="BJ5" s="27">
        <f t="shared" ca="1" si="114"/>
        <v>2.0967309215745238</v>
      </c>
      <c r="BK5" s="27">
        <f t="shared" ca="1" si="115"/>
        <v>5.7120139436359603</v>
      </c>
      <c r="BL5" s="27">
        <f t="shared" ca="1" si="116"/>
        <v>8.8641500964247495</v>
      </c>
      <c r="BM5" s="27">
        <f t="shared" ca="1" si="117"/>
        <v>0.72759245424952734</v>
      </c>
      <c r="BN5" s="27">
        <f t="shared" ca="1" si="118"/>
        <v>1.4295892647099027</v>
      </c>
      <c r="BO5" s="27">
        <f t="shared" ca="1" si="119"/>
        <v>0.54006705555707435</v>
      </c>
      <c r="BP5" s="27">
        <f t="shared" ca="1" si="120"/>
        <v>4.5726095874251129</v>
      </c>
      <c r="BQ5" s="27">
        <f t="shared" ca="1" si="121"/>
        <v>12.993921080094083</v>
      </c>
      <c r="BR5" s="27">
        <f t="shared" ca="1" si="122"/>
        <v>1.888941948532427</v>
      </c>
      <c r="BS5" s="27">
        <f t="shared" ca="1" si="123"/>
        <v>2.2555741732089571</v>
      </c>
      <c r="BT5" s="27">
        <f t="shared" ca="1" si="124"/>
        <v>1.9378876699400902</v>
      </c>
      <c r="BU5" s="27">
        <f t="shared" ca="1" si="125"/>
        <v>9.460054589066381</v>
      </c>
      <c r="BV5" s="27">
        <f t="shared" ca="1" si="126"/>
        <v>9.0129855106409043</v>
      </c>
      <c r="BW5" s="27">
        <f t="shared" ca="1" si="127"/>
        <v>2.0708400620948089</v>
      </c>
      <c r="BX5" s="27">
        <f t="shared" ca="1" si="128"/>
        <v>6.0868180081790033</v>
      </c>
      <c r="BY5" s="27">
        <f t="shared" ca="1" si="129"/>
        <v>5.553916705076996</v>
      </c>
      <c r="BZ5" s="27">
        <f t="shared" ca="1" si="130"/>
        <v>11.091175067018613</v>
      </c>
      <c r="CA5" s="27">
        <f t="shared" ca="1" si="131"/>
        <v>5.553916705076996</v>
      </c>
      <c r="CB5" s="27">
        <f t="shared" ca="1" si="132"/>
        <v>5.5321172884126071</v>
      </c>
      <c r="CC5" s="27">
        <f t="shared" ca="1" si="133"/>
        <v>11.155270574376981</v>
      </c>
      <c r="CD5" s="27">
        <f t="shared" ca="1" si="134"/>
        <v>5.5321172884126071</v>
      </c>
      <c r="CE5" s="27">
        <f t="shared" ca="1" si="135"/>
        <v>3.7480406454304203</v>
      </c>
    </row>
    <row r="6" spans="1:83" x14ac:dyDescent="0.25">
      <c r="A6" t="str">
        <f>PLANTILLA!D6</f>
        <v>Iván Real Figueroa</v>
      </c>
      <c r="B6">
        <f>PLANTILLA!E6</f>
        <v>29</v>
      </c>
      <c r="C6" s="25">
        <f ca="1">PLANTILLA!F6</f>
        <v>24</v>
      </c>
      <c r="D6" s="42">
        <f>PLANTILLA!G6</f>
        <v>0</v>
      </c>
      <c r="E6" s="23">
        <f>PLANTILLA!M6</f>
        <v>43410</v>
      </c>
      <c r="F6" s="37">
        <f>PLANTILLA!Q6</f>
        <v>6</v>
      </c>
      <c r="G6" s="38">
        <f t="shared" si="68"/>
        <v>0.92582009977255142</v>
      </c>
      <c r="H6" s="38">
        <f t="shared" si="69"/>
        <v>0.99928545900129484</v>
      </c>
      <c r="I6" s="104">
        <f ca="1">PLANTILLA!N6</f>
        <v>1</v>
      </c>
      <c r="J6" s="29">
        <f>PLANTILLA!I6</f>
        <v>7.9</v>
      </c>
      <c r="K6" s="36">
        <f>PLANTILLA!X6</f>
        <v>0</v>
      </c>
      <c r="L6" s="36">
        <f>PLANTILLA!Y6</f>
        <v>16.043478260869566</v>
      </c>
      <c r="M6" s="36">
        <f>PLANTILLA!Z6</f>
        <v>5.25</v>
      </c>
      <c r="N6" s="36">
        <f>PLANTILLA!AA6</f>
        <v>9</v>
      </c>
      <c r="O6" s="36">
        <f>PLANTILLA!AB6</f>
        <v>9</v>
      </c>
      <c r="P6" s="36">
        <f>PLANTILLA!AC6</f>
        <v>1</v>
      </c>
      <c r="Q6" s="36">
        <f>PLANTILLA!AD6</f>
        <v>15.333333333333334</v>
      </c>
      <c r="R6" s="36">
        <f t="shared" si="70"/>
        <v>4.6304347826086953</v>
      </c>
      <c r="S6" s="36">
        <f t="shared" si="71"/>
        <v>0.51</v>
      </c>
      <c r="T6" s="36">
        <f t="shared" si="72"/>
        <v>1.1017391304347828</v>
      </c>
      <c r="U6" s="36">
        <f t="shared" ca="1" si="73"/>
        <v>16.22978323390776</v>
      </c>
      <c r="V6" s="36">
        <f t="shared" ca="1" si="74"/>
        <v>17.517643430264041</v>
      </c>
      <c r="W6" s="27">
        <f t="shared" ca="1" si="75"/>
        <v>6.3458379342620752</v>
      </c>
      <c r="X6" s="27">
        <f t="shared" ca="1" si="76"/>
        <v>9.6545936940108454</v>
      </c>
      <c r="Y6" s="27">
        <f t="shared" ca="1" si="77"/>
        <v>6.3458379342620752</v>
      </c>
      <c r="Z6" s="27">
        <f t="shared" ca="1" si="78"/>
        <v>9.4120022214165218</v>
      </c>
      <c r="AA6" s="27">
        <f t="shared" ca="1" si="79"/>
        <v>18.240314382590157</v>
      </c>
      <c r="AB6" s="27">
        <f t="shared" ca="1" si="80"/>
        <v>4.7060011107082609</v>
      </c>
      <c r="AC6" s="27">
        <f t="shared" ca="1" si="81"/>
        <v>1.7723469969695</v>
      </c>
      <c r="AD6" s="27">
        <f t="shared" ca="1" si="82"/>
        <v>6.8948388366190789</v>
      </c>
      <c r="AE6" s="27">
        <f t="shared" ca="1" si="83"/>
        <v>13.187747298612683</v>
      </c>
      <c r="AF6" s="27">
        <f t="shared" ca="1" si="84"/>
        <v>3.4474194183095395</v>
      </c>
      <c r="AG6" s="27">
        <f t="shared" ca="1" si="85"/>
        <v>2.8670319068624268</v>
      </c>
      <c r="AH6" s="27">
        <f t="shared" ca="1" si="86"/>
        <v>16.781089231982946</v>
      </c>
      <c r="AI6" s="27">
        <f t="shared" ca="1" si="87"/>
        <v>7.5514901543923241</v>
      </c>
      <c r="AJ6" s="27">
        <f t="shared" ca="1" si="88"/>
        <v>1.2436216323273384</v>
      </c>
      <c r="AK6" s="27">
        <f t="shared" ca="1" si="89"/>
        <v>6.5837396395717054</v>
      </c>
      <c r="AL6" s="27">
        <f t="shared" ca="1" si="90"/>
        <v>13.753197044472978</v>
      </c>
      <c r="AM6" s="27">
        <f t="shared" ca="1" si="91"/>
        <v>12.914142582873831</v>
      </c>
      <c r="AN6" s="27">
        <f t="shared" ca="1" si="92"/>
        <v>2.9275382989940057</v>
      </c>
      <c r="AO6" s="27">
        <f t="shared" ca="1" si="93"/>
        <v>1.9662540204468335</v>
      </c>
      <c r="AP6" s="27">
        <f t="shared" ca="1" si="94"/>
        <v>4.9248848832993426</v>
      </c>
      <c r="AQ6" s="27">
        <f t="shared" ca="1" si="95"/>
        <v>10.834746743258552</v>
      </c>
      <c r="AR6" s="27">
        <f t="shared" ca="1" si="96"/>
        <v>2.4624424416496713</v>
      </c>
      <c r="AS6" s="27">
        <f t="shared" ca="1" si="97"/>
        <v>7.0298132989042355</v>
      </c>
      <c r="AT6" s="27">
        <f t="shared" ca="1" si="98"/>
        <v>1.4555886958236766</v>
      </c>
      <c r="AU6" s="27">
        <f t="shared" ca="1" si="99"/>
        <v>1.8966729836641323</v>
      </c>
      <c r="AV6" s="27">
        <f t="shared" ca="1" si="100"/>
        <v>0.72779434791183828</v>
      </c>
      <c r="AW6" s="27">
        <f t="shared" ca="1" si="101"/>
        <v>3.4474194183095395</v>
      </c>
      <c r="AX6" s="27">
        <f t="shared" ca="1" si="102"/>
        <v>7.2961257530360628</v>
      </c>
      <c r="AY6" s="27">
        <f t="shared" ca="1" si="103"/>
        <v>1.7237097091547697</v>
      </c>
      <c r="AZ6" s="27">
        <f t="shared" ca="1" si="104"/>
        <v>7.4468361217205885</v>
      </c>
      <c r="BA6" s="27">
        <f t="shared" ca="1" si="105"/>
        <v>2.8327995387953089</v>
      </c>
      <c r="BB6" s="27">
        <f t="shared" ca="1" si="106"/>
        <v>4.4894567030680443</v>
      </c>
      <c r="BC6" s="27">
        <f t="shared" ca="1" si="107"/>
        <v>1.4163997693976544</v>
      </c>
      <c r="BD6" s="27">
        <f t="shared" ca="1" si="108"/>
        <v>5.3079314853337349</v>
      </c>
      <c r="BE6" s="27">
        <f t="shared" ca="1" si="109"/>
        <v>6.3476294051413742</v>
      </c>
      <c r="BF6" s="27">
        <f t="shared" ca="1" si="110"/>
        <v>6.5606626232358387</v>
      </c>
      <c r="BG6" s="27">
        <f t="shared" ca="1" si="111"/>
        <v>9.9539873122096019</v>
      </c>
      <c r="BH6" s="27">
        <f t="shared" ca="1" si="112"/>
        <v>2.6984375053346619</v>
      </c>
      <c r="BI6" s="27">
        <f t="shared" ca="1" si="113"/>
        <v>8.8465524755562264</v>
      </c>
      <c r="BJ6" s="27">
        <f t="shared" ca="1" si="114"/>
        <v>4.8154429970038013</v>
      </c>
      <c r="BK6" s="27">
        <f t="shared" ca="1" si="115"/>
        <v>2.8372445623755445</v>
      </c>
      <c r="BL6" s="27">
        <f t="shared" ca="1" si="116"/>
        <v>9.7860347703837949</v>
      </c>
      <c r="BM6" s="27">
        <f t="shared" ca="1" si="117"/>
        <v>0.58223547832947053</v>
      </c>
      <c r="BN6" s="27">
        <f t="shared" ca="1" si="118"/>
        <v>3.283256588866228</v>
      </c>
      <c r="BO6" s="27">
        <f t="shared" ca="1" si="119"/>
        <v>1.2403413780161308</v>
      </c>
      <c r="BP6" s="27">
        <f t="shared" ca="1" si="120"/>
        <v>2.2712850171247796</v>
      </c>
      <c r="BQ6" s="27">
        <f t="shared" ca="1" si="121"/>
        <v>14.399131252532676</v>
      </c>
      <c r="BR6" s="27">
        <f t="shared" ca="1" si="122"/>
        <v>1.5115728764322796</v>
      </c>
      <c r="BS6" s="27">
        <f t="shared" ca="1" si="123"/>
        <v>5.1802492846556039</v>
      </c>
      <c r="BT6" s="27">
        <f t="shared" ca="1" si="124"/>
        <v>4.4506367093519978</v>
      </c>
      <c r="BU6" s="27">
        <f t="shared" ca="1" si="125"/>
        <v>4.6989535928056911</v>
      </c>
      <c r="BV6" s="27">
        <f t="shared" ca="1" si="126"/>
        <v>10.021168328939927</v>
      </c>
      <c r="BW6" s="27">
        <f t="shared" ca="1" si="127"/>
        <v>1.6571317460146471</v>
      </c>
      <c r="BX6" s="27">
        <f t="shared" ca="1" si="128"/>
        <v>3.0234154654185592</v>
      </c>
      <c r="BY6" s="27">
        <f t="shared" ca="1" si="129"/>
        <v>4.8175516194164265</v>
      </c>
      <c r="BZ6" s="27">
        <f t="shared" ca="1" si="130"/>
        <v>7.9436374730573824</v>
      </c>
      <c r="CA6" s="27">
        <f t="shared" ca="1" si="131"/>
        <v>4.8175516194164265</v>
      </c>
      <c r="CB6" s="27">
        <f t="shared" ca="1" si="132"/>
        <v>4.8956289038319261</v>
      </c>
      <c r="CC6" s="27">
        <f t="shared" ca="1" si="133"/>
        <v>7.3284686506354859</v>
      </c>
      <c r="CD6" s="27">
        <f t="shared" ca="1" si="134"/>
        <v>4.8956289038319261</v>
      </c>
      <c r="CE6" s="27">
        <f t="shared" ca="1" si="135"/>
        <v>1.8617090304301471</v>
      </c>
    </row>
    <row r="7" spans="1:83" x14ac:dyDescent="0.25">
      <c r="A7" t="str">
        <f>PLANTILLA!D7</f>
        <v>Berto Abandero</v>
      </c>
      <c r="B7">
        <f>PLANTILLA!E7</f>
        <v>29</v>
      </c>
      <c r="C7" s="25">
        <f ca="1">PLANTILLA!F7</f>
        <v>74</v>
      </c>
      <c r="D7" s="42">
        <f>PLANTILLA!G7</f>
        <v>0</v>
      </c>
      <c r="E7" s="23">
        <f>PLANTILLA!M7</f>
        <v>43383</v>
      </c>
      <c r="F7" s="37">
        <f>PLANTILLA!Q7</f>
        <v>5</v>
      </c>
      <c r="G7" s="38">
        <f t="shared" si="68"/>
        <v>0.84515425472851657</v>
      </c>
      <c r="H7" s="38">
        <f t="shared" si="69"/>
        <v>0.92504826128926143</v>
      </c>
      <c r="I7" s="104">
        <f ca="1">PLANTILLA!N7</f>
        <v>1</v>
      </c>
      <c r="J7" s="29">
        <f>PLANTILLA!I7</f>
        <v>8.1</v>
      </c>
      <c r="K7" s="36">
        <f>PLANTILLA!X7</f>
        <v>0</v>
      </c>
      <c r="L7" s="36">
        <f>PLANTILLA!Y7</f>
        <v>14.875</v>
      </c>
      <c r="M7" s="36">
        <f>PLANTILLA!Z7</f>
        <v>3.4569444444444448</v>
      </c>
      <c r="N7" s="36">
        <f>PLANTILLA!AA7</f>
        <v>9.4</v>
      </c>
      <c r="O7" s="36">
        <f>PLANTILLA!AB7</f>
        <v>12</v>
      </c>
      <c r="P7" s="36">
        <f>PLANTILLA!AC7</f>
        <v>3.95</v>
      </c>
      <c r="Q7" s="36">
        <f>PLANTILLA!AD7</f>
        <v>15.666666666666666</v>
      </c>
      <c r="R7" s="36">
        <f t="shared" si="70"/>
        <v>5.234375</v>
      </c>
      <c r="S7" s="36">
        <f t="shared" si="71"/>
        <v>0.66749999999999987</v>
      </c>
      <c r="T7" s="36">
        <f t="shared" si="72"/>
        <v>1.0649999999999999</v>
      </c>
      <c r="U7" s="36">
        <f t="shared" ca="1" si="73"/>
        <v>15.109650884225152</v>
      </c>
      <c r="V7" s="36">
        <f t="shared" ca="1" si="74"/>
        <v>16.537994337649071</v>
      </c>
      <c r="W7" s="27">
        <f t="shared" ca="1" si="75"/>
        <v>6.0359765619747492</v>
      </c>
      <c r="X7" s="27">
        <f t="shared" ca="1" si="76"/>
        <v>9.1766805458297824</v>
      </c>
      <c r="Y7" s="27">
        <f t="shared" ca="1" si="77"/>
        <v>6.0359765619747492</v>
      </c>
      <c r="Z7" s="27">
        <f t="shared" ca="1" si="78"/>
        <v>8.8165376929885113</v>
      </c>
      <c r="AA7" s="27">
        <f t="shared" ca="1" si="79"/>
        <v>17.086313358504867</v>
      </c>
      <c r="AB7" s="27">
        <f t="shared" ca="1" si="80"/>
        <v>4.4082688464942557</v>
      </c>
      <c r="AC7" s="27">
        <f t="shared" ca="1" si="81"/>
        <v>1.3490453571019361</v>
      </c>
      <c r="AD7" s="27">
        <f t="shared" ca="1" si="82"/>
        <v>6.4586264495148402</v>
      </c>
      <c r="AE7" s="27">
        <f t="shared" ca="1" si="83"/>
        <v>12.353404558199019</v>
      </c>
      <c r="AF7" s="27">
        <f t="shared" ca="1" si="84"/>
        <v>3.2293132247574201</v>
      </c>
      <c r="AG7" s="27">
        <f t="shared" ca="1" si="85"/>
        <v>2.182279254135485</v>
      </c>
      <c r="AH7" s="27">
        <f t="shared" ca="1" si="86"/>
        <v>15.719408289824479</v>
      </c>
      <c r="AI7" s="27">
        <f t="shared" ca="1" si="87"/>
        <v>7.0737337304210151</v>
      </c>
      <c r="AJ7" s="27">
        <f t="shared" ca="1" si="88"/>
        <v>0.946599053092535</v>
      </c>
      <c r="AK7" s="27">
        <f t="shared" ca="1" si="89"/>
        <v>6.8274522548008605</v>
      </c>
      <c r="AL7" s="27">
        <f t="shared" ca="1" si="90"/>
        <v>12.88308027231267</v>
      </c>
      <c r="AM7" s="27">
        <f t="shared" ca="1" si="91"/>
        <v>12.097109857821446</v>
      </c>
      <c r="AN7" s="27">
        <f t="shared" ca="1" si="92"/>
        <v>2.9856226642036461</v>
      </c>
      <c r="AO7" s="27">
        <f t="shared" ca="1" si="93"/>
        <v>2.1443582472494014</v>
      </c>
      <c r="AP7" s="27">
        <f t="shared" ca="1" si="94"/>
        <v>4.6133046067963148</v>
      </c>
      <c r="AQ7" s="27">
        <f t="shared" ca="1" si="95"/>
        <v>10.149270134951891</v>
      </c>
      <c r="AR7" s="27">
        <f t="shared" ca="1" si="96"/>
        <v>2.3066523033981574</v>
      </c>
      <c r="AS7" s="27">
        <f t="shared" ca="1" si="97"/>
        <v>5.3508353659841497</v>
      </c>
      <c r="AT7" s="27">
        <f t="shared" ca="1" si="98"/>
        <v>1.8474707366056329</v>
      </c>
      <c r="AU7" s="27">
        <f t="shared" ca="1" si="99"/>
        <v>2.7712648140419258</v>
      </c>
      <c r="AV7" s="27">
        <f t="shared" ca="1" si="100"/>
        <v>0.92373536830281644</v>
      </c>
      <c r="AW7" s="27">
        <f t="shared" ca="1" si="101"/>
        <v>3.2293132247574201</v>
      </c>
      <c r="AX7" s="27">
        <f t="shared" ca="1" si="102"/>
        <v>6.8345253434019471</v>
      </c>
      <c r="AY7" s="27">
        <f t="shared" ca="1" si="103"/>
        <v>1.6146566123787101</v>
      </c>
      <c r="AZ7" s="27">
        <f t="shared" ca="1" si="104"/>
        <v>5.6682578029493111</v>
      </c>
      <c r="BA7" s="27">
        <f t="shared" ca="1" si="105"/>
        <v>3.5954622797017315</v>
      </c>
      <c r="BB7" s="27">
        <f t="shared" ca="1" si="106"/>
        <v>6.1399336605361814</v>
      </c>
      <c r="BC7" s="27">
        <f t="shared" ca="1" si="107"/>
        <v>1.7977311398508657</v>
      </c>
      <c r="BD7" s="27">
        <f t="shared" ca="1" si="108"/>
        <v>4.9721171873249164</v>
      </c>
      <c r="BE7" s="27">
        <f t="shared" ca="1" si="109"/>
        <v>5.9460370487596936</v>
      </c>
      <c r="BF7" s="27">
        <f t="shared" ca="1" si="110"/>
        <v>4.9937351243983432</v>
      </c>
      <c r="BG7" s="27">
        <f t="shared" ca="1" si="111"/>
        <v>11.141457575710826</v>
      </c>
      <c r="BH7" s="27">
        <f t="shared" ca="1" si="112"/>
        <v>3.4249265193996727</v>
      </c>
      <c r="BI7" s="27">
        <f t="shared" ca="1" si="113"/>
        <v>8.2868619788748603</v>
      </c>
      <c r="BJ7" s="27">
        <f t="shared" ca="1" si="114"/>
        <v>4.5107867266452848</v>
      </c>
      <c r="BK7" s="27">
        <f t="shared" ca="1" si="115"/>
        <v>2.1596062229236876</v>
      </c>
      <c r="BL7" s="27">
        <f t="shared" ca="1" si="116"/>
        <v>10.670887875333253</v>
      </c>
      <c r="BM7" s="27">
        <f t="shared" ca="1" si="117"/>
        <v>0.73898829464225302</v>
      </c>
      <c r="BN7" s="27">
        <f t="shared" ca="1" si="118"/>
        <v>3.075536404530876</v>
      </c>
      <c r="BO7" s="27">
        <f t="shared" ca="1" si="119"/>
        <v>1.1618693083783311</v>
      </c>
      <c r="BP7" s="27">
        <f t="shared" ca="1" si="120"/>
        <v>1.7288186298995398</v>
      </c>
      <c r="BQ7" s="27">
        <f t="shared" ca="1" si="121"/>
        <v>15.675748979037257</v>
      </c>
      <c r="BR7" s="27">
        <f t="shared" ca="1" si="122"/>
        <v>1.9185273033981571</v>
      </c>
      <c r="BS7" s="27">
        <f t="shared" ca="1" si="123"/>
        <v>4.8525129938153819</v>
      </c>
      <c r="BT7" s="27">
        <f t="shared" ca="1" si="124"/>
        <v>4.1690604594751877</v>
      </c>
      <c r="BU7" s="27">
        <f t="shared" ca="1" si="125"/>
        <v>3.5766706736610154</v>
      </c>
      <c r="BV7" s="27">
        <f t="shared" ca="1" si="126"/>
        <v>10.893925455861854</v>
      </c>
      <c r="BW7" s="27">
        <f t="shared" ca="1" si="127"/>
        <v>2.1032743770587201</v>
      </c>
      <c r="BX7" s="27">
        <f t="shared" ca="1" si="128"/>
        <v>2.3013126679974203</v>
      </c>
      <c r="BY7" s="27">
        <f t="shared" ca="1" si="129"/>
        <v>6.0073442597810347</v>
      </c>
      <c r="BZ7" s="27">
        <f t="shared" ca="1" si="130"/>
        <v>11.308788841676481</v>
      </c>
      <c r="CA7" s="27">
        <f t="shared" ca="1" si="131"/>
        <v>6.0073442597810347</v>
      </c>
      <c r="CB7" s="27">
        <f t="shared" ca="1" si="132"/>
        <v>6.186048222348532</v>
      </c>
      <c r="CC7" s="27">
        <f t="shared" ca="1" si="133"/>
        <v>11.405287987793162</v>
      </c>
      <c r="CD7" s="27">
        <f t="shared" ca="1" si="134"/>
        <v>6.186048222348532</v>
      </c>
      <c r="CE7" s="27">
        <f t="shared" ca="1" si="135"/>
        <v>1.4170644507373278</v>
      </c>
    </row>
    <row r="8" spans="1:83" x14ac:dyDescent="0.25">
      <c r="A8" t="str">
        <f>PLANTILLA!D8</f>
        <v>Guillermo Pedrajas</v>
      </c>
      <c r="B8">
        <f>PLANTILLA!E8</f>
        <v>29</v>
      </c>
      <c r="C8" s="25">
        <f ca="1">PLANTILLA!F8</f>
        <v>59</v>
      </c>
      <c r="D8" s="42">
        <f>PLANTILLA!G8</f>
        <v>0</v>
      </c>
      <c r="E8" s="23">
        <f>PLANTILLA!M8</f>
        <v>43419</v>
      </c>
      <c r="F8" s="37">
        <f>PLANTILLA!Q8</f>
        <v>6</v>
      </c>
      <c r="G8" s="38">
        <f t="shared" si="68"/>
        <v>0.92582009977255142</v>
      </c>
      <c r="H8" s="38">
        <f t="shared" si="69"/>
        <v>0.99928545900129484</v>
      </c>
      <c r="I8" s="104">
        <f ca="1">PLANTILLA!N8</f>
        <v>1</v>
      </c>
      <c r="J8" s="29">
        <f>PLANTILLA!I8</f>
        <v>9</v>
      </c>
      <c r="K8" s="36">
        <f>PLANTILLA!X8</f>
        <v>0</v>
      </c>
      <c r="L8" s="36">
        <f>PLANTILLA!Y8</f>
        <v>13.1875</v>
      </c>
      <c r="M8" s="36">
        <f>PLANTILLA!Z8</f>
        <v>11.666666666666666</v>
      </c>
      <c r="N8" s="36">
        <f>PLANTILLA!AA8</f>
        <v>5.25</v>
      </c>
      <c r="O8" s="36">
        <f>PLANTILLA!AB8</f>
        <v>11.142857142857142</v>
      </c>
      <c r="P8" s="36">
        <f>PLANTILLA!AC8</f>
        <v>4</v>
      </c>
      <c r="Q8" s="36">
        <f>PLANTILLA!AD8</f>
        <v>15.333333333333334</v>
      </c>
      <c r="R8" s="36">
        <f t="shared" si="70"/>
        <v>4.8091517857142856</v>
      </c>
      <c r="S8" s="36">
        <f t="shared" si="71"/>
        <v>0.65999999999999992</v>
      </c>
      <c r="T8" s="36">
        <f t="shared" si="72"/>
        <v>0.98750000000000004</v>
      </c>
      <c r="U8" s="36">
        <f t="shared" ca="1" si="73"/>
        <v>16.299670823346776</v>
      </c>
      <c r="V8" s="36">
        <f t="shared" ca="1" si="74"/>
        <v>17.593076715745983</v>
      </c>
      <c r="W8" s="27">
        <f t="shared" ca="1" si="75"/>
        <v>5.6234882809873739</v>
      </c>
      <c r="X8" s="27">
        <f t="shared" ca="1" si="76"/>
        <v>8.538256939581558</v>
      </c>
      <c r="Y8" s="27">
        <f t="shared" ca="1" si="77"/>
        <v>5.6234882809873739</v>
      </c>
      <c r="Z8" s="27">
        <f t="shared" ca="1" si="78"/>
        <v>7.9772688464942556</v>
      </c>
      <c r="AA8" s="27">
        <f t="shared" ca="1" si="79"/>
        <v>15.4598233459191</v>
      </c>
      <c r="AB8" s="27">
        <f t="shared" ca="1" si="80"/>
        <v>3.9886344232471278</v>
      </c>
      <c r="AC8" s="27">
        <f t="shared" ca="1" si="81"/>
        <v>3.3174796229954122</v>
      </c>
      <c r="AD8" s="27">
        <f t="shared" ca="1" si="82"/>
        <v>5.8438132247574197</v>
      </c>
      <c r="AE8" s="27">
        <f t="shared" ca="1" si="83"/>
        <v>11.177452279099509</v>
      </c>
      <c r="AF8" s="27">
        <f t="shared" ca="1" si="84"/>
        <v>2.9219066123787099</v>
      </c>
      <c r="AG8" s="27">
        <f t="shared" ca="1" si="85"/>
        <v>5.3665111548455195</v>
      </c>
      <c r="AH8" s="27">
        <f t="shared" ca="1" si="86"/>
        <v>14.223037478245573</v>
      </c>
      <c r="AI8" s="27">
        <f t="shared" ca="1" si="87"/>
        <v>6.4003668652105068</v>
      </c>
      <c r="AJ8" s="27">
        <f t="shared" ca="1" si="88"/>
        <v>2.327811332101823</v>
      </c>
      <c r="AK8" s="27">
        <f t="shared" ca="1" si="89"/>
        <v>4.4231261274004305</v>
      </c>
      <c r="AL8" s="27">
        <f t="shared" ca="1" si="90"/>
        <v>11.656706802823001</v>
      </c>
      <c r="AM8" s="27">
        <f t="shared" ca="1" si="91"/>
        <v>10.945554928910722</v>
      </c>
      <c r="AN8" s="27">
        <f t="shared" ca="1" si="92"/>
        <v>2.9401446654351573</v>
      </c>
      <c r="AO8" s="27">
        <f t="shared" ca="1" si="93"/>
        <v>2.039464837910415</v>
      </c>
      <c r="AP8" s="27">
        <f t="shared" ca="1" si="94"/>
        <v>4.1741523033981576</v>
      </c>
      <c r="AQ8" s="27">
        <f t="shared" ca="1" si="95"/>
        <v>9.1831350674759449</v>
      </c>
      <c r="AR8" s="27">
        <f t="shared" ca="1" si="96"/>
        <v>2.0870761516990788</v>
      </c>
      <c r="AS8" s="27">
        <f t="shared" ca="1" si="97"/>
        <v>13.158406571880962</v>
      </c>
      <c r="AT8" s="27">
        <f t="shared" ca="1" si="98"/>
        <v>1.7439734635409114</v>
      </c>
      <c r="AU8" s="27">
        <f t="shared" ca="1" si="99"/>
        <v>2.6949335974971533</v>
      </c>
      <c r="AV8" s="27">
        <f t="shared" ca="1" si="100"/>
        <v>0.87198673177045571</v>
      </c>
      <c r="AW8" s="27">
        <f t="shared" ca="1" si="101"/>
        <v>2.9219066123787099</v>
      </c>
      <c r="AX8" s="27">
        <f t="shared" ca="1" si="102"/>
        <v>6.1839293383676406</v>
      </c>
      <c r="AY8" s="27">
        <f t="shared" ca="1" si="103"/>
        <v>1.4609533061893549</v>
      </c>
      <c r="AZ8" s="27">
        <f t="shared" ca="1" si="104"/>
        <v>13.938990012585766</v>
      </c>
      <c r="BA8" s="27">
        <f t="shared" ca="1" si="105"/>
        <v>3.3940406636603893</v>
      </c>
      <c r="BB8" s="27">
        <f t="shared" ca="1" si="106"/>
        <v>5.8917644493157093</v>
      </c>
      <c r="BC8" s="27">
        <f t="shared" ca="1" si="107"/>
        <v>1.6970203318301946</v>
      </c>
      <c r="BD8" s="27">
        <f t="shared" ca="1" si="108"/>
        <v>4.4988085936624573</v>
      </c>
      <c r="BE8" s="27">
        <f t="shared" ca="1" si="109"/>
        <v>5.380018524379846</v>
      </c>
      <c r="BF8" s="27">
        <f t="shared" ca="1" si="110"/>
        <v>12.280250201088061</v>
      </c>
      <c r="BG8" s="27">
        <f t="shared" ca="1" si="111"/>
        <v>8.5435954545220802</v>
      </c>
      <c r="BH8" s="27">
        <f t="shared" ca="1" si="112"/>
        <v>3.2330584977950743</v>
      </c>
      <c r="BI8" s="27">
        <f t="shared" ca="1" si="113"/>
        <v>7.4980143227707634</v>
      </c>
      <c r="BJ8" s="27">
        <f t="shared" ca="1" si="114"/>
        <v>4.0813933633226425</v>
      </c>
      <c r="BK8" s="27">
        <f t="shared" ca="1" si="115"/>
        <v>5.3107551947951768</v>
      </c>
      <c r="BL8" s="27">
        <f t="shared" ca="1" si="116"/>
        <v>7.758974890047579</v>
      </c>
      <c r="BM8" s="27">
        <f t="shared" ca="1" si="117"/>
        <v>0.6975893854163645</v>
      </c>
      <c r="BN8" s="27">
        <f t="shared" ca="1" si="118"/>
        <v>2.7827682022654376</v>
      </c>
      <c r="BO8" s="27">
        <f t="shared" ca="1" si="119"/>
        <v>1.0512679875224988</v>
      </c>
      <c r="BP8" s="27">
        <f t="shared" ca="1" si="120"/>
        <v>4.2513919538386586</v>
      </c>
      <c r="BQ8" s="27">
        <f t="shared" ca="1" si="121"/>
        <v>11.359064965709106</v>
      </c>
      <c r="BR8" s="27">
        <f t="shared" ca="1" si="122"/>
        <v>1.8110493659847928</v>
      </c>
      <c r="BS8" s="27">
        <f t="shared" ca="1" si="123"/>
        <v>4.3905898302410238</v>
      </c>
      <c r="BT8" s="27">
        <f t="shared" ca="1" si="124"/>
        <v>3.7721968964042603</v>
      </c>
      <c r="BU8" s="27">
        <f t="shared" ca="1" si="125"/>
        <v>8.7955026979416182</v>
      </c>
      <c r="BV8" s="27">
        <f t="shared" ca="1" si="126"/>
        <v>7.8698008231690224</v>
      </c>
      <c r="BW8" s="27">
        <f t="shared" ca="1" si="127"/>
        <v>1.9854467123388837</v>
      </c>
      <c r="BX8" s="27">
        <f t="shared" ca="1" si="128"/>
        <v>5.6592299451098214</v>
      </c>
      <c r="BY8" s="27">
        <f t="shared" ca="1" si="129"/>
        <v>5.2335947489381365</v>
      </c>
      <c r="BZ8" s="27">
        <f t="shared" ca="1" si="130"/>
        <v>10.941207516076334</v>
      </c>
      <c r="CA8" s="27">
        <f t="shared" ca="1" si="131"/>
        <v>5.2335947489381365</v>
      </c>
      <c r="CB8" s="27">
        <f t="shared" ca="1" si="132"/>
        <v>5.1981931587933135</v>
      </c>
      <c r="CC8" s="27">
        <f t="shared" ca="1" si="133"/>
        <v>11.222524946277533</v>
      </c>
      <c r="CD8" s="27">
        <f t="shared" ca="1" si="134"/>
        <v>5.1981931587933135</v>
      </c>
      <c r="CE8" s="27">
        <f t="shared" ca="1" si="135"/>
        <v>3.4847475031464414</v>
      </c>
    </row>
    <row r="9" spans="1:83" x14ac:dyDescent="0.25">
      <c r="A9" t="str">
        <f>PLANTILLA!D9</f>
        <v>Venanci Oset</v>
      </c>
      <c r="B9">
        <f>PLANTILLA!E9</f>
        <v>29</v>
      </c>
      <c r="C9" s="25">
        <f ca="1">PLANTILLA!F9</f>
        <v>102</v>
      </c>
      <c r="D9" s="42">
        <f>PLANTILLA!G9</f>
        <v>0</v>
      </c>
      <c r="E9" s="23">
        <f>PLANTILLA!M9</f>
        <v>43706</v>
      </c>
      <c r="F9" s="37">
        <f>PLANTILLA!Q9</f>
        <v>6</v>
      </c>
      <c r="G9" s="38">
        <f t="shared" si="68"/>
        <v>0.92582009977255142</v>
      </c>
      <c r="H9" s="38">
        <f t="shared" si="69"/>
        <v>0.99928545900129484</v>
      </c>
      <c r="I9" s="104">
        <f ca="1">PLANTILLA!N9</f>
        <v>1</v>
      </c>
      <c r="J9" s="29">
        <f>PLANTILLA!I9</f>
        <v>8.1</v>
      </c>
      <c r="K9" s="36">
        <f>PLANTILLA!X9</f>
        <v>0</v>
      </c>
      <c r="L9" s="36">
        <f>PLANTILLA!Y9</f>
        <v>14.9375</v>
      </c>
      <c r="M9" s="36">
        <f>PLANTILLA!Z9</f>
        <v>5.375</v>
      </c>
      <c r="N9" s="36">
        <f>PLANTILLA!AA9</f>
        <v>3.3333333333333335</v>
      </c>
      <c r="O9" s="36">
        <f>PLANTILLA!AB9</f>
        <v>12.222222222222221</v>
      </c>
      <c r="P9" s="36">
        <f>PLANTILLA!AC9</f>
        <v>6</v>
      </c>
      <c r="Q9" s="36">
        <f>PLANTILLA!AD9</f>
        <v>15</v>
      </c>
      <c r="R9" s="36">
        <f t="shared" si="70"/>
        <v>5.2977430555555554</v>
      </c>
      <c r="S9" s="36">
        <f t="shared" si="71"/>
        <v>0.75</v>
      </c>
      <c r="T9" s="36">
        <f t="shared" si="72"/>
        <v>1.0475000000000001</v>
      </c>
      <c r="U9" s="36">
        <f t="shared" ca="1" si="73"/>
        <v>15.934579850787623</v>
      </c>
      <c r="V9" s="36">
        <f t="shared" ca="1" si="74"/>
        <v>17.199015169468655</v>
      </c>
      <c r="W9" s="27">
        <f t="shared" ca="1" si="75"/>
        <v>6.053226561974749</v>
      </c>
      <c r="X9" s="27">
        <f t="shared" ca="1" si="76"/>
        <v>9.2032430458297831</v>
      </c>
      <c r="Y9" s="27">
        <f t="shared" ca="1" si="77"/>
        <v>6.053226561974749</v>
      </c>
      <c r="Z9" s="27">
        <f t="shared" ca="1" si="78"/>
        <v>8.8487876929885125</v>
      </c>
      <c r="AA9" s="27">
        <f t="shared" ca="1" si="79"/>
        <v>17.148813358504867</v>
      </c>
      <c r="AB9" s="27">
        <f t="shared" ca="1" si="80"/>
        <v>4.4243938464942563</v>
      </c>
      <c r="AC9" s="27">
        <f t="shared" ca="1" si="81"/>
        <v>1.8055425793241582</v>
      </c>
      <c r="AD9" s="27">
        <f t="shared" ca="1" si="82"/>
        <v>6.4822514495148402</v>
      </c>
      <c r="AE9" s="27">
        <f t="shared" ca="1" si="83"/>
        <v>12.398592058199018</v>
      </c>
      <c r="AF9" s="27">
        <f t="shared" ca="1" si="84"/>
        <v>3.2411257247574201</v>
      </c>
      <c r="AG9" s="27">
        <f t="shared" ca="1" si="85"/>
        <v>2.9207306430243736</v>
      </c>
      <c r="AH9" s="27">
        <f t="shared" ca="1" si="86"/>
        <v>15.776908289824478</v>
      </c>
      <c r="AI9" s="27">
        <f t="shared" ca="1" si="87"/>
        <v>7.0996087304210143</v>
      </c>
      <c r="AJ9" s="27">
        <f t="shared" ca="1" si="88"/>
        <v>1.2669143308703128</v>
      </c>
      <c r="AK9" s="27">
        <f t="shared" ca="1" si="89"/>
        <v>3.2602522548008617</v>
      </c>
      <c r="AL9" s="27">
        <f t="shared" ca="1" si="90"/>
        <v>12.930205272312669</v>
      </c>
      <c r="AM9" s="27">
        <f t="shared" ca="1" si="91"/>
        <v>12.141359857821445</v>
      </c>
      <c r="AN9" s="27">
        <f t="shared" ca="1" si="92"/>
        <v>2.874289330870313</v>
      </c>
      <c r="AO9" s="27">
        <f t="shared" ca="1" si="93"/>
        <v>2.1626082472494015</v>
      </c>
      <c r="AP9" s="27">
        <f t="shared" ca="1" si="94"/>
        <v>4.6301796067963146</v>
      </c>
      <c r="AQ9" s="27">
        <f t="shared" ca="1" si="95"/>
        <v>10.186395134951891</v>
      </c>
      <c r="AR9" s="27">
        <f t="shared" ca="1" si="96"/>
        <v>2.3150898033981573</v>
      </c>
      <c r="AS9" s="27">
        <f t="shared" ca="1" si="97"/>
        <v>7.1614798104285935</v>
      </c>
      <c r="AT9" s="27">
        <f t="shared" ca="1" si="98"/>
        <v>1.8763596254945216</v>
      </c>
      <c r="AU9" s="27">
        <f t="shared" ca="1" si="99"/>
        <v>3.1525814807085926</v>
      </c>
      <c r="AV9" s="27">
        <f t="shared" ca="1" si="100"/>
        <v>0.93817981274726081</v>
      </c>
      <c r="AW9" s="27">
        <f t="shared" ca="1" si="101"/>
        <v>3.2411257247574201</v>
      </c>
      <c r="AX9" s="27">
        <f t="shared" ca="1" si="102"/>
        <v>6.8595253434019474</v>
      </c>
      <c r="AY9" s="27">
        <f t="shared" ca="1" si="103"/>
        <v>1.6205628623787101</v>
      </c>
      <c r="AZ9" s="27">
        <f t="shared" ca="1" si="104"/>
        <v>7.5863133585048663</v>
      </c>
      <c r="BA9" s="27">
        <f t="shared" ca="1" si="105"/>
        <v>3.6516845019239534</v>
      </c>
      <c r="BB9" s="27">
        <f t="shared" ca="1" si="106"/>
        <v>6.6462114383139594</v>
      </c>
      <c r="BC9" s="27">
        <f t="shared" ca="1" si="107"/>
        <v>1.8258422509619767</v>
      </c>
      <c r="BD9" s="27">
        <f t="shared" ca="1" si="108"/>
        <v>4.9903046873249162</v>
      </c>
      <c r="BE9" s="27">
        <f t="shared" ca="1" si="109"/>
        <v>5.9677870487596936</v>
      </c>
      <c r="BF9" s="27">
        <f t="shared" ca="1" si="110"/>
        <v>6.6835420688427876</v>
      </c>
      <c r="BG9" s="27">
        <f t="shared" ca="1" si="111"/>
        <v>7.72919090904416</v>
      </c>
      <c r="BH9" s="27">
        <f t="shared" ca="1" si="112"/>
        <v>3.4784820749552283</v>
      </c>
      <c r="BI9" s="27">
        <f t="shared" ca="1" si="113"/>
        <v>8.3171744788748612</v>
      </c>
      <c r="BJ9" s="27">
        <f t="shared" ca="1" si="114"/>
        <v>4.5272867266452854</v>
      </c>
      <c r="BK9" s="27">
        <f t="shared" ca="1" si="115"/>
        <v>2.890385389590354</v>
      </c>
      <c r="BL9" s="27">
        <f t="shared" ca="1" si="116"/>
        <v>6.6326878753332537</v>
      </c>
      <c r="BM9" s="27">
        <f t="shared" ca="1" si="117"/>
        <v>0.75054385019780856</v>
      </c>
      <c r="BN9" s="27">
        <f t="shared" ca="1" si="118"/>
        <v>3.0867864045308759</v>
      </c>
      <c r="BO9" s="27">
        <f t="shared" ca="1" si="119"/>
        <v>1.166119308378331</v>
      </c>
      <c r="BP9" s="27">
        <f t="shared" ca="1" si="120"/>
        <v>2.3138255743439844</v>
      </c>
      <c r="BQ9" s="27">
        <f t="shared" ca="1" si="121"/>
        <v>9.6726378679261469</v>
      </c>
      <c r="BR9" s="27">
        <f t="shared" ca="1" si="122"/>
        <v>1.9485273033981572</v>
      </c>
      <c r="BS9" s="27">
        <f t="shared" ca="1" si="123"/>
        <v>4.8702629938153814</v>
      </c>
      <c r="BT9" s="27">
        <f t="shared" ca="1" si="124"/>
        <v>4.1843104594751876</v>
      </c>
      <c r="BU9" s="27">
        <f t="shared" ca="1" si="125"/>
        <v>4.7869637292165708</v>
      </c>
      <c r="BV9" s="27">
        <f t="shared" ca="1" si="126"/>
        <v>6.6780143447507445</v>
      </c>
      <c r="BW9" s="27">
        <f t="shared" ca="1" si="127"/>
        <v>2.1361632659476091</v>
      </c>
      <c r="BX9" s="27">
        <f t="shared" ca="1" si="128"/>
        <v>3.080043223552976</v>
      </c>
      <c r="BY9" s="27">
        <f t="shared" ca="1" si="129"/>
        <v>5.4496498153365902</v>
      </c>
      <c r="BZ9" s="27">
        <f t="shared" ca="1" si="130"/>
        <v>12.624605508343148</v>
      </c>
      <c r="CA9" s="27">
        <f t="shared" ca="1" si="131"/>
        <v>5.4496498153365902</v>
      </c>
      <c r="CB9" s="27">
        <f t="shared" ca="1" si="132"/>
        <v>5.4098704445707551</v>
      </c>
      <c r="CC9" s="27">
        <f t="shared" ca="1" si="133"/>
        <v>13.537287987793164</v>
      </c>
      <c r="CD9" s="27">
        <f t="shared" ca="1" si="134"/>
        <v>5.4098704445707551</v>
      </c>
      <c r="CE9" s="27">
        <f t="shared" ca="1" si="135"/>
        <v>1.8965783396262166</v>
      </c>
    </row>
    <row r="10" spans="1:83" x14ac:dyDescent="0.25">
      <c r="A10" t="str">
        <f>PLANTILLA!D10</f>
        <v>Francesc Añigas</v>
      </c>
      <c r="B10">
        <f>PLANTILLA!E10</f>
        <v>29</v>
      </c>
      <c r="C10" s="25">
        <f ca="1">PLANTILLA!F10</f>
        <v>39</v>
      </c>
      <c r="D10" s="42" t="str">
        <f>PLANTILLA!G10</f>
        <v>IMP</v>
      </c>
      <c r="E10" s="23">
        <f>PLANTILLA!M10</f>
        <v>43137</v>
      </c>
      <c r="F10" s="37">
        <f>PLANTILLA!Q10</f>
        <v>6</v>
      </c>
      <c r="G10" s="38">
        <f t="shared" si="68"/>
        <v>0.92582009977255142</v>
      </c>
      <c r="H10" s="38">
        <f t="shared" si="69"/>
        <v>0.99928545900129484</v>
      </c>
      <c r="I10" s="104">
        <f ca="1">PLANTILLA!N10</f>
        <v>1</v>
      </c>
      <c r="J10" s="29">
        <f>PLANTILLA!I10</f>
        <v>10</v>
      </c>
      <c r="K10" s="36">
        <f>PLANTILLA!X10</f>
        <v>0</v>
      </c>
      <c r="L10" s="36">
        <f>PLANTILLA!Y10</f>
        <v>14.375</v>
      </c>
      <c r="M10" s="36">
        <f>PLANTILLA!Z10</f>
        <v>5</v>
      </c>
      <c r="N10" s="36">
        <f>PLANTILLA!AA10</f>
        <v>14</v>
      </c>
      <c r="O10" s="36">
        <f>PLANTILLA!AB10</f>
        <v>8.1999999999999993</v>
      </c>
      <c r="P10" s="36">
        <f>PLANTILLA!AC10</f>
        <v>7</v>
      </c>
      <c r="Q10" s="36">
        <f>PLANTILLA!AD10</f>
        <v>16</v>
      </c>
      <c r="R10" s="36">
        <f t="shared" si="70"/>
        <v>4.2218749999999998</v>
      </c>
      <c r="S10" s="36">
        <f t="shared" si="71"/>
        <v>0.83000000000000007</v>
      </c>
      <c r="T10" s="36">
        <f t="shared" si="72"/>
        <v>1.0550000000000002</v>
      </c>
      <c r="U10" s="36">
        <f t="shared" ca="1" si="73"/>
        <v>16.973368495830108</v>
      </c>
      <c r="V10" s="36">
        <f t="shared" ca="1" si="74"/>
        <v>18.320233415023736</v>
      </c>
      <c r="W10" s="27">
        <f t="shared" ca="1" si="75"/>
        <v>6.0045000000000002</v>
      </c>
      <c r="X10" s="27">
        <f t="shared" ca="1" si="76"/>
        <v>9.1217083333333324</v>
      </c>
      <c r="Y10" s="27">
        <f t="shared" ca="1" si="77"/>
        <v>6.0045000000000002</v>
      </c>
      <c r="Z10" s="27">
        <f t="shared" ca="1" si="78"/>
        <v>8.6214999999999993</v>
      </c>
      <c r="AA10" s="27">
        <f t="shared" ca="1" si="79"/>
        <v>16.708333333333332</v>
      </c>
      <c r="AB10" s="27">
        <f t="shared" ca="1" si="80"/>
        <v>4.3107499999999996</v>
      </c>
      <c r="AC10" s="27">
        <f t="shared" ca="1" si="81"/>
        <v>1.7453333333333332</v>
      </c>
      <c r="AD10" s="27">
        <f t="shared" ca="1" si="82"/>
        <v>6.3157499999999995</v>
      </c>
      <c r="AE10" s="27">
        <f t="shared" ca="1" si="83"/>
        <v>12.080124999999999</v>
      </c>
      <c r="AF10" s="27">
        <f t="shared" ca="1" si="84"/>
        <v>3.1578749999999998</v>
      </c>
      <c r="AG10" s="27">
        <f t="shared" ca="1" si="85"/>
        <v>2.8233333333333333</v>
      </c>
      <c r="AH10" s="27">
        <f t="shared" ca="1" si="86"/>
        <v>15.371666666666666</v>
      </c>
      <c r="AI10" s="27">
        <f t="shared" ca="1" si="87"/>
        <v>6.9172499999999992</v>
      </c>
      <c r="AJ10" s="27">
        <f t="shared" ca="1" si="88"/>
        <v>1.2246666666666668</v>
      </c>
      <c r="AK10" s="27">
        <f t="shared" ca="1" si="89"/>
        <v>9.6039999999999992</v>
      </c>
      <c r="AL10" s="27">
        <f t="shared" ca="1" si="90"/>
        <v>12.598083333333333</v>
      </c>
      <c r="AM10" s="27">
        <f t="shared" ca="1" si="91"/>
        <v>11.829499999999998</v>
      </c>
      <c r="AN10" s="27">
        <f t="shared" ca="1" si="92"/>
        <v>3.0616666666666665</v>
      </c>
      <c r="AO10" s="27">
        <f t="shared" ca="1" si="93"/>
        <v>1.8878999999999997</v>
      </c>
      <c r="AP10" s="27">
        <f t="shared" ca="1" si="94"/>
        <v>4.5112499999999995</v>
      </c>
      <c r="AQ10" s="27">
        <f t="shared" ca="1" si="95"/>
        <v>9.9247499999999995</v>
      </c>
      <c r="AR10" s="27">
        <f t="shared" ca="1" si="96"/>
        <v>2.2556249999999998</v>
      </c>
      <c r="AS10" s="27">
        <f t="shared" ca="1" si="97"/>
        <v>6.9226666666666663</v>
      </c>
      <c r="AT10" s="27">
        <f t="shared" ca="1" si="98"/>
        <v>1.3693333333333333</v>
      </c>
      <c r="AU10" s="27">
        <f t="shared" ca="1" si="99"/>
        <v>2.8786666666666667</v>
      </c>
      <c r="AV10" s="27">
        <f t="shared" ca="1" si="100"/>
        <v>0.68466666666666665</v>
      </c>
      <c r="AW10" s="27">
        <f t="shared" ca="1" si="101"/>
        <v>3.1578749999999998</v>
      </c>
      <c r="AX10" s="27">
        <f t="shared" ca="1" si="102"/>
        <v>6.6833333333333336</v>
      </c>
      <c r="AY10" s="27">
        <f t="shared" ca="1" si="103"/>
        <v>1.5789374999999999</v>
      </c>
      <c r="AZ10" s="27">
        <f t="shared" ca="1" si="104"/>
        <v>7.333333333333333</v>
      </c>
      <c r="BA10" s="27">
        <f t="shared" ca="1" si="105"/>
        <v>2.6649333333333334</v>
      </c>
      <c r="BB10" s="27">
        <f t="shared" ca="1" si="106"/>
        <v>5.5518666666666672</v>
      </c>
      <c r="BC10" s="27">
        <f t="shared" ca="1" si="107"/>
        <v>1.3324666666666667</v>
      </c>
      <c r="BD10" s="27">
        <f t="shared" ca="1" si="108"/>
        <v>4.8621249999999989</v>
      </c>
      <c r="BE10" s="27">
        <f t="shared" ca="1" si="109"/>
        <v>5.8144999999999989</v>
      </c>
      <c r="BF10" s="27">
        <f t="shared" ca="1" si="110"/>
        <v>6.4606666666666666</v>
      </c>
      <c r="BG10" s="27">
        <f t="shared" ca="1" si="111"/>
        <v>12.693333333333332</v>
      </c>
      <c r="BH10" s="27">
        <f t="shared" ca="1" si="112"/>
        <v>2.5385333333333331</v>
      </c>
      <c r="BI10" s="27">
        <f t="shared" ca="1" si="113"/>
        <v>8.1035416666666666</v>
      </c>
      <c r="BJ10" s="27">
        <f t="shared" ca="1" si="114"/>
        <v>4.4109999999999996</v>
      </c>
      <c r="BK10" s="27">
        <f t="shared" ca="1" si="115"/>
        <v>2.794</v>
      </c>
      <c r="BL10" s="27">
        <f t="shared" ca="1" si="116"/>
        <v>13.109533333333333</v>
      </c>
      <c r="BM10" s="27">
        <f t="shared" ca="1" si="117"/>
        <v>0.54773333333333329</v>
      </c>
      <c r="BN10" s="27">
        <f t="shared" ca="1" si="118"/>
        <v>3.0074999999999998</v>
      </c>
      <c r="BO10" s="27">
        <f t="shared" ca="1" si="119"/>
        <v>1.1361666666666668</v>
      </c>
      <c r="BP10" s="27">
        <f t="shared" ca="1" si="120"/>
        <v>2.2366666666666664</v>
      </c>
      <c r="BQ10" s="27">
        <f t="shared" ca="1" si="121"/>
        <v>19.345866666666666</v>
      </c>
      <c r="BR10" s="27">
        <f t="shared" ca="1" si="122"/>
        <v>1.4220000000000002</v>
      </c>
      <c r="BS10" s="27">
        <f t="shared" ca="1" si="123"/>
        <v>4.7451666666666661</v>
      </c>
      <c r="BT10" s="27">
        <f t="shared" ca="1" si="124"/>
        <v>4.0768333333333331</v>
      </c>
      <c r="BU10" s="27">
        <f t="shared" ca="1" si="125"/>
        <v>4.6273333333333335</v>
      </c>
      <c r="BV10" s="27">
        <f t="shared" ca="1" si="126"/>
        <v>13.498933333333333</v>
      </c>
      <c r="BW10" s="27">
        <f t="shared" ca="1" si="127"/>
        <v>1.5589333333333333</v>
      </c>
      <c r="BX10" s="27">
        <f t="shared" ca="1" si="128"/>
        <v>2.9773333333333336</v>
      </c>
      <c r="BY10" s="27">
        <f t="shared" ca="1" si="129"/>
        <v>6.1706666666666665</v>
      </c>
      <c r="BZ10" s="27">
        <f t="shared" ca="1" si="130"/>
        <v>11.160933333333334</v>
      </c>
      <c r="CA10" s="27">
        <f t="shared" ca="1" si="131"/>
        <v>6.1706666666666665</v>
      </c>
      <c r="CB10" s="27">
        <f t="shared" ca="1" si="132"/>
        <v>7.5320666666666662</v>
      </c>
      <c r="CC10" s="27">
        <f t="shared" ca="1" si="133"/>
        <v>13.220133333333333</v>
      </c>
      <c r="CD10" s="27">
        <f t="shared" ca="1" si="134"/>
        <v>7.5320666666666662</v>
      </c>
      <c r="CE10" s="27">
        <f t="shared" ca="1" si="135"/>
        <v>1.8333333333333333</v>
      </c>
    </row>
    <row r="11" spans="1:83" x14ac:dyDescent="0.25">
      <c r="A11" t="str">
        <f>PLANTILLA!D11</f>
        <v>Will Duffill</v>
      </c>
      <c r="B11">
        <f>PLANTILLA!E11</f>
        <v>28</v>
      </c>
      <c r="C11" s="25">
        <f ca="1">PLANTILLA!F11</f>
        <v>112</v>
      </c>
      <c r="D11" s="42" t="str">
        <f>PLANTILLA!G11</f>
        <v>RAP</v>
      </c>
      <c r="E11" s="23">
        <f>PLANTILLA!M11</f>
        <v>43122</v>
      </c>
      <c r="F11" s="37">
        <f>PLANTILLA!Q11</f>
        <v>6</v>
      </c>
      <c r="G11" s="38">
        <f t="shared" si="68"/>
        <v>0.92582009977255142</v>
      </c>
      <c r="H11" s="38">
        <f t="shared" si="69"/>
        <v>0.99928545900129484</v>
      </c>
      <c r="I11" s="104">
        <f ca="1">PLANTILLA!N11</f>
        <v>1</v>
      </c>
      <c r="J11" s="29">
        <f>PLANTILLA!I11</f>
        <v>10.1</v>
      </c>
      <c r="K11" s="36">
        <f>PLANTILLA!X11</f>
        <v>0</v>
      </c>
      <c r="L11" s="36">
        <f>PLANTILLA!Y11</f>
        <v>14</v>
      </c>
      <c r="M11" s="36">
        <f>PLANTILLA!Z11</f>
        <v>4.75</v>
      </c>
      <c r="N11" s="36">
        <f>PLANTILLA!AA11</f>
        <v>15.111111111111111</v>
      </c>
      <c r="O11" s="36">
        <f>PLANTILLA!AB11</f>
        <v>10</v>
      </c>
      <c r="P11" s="36">
        <f>PLANTILLA!AC11</f>
        <v>7</v>
      </c>
      <c r="Q11" s="36">
        <f>PLANTILLA!AD11</f>
        <v>16.333333333333332</v>
      </c>
      <c r="R11" s="36">
        <f t="shared" si="70"/>
        <v>4.625</v>
      </c>
      <c r="S11" s="36">
        <f t="shared" si="71"/>
        <v>0.83999999999999986</v>
      </c>
      <c r="T11" s="36">
        <f t="shared" si="72"/>
        <v>1.05</v>
      </c>
      <c r="U11" s="36">
        <f t="shared" ca="1" si="73"/>
        <v>17.287309615363093</v>
      </c>
      <c r="V11" s="36">
        <f t="shared" ca="1" si="74"/>
        <v>18.659086282669374</v>
      </c>
      <c r="W11" s="27">
        <f t="shared" ca="1" si="75"/>
        <v>5.9060300790829956</v>
      </c>
      <c r="X11" s="27">
        <f t="shared" ca="1" si="76"/>
        <v>8.9697718580711889</v>
      </c>
      <c r="Y11" s="27">
        <f t="shared" ca="1" si="77"/>
        <v>5.9060300790829956</v>
      </c>
      <c r="Z11" s="27">
        <f t="shared" ca="1" si="78"/>
        <v>8.4309731051624581</v>
      </c>
      <c r="AA11" s="27">
        <f t="shared" ca="1" si="79"/>
        <v>16.339095165043524</v>
      </c>
      <c r="AB11" s="27">
        <f t="shared" ca="1" si="80"/>
        <v>4.2154865525812291</v>
      </c>
      <c r="AC11" s="27">
        <f t="shared" ca="1" si="81"/>
        <v>1.6872046492803585</v>
      </c>
      <c r="AD11" s="27">
        <f t="shared" ca="1" si="82"/>
        <v>6.1761779723864523</v>
      </c>
      <c r="AE11" s="27">
        <f t="shared" ca="1" si="83"/>
        <v>11.813165804326468</v>
      </c>
      <c r="AF11" s="27">
        <f t="shared" ca="1" si="84"/>
        <v>3.0880889861932261</v>
      </c>
      <c r="AG11" s="27">
        <f t="shared" ca="1" si="85"/>
        <v>2.7293016385417563</v>
      </c>
      <c r="AH11" s="27">
        <f t="shared" ca="1" si="86"/>
        <v>15.031967551840042</v>
      </c>
      <c r="AI11" s="27">
        <f t="shared" ca="1" si="87"/>
        <v>6.7643853983280184</v>
      </c>
      <c r="AJ11" s="27">
        <f t="shared" ca="1" si="88"/>
        <v>1.1838788925622685</v>
      </c>
      <c r="AK11" s="27">
        <f t="shared" ca="1" si="89"/>
        <v>10.260721290378925</v>
      </c>
      <c r="AL11" s="27">
        <f t="shared" ca="1" si="90"/>
        <v>12.319677754442818</v>
      </c>
      <c r="AM11" s="27">
        <f t="shared" ca="1" si="91"/>
        <v>11.568079376850815</v>
      </c>
      <c r="AN11" s="27">
        <f t="shared" ca="1" si="92"/>
        <v>3.118295559228935</v>
      </c>
      <c r="AO11" s="27">
        <f t="shared" ca="1" si="93"/>
        <v>2.0056594075325345</v>
      </c>
      <c r="AP11" s="27">
        <f t="shared" ca="1" si="94"/>
        <v>4.411555694561752</v>
      </c>
      <c r="AQ11" s="27">
        <f t="shared" ca="1" si="95"/>
        <v>9.7054225280358537</v>
      </c>
      <c r="AR11" s="27">
        <f t="shared" ca="1" si="96"/>
        <v>2.205777847280876</v>
      </c>
      <c r="AS11" s="27">
        <f t="shared" ca="1" si="97"/>
        <v>6.6921058358010859</v>
      </c>
      <c r="AT11" s="27">
        <f t="shared" ca="1" si="98"/>
        <v>1.6040823714556582</v>
      </c>
      <c r="AU11" s="27">
        <f t="shared" ca="1" si="99"/>
        <v>3.0963548833577521</v>
      </c>
      <c r="AV11" s="27">
        <f t="shared" ca="1" si="100"/>
        <v>0.80204118572782912</v>
      </c>
      <c r="AW11" s="27">
        <f t="shared" ca="1" si="101"/>
        <v>3.0880889861932261</v>
      </c>
      <c r="AX11" s="27">
        <f t="shared" ca="1" si="102"/>
        <v>6.5356380660174098</v>
      </c>
      <c r="AY11" s="27">
        <f t="shared" ca="1" si="103"/>
        <v>1.5440444930966131</v>
      </c>
      <c r="AZ11" s="27">
        <f t="shared" ca="1" si="104"/>
        <v>7.0890951650435232</v>
      </c>
      <c r="BA11" s="27">
        <f t="shared" ca="1" si="105"/>
        <v>3.1217910767560118</v>
      </c>
      <c r="BB11" s="27">
        <f t="shared" ca="1" si="106"/>
        <v>6.1688414359389823</v>
      </c>
      <c r="BC11" s="27">
        <f t="shared" ca="1" si="107"/>
        <v>1.5608955383780059</v>
      </c>
      <c r="BD11" s="27">
        <f t="shared" ca="1" si="108"/>
        <v>4.7546766930276654</v>
      </c>
      <c r="BE11" s="27">
        <f t="shared" ca="1" si="109"/>
        <v>5.6860051174351458</v>
      </c>
      <c r="BF11" s="27">
        <f t="shared" ca="1" si="110"/>
        <v>6.2454928404033438</v>
      </c>
      <c r="BG11" s="27">
        <f t="shared" ca="1" si="111"/>
        <v>13.903233379501469</v>
      </c>
      <c r="BH11" s="27">
        <f t="shared" ca="1" si="112"/>
        <v>2.9737219347754893</v>
      </c>
      <c r="BI11" s="27">
        <f t="shared" ca="1" si="113"/>
        <v>7.9244611550461093</v>
      </c>
      <c r="BJ11" s="27">
        <f t="shared" ca="1" si="114"/>
        <v>4.3135211235714905</v>
      </c>
      <c r="BK11" s="27">
        <f t="shared" ca="1" si="115"/>
        <v>2.7009452578815822</v>
      </c>
      <c r="BL11" s="27">
        <f t="shared" ca="1" si="116"/>
        <v>14.224146952025817</v>
      </c>
      <c r="BM11" s="27">
        <f t="shared" ca="1" si="117"/>
        <v>0.64163294858226327</v>
      </c>
      <c r="BN11" s="27">
        <f t="shared" ca="1" si="118"/>
        <v>2.9410371297078344</v>
      </c>
      <c r="BO11" s="27">
        <f t="shared" ca="1" si="119"/>
        <v>1.1110584712229596</v>
      </c>
      <c r="BP11" s="27">
        <f t="shared" ca="1" si="120"/>
        <v>2.1621740253382744</v>
      </c>
      <c r="BQ11" s="27">
        <f t="shared" ca="1" si="121"/>
        <v>20.979187493357081</v>
      </c>
      <c r="BR11" s="27">
        <f t="shared" ca="1" si="122"/>
        <v>1.665777847280876</v>
      </c>
      <c r="BS11" s="27">
        <f t="shared" ca="1" si="123"/>
        <v>4.6403030268723606</v>
      </c>
      <c r="BT11" s="27">
        <f t="shared" ca="1" si="124"/>
        <v>3.98673922027062</v>
      </c>
      <c r="BU11" s="27">
        <f t="shared" ca="1" si="125"/>
        <v>4.4732190491424628</v>
      </c>
      <c r="BV11" s="27">
        <f t="shared" ca="1" si="126"/>
        <v>14.631490172713953</v>
      </c>
      <c r="BW11" s="27">
        <f t="shared" ca="1" si="127"/>
        <v>1.8261860844264415</v>
      </c>
      <c r="BX11" s="27">
        <f t="shared" ca="1" si="128"/>
        <v>2.8781726370076708</v>
      </c>
      <c r="BY11" s="27">
        <f t="shared" ca="1" si="129"/>
        <v>6.7836685809876753</v>
      </c>
      <c r="BZ11" s="27">
        <f t="shared" ca="1" si="130"/>
        <v>12.144821155839008</v>
      </c>
      <c r="CA11" s="27">
        <f t="shared" ca="1" si="131"/>
        <v>6.7836685809876753</v>
      </c>
      <c r="CB11" s="27">
        <f t="shared" ca="1" si="132"/>
        <v>8.0368118433776701</v>
      </c>
      <c r="CC11" s="27">
        <f t="shared" ca="1" si="133"/>
        <v>13.892221280944584</v>
      </c>
      <c r="CD11" s="27">
        <f t="shared" ca="1" si="134"/>
        <v>8.0368118433776701</v>
      </c>
      <c r="CE11" s="27">
        <f t="shared" ca="1" si="135"/>
        <v>1.7722737912608808</v>
      </c>
    </row>
    <row r="12" spans="1:83" x14ac:dyDescent="0.25">
      <c r="A12" t="str">
        <f>PLANTILLA!D12</f>
        <v>Valeri Gomis</v>
      </c>
      <c r="B12">
        <f>PLANTILLA!E12</f>
        <v>29</v>
      </c>
      <c r="C12" s="25">
        <f ca="1">PLANTILLA!F12</f>
        <v>39</v>
      </c>
      <c r="D12" s="42" t="str">
        <f>PLANTILLA!G12</f>
        <v>IMP</v>
      </c>
      <c r="E12" s="23">
        <f>PLANTILLA!M12</f>
        <v>43051</v>
      </c>
      <c r="F12" s="37">
        <f>PLANTILLA!Q12</f>
        <v>6</v>
      </c>
      <c r="G12" s="38">
        <f t="shared" si="68"/>
        <v>0.92582009977255142</v>
      </c>
      <c r="H12" s="38">
        <f t="shared" si="69"/>
        <v>0.99928545900129484</v>
      </c>
      <c r="I12" s="104">
        <f ca="1">PLANTILLA!N12</f>
        <v>1</v>
      </c>
      <c r="J12" s="29">
        <f>PLANTILLA!I12</f>
        <v>9.1</v>
      </c>
      <c r="K12" s="36">
        <f>PLANTILLA!X12</f>
        <v>0</v>
      </c>
      <c r="L12" s="36">
        <f>PLANTILLA!Y12</f>
        <v>13.333333333333334</v>
      </c>
      <c r="M12" s="36">
        <f>PLANTILLA!Z12</f>
        <v>4.7083333333333339</v>
      </c>
      <c r="N12" s="36">
        <f>PLANTILLA!AA12</f>
        <v>14</v>
      </c>
      <c r="O12" s="36">
        <f>PLANTILLA!AB12</f>
        <v>9.1666666666666661</v>
      </c>
      <c r="P12" s="36">
        <f>PLANTILLA!AC12</f>
        <v>7.25</v>
      </c>
      <c r="Q12" s="36">
        <f>PLANTILLA!AD12</f>
        <v>16.333333333333332</v>
      </c>
      <c r="R12" s="36">
        <f t="shared" si="70"/>
        <v>4.333333333333333</v>
      </c>
      <c r="S12" s="36">
        <f t="shared" si="71"/>
        <v>0.85249999999999981</v>
      </c>
      <c r="T12" s="36">
        <f t="shared" si="72"/>
        <v>1.0233333333333334</v>
      </c>
      <c r="U12" s="36">
        <f t="shared" ca="1" si="73"/>
        <v>17.231414792757185</v>
      </c>
      <c r="V12" s="36">
        <f t="shared" ca="1" si="74"/>
        <v>18.598756113258208</v>
      </c>
      <c r="W12" s="27">
        <f t="shared" ca="1" si="75"/>
        <v>5.6693241806617527</v>
      </c>
      <c r="X12" s="27">
        <f t="shared" ca="1" si="76"/>
        <v>8.6084965833153753</v>
      </c>
      <c r="Y12" s="27">
        <f t="shared" ca="1" si="77"/>
        <v>5.6693241806617527</v>
      </c>
      <c r="Z12" s="27">
        <f t="shared" ca="1" si="78"/>
        <v>8.055820477916912</v>
      </c>
      <c r="AA12" s="27">
        <f t="shared" ca="1" si="79"/>
        <v>15.612055189761458</v>
      </c>
      <c r="AB12" s="27">
        <f t="shared" ca="1" si="80"/>
        <v>4.027910238958456</v>
      </c>
      <c r="AC12" s="27">
        <f t="shared" ca="1" si="81"/>
        <v>1.6629191351632271</v>
      </c>
      <c r="AD12" s="27">
        <f t="shared" ca="1" si="82"/>
        <v>5.9013568617298313</v>
      </c>
      <c r="AE12" s="27">
        <f t="shared" ca="1" si="83"/>
        <v>11.287515902197534</v>
      </c>
      <c r="AF12" s="27">
        <f t="shared" ca="1" si="84"/>
        <v>2.9506784308649157</v>
      </c>
      <c r="AG12" s="27">
        <f t="shared" ca="1" si="85"/>
        <v>2.6900162480581615</v>
      </c>
      <c r="AH12" s="27">
        <f t="shared" ca="1" si="86"/>
        <v>14.363090774580542</v>
      </c>
      <c r="AI12" s="27">
        <f t="shared" ca="1" si="87"/>
        <v>6.463390848561243</v>
      </c>
      <c r="AJ12" s="27">
        <f t="shared" ca="1" si="88"/>
        <v>1.1668382166901636</v>
      </c>
      <c r="AK12" s="27">
        <f t="shared" ca="1" si="89"/>
        <v>9.5718884515797367</v>
      </c>
      <c r="AL12" s="27">
        <f t="shared" ca="1" si="90"/>
        <v>11.771489613080139</v>
      </c>
      <c r="AM12" s="27">
        <f t="shared" ca="1" si="91"/>
        <v>11.053335074351111</v>
      </c>
      <c r="AN12" s="27">
        <f t="shared" ca="1" si="92"/>
        <v>3.1082132166901633</v>
      </c>
      <c r="AO12" s="27">
        <f t="shared" ca="1" si="93"/>
        <v>1.9042718946512998</v>
      </c>
      <c r="AP12" s="27">
        <f t="shared" ca="1" si="94"/>
        <v>4.2152549012355935</v>
      </c>
      <c r="AQ12" s="27">
        <f t="shared" ca="1" si="95"/>
        <v>9.273560782718306</v>
      </c>
      <c r="AR12" s="27">
        <f t="shared" ca="1" si="96"/>
        <v>2.1076274506177968</v>
      </c>
      <c r="AS12" s="27">
        <f t="shared" ca="1" si="97"/>
        <v>6.5957800991348163</v>
      </c>
      <c r="AT12" s="27">
        <f t="shared" ca="1" si="98"/>
        <v>1.4879005080023227</v>
      </c>
      <c r="AU12" s="27">
        <f t="shared" ca="1" si="99"/>
        <v>3.0219155039334402</v>
      </c>
      <c r="AV12" s="27">
        <f t="shared" ca="1" si="100"/>
        <v>0.74395025400116133</v>
      </c>
      <c r="AW12" s="27">
        <f t="shared" ca="1" si="101"/>
        <v>2.9506784308649157</v>
      </c>
      <c r="AX12" s="27">
        <f t="shared" ca="1" si="102"/>
        <v>6.2448220759045832</v>
      </c>
      <c r="AY12" s="27">
        <f t="shared" ca="1" si="103"/>
        <v>1.4753392154324578</v>
      </c>
      <c r="AZ12" s="27">
        <f t="shared" ca="1" si="104"/>
        <v>6.9870551897614588</v>
      </c>
      <c r="BA12" s="27">
        <f t="shared" ca="1" si="105"/>
        <v>2.8956832963429817</v>
      </c>
      <c r="BB12" s="27">
        <f t="shared" ca="1" si="106"/>
        <v>5.9039090762252293</v>
      </c>
      <c r="BC12" s="27">
        <f t="shared" ca="1" si="107"/>
        <v>1.4478416481714909</v>
      </c>
      <c r="BD12" s="27">
        <f t="shared" ca="1" si="108"/>
        <v>4.5431080602205842</v>
      </c>
      <c r="BE12" s="27">
        <f t="shared" ca="1" si="109"/>
        <v>5.4329952060369866</v>
      </c>
      <c r="BF12" s="27">
        <f t="shared" ca="1" si="110"/>
        <v>6.1555956221798453</v>
      </c>
      <c r="BG12" s="27">
        <f t="shared" ca="1" si="111"/>
        <v>12.949283730364602</v>
      </c>
      <c r="BH12" s="27">
        <f t="shared" ca="1" si="112"/>
        <v>2.7583386340658445</v>
      </c>
      <c r="BI12" s="27">
        <f t="shared" ca="1" si="113"/>
        <v>7.571846767034307</v>
      </c>
      <c r="BJ12" s="27">
        <f t="shared" ca="1" si="114"/>
        <v>4.1215825700970248</v>
      </c>
      <c r="BK12" s="27">
        <f t="shared" ca="1" si="115"/>
        <v>2.662068027299116</v>
      </c>
      <c r="BL12" s="27">
        <f t="shared" ca="1" si="116"/>
        <v>13.256102902518181</v>
      </c>
      <c r="BM12" s="27">
        <f t="shared" ca="1" si="117"/>
        <v>0.59516020320092911</v>
      </c>
      <c r="BN12" s="27">
        <f t="shared" ca="1" si="118"/>
        <v>2.8101699341570625</v>
      </c>
      <c r="BO12" s="27">
        <f t="shared" ca="1" si="119"/>
        <v>1.0616197529037792</v>
      </c>
      <c r="BP12" s="27">
        <f t="shared" ca="1" si="120"/>
        <v>2.1310518328772448</v>
      </c>
      <c r="BQ12" s="27">
        <f t="shared" ca="1" si="121"/>
        <v>19.552102974033232</v>
      </c>
      <c r="BR12" s="27">
        <f t="shared" ca="1" si="122"/>
        <v>1.5451274506177968</v>
      </c>
      <c r="BS12" s="27">
        <f t="shared" ca="1" si="123"/>
        <v>4.4338236738922534</v>
      </c>
      <c r="BT12" s="27">
        <f t="shared" ca="1" si="124"/>
        <v>3.8093414663017957</v>
      </c>
      <c r="BU12" s="27">
        <f t="shared" ca="1" si="125"/>
        <v>4.4088318247394804</v>
      </c>
      <c r="BV12" s="27">
        <f t="shared" ca="1" si="126"/>
        <v>13.636622728169836</v>
      </c>
      <c r="BW12" s="27">
        <f t="shared" ca="1" si="127"/>
        <v>1.6939175014180288</v>
      </c>
      <c r="BX12" s="27">
        <f t="shared" ca="1" si="128"/>
        <v>2.8367444070431524</v>
      </c>
      <c r="BY12" s="27">
        <f t="shared" ca="1" si="129"/>
        <v>6.4156307538657185</v>
      </c>
      <c r="BZ12" s="27">
        <f t="shared" ca="1" si="130"/>
        <v>11.770090810338068</v>
      </c>
      <c r="CA12" s="27">
        <f t="shared" ca="1" si="131"/>
        <v>6.4156307538657185</v>
      </c>
      <c r="CB12" s="27">
        <f t="shared" ca="1" si="132"/>
        <v>7.7003103832213879</v>
      </c>
      <c r="CC12" s="27">
        <f t="shared" ca="1" si="133"/>
        <v>13.752070221450101</v>
      </c>
      <c r="CD12" s="27">
        <f t="shared" ca="1" si="134"/>
        <v>7.7003103832213879</v>
      </c>
      <c r="CE12" s="27">
        <f t="shared" ca="1" si="135"/>
        <v>1.7467637974403647</v>
      </c>
    </row>
    <row r="13" spans="1:83" x14ac:dyDescent="0.25">
      <c r="A13" t="str">
        <f>PLANTILLA!D13</f>
        <v>Enrique Cubas</v>
      </c>
      <c r="B13">
        <f>PLANTILLA!E13</f>
        <v>29</v>
      </c>
      <c r="C13" s="25">
        <f ca="1">PLANTILLA!F13</f>
        <v>35</v>
      </c>
      <c r="D13" s="42" t="str">
        <f>PLANTILLA!G13</f>
        <v>RAP</v>
      </c>
      <c r="E13" s="23">
        <f>PLANTILLA!M13</f>
        <v>43046</v>
      </c>
      <c r="F13" s="37">
        <f>PLANTILLA!Q13</f>
        <v>6</v>
      </c>
      <c r="G13" s="38">
        <f t="shared" si="68"/>
        <v>0.92582009977255142</v>
      </c>
      <c r="H13" s="38">
        <f t="shared" si="69"/>
        <v>0.99928545900129484</v>
      </c>
      <c r="I13" s="104">
        <f>PLANTILLA!N13</f>
        <v>1.5</v>
      </c>
      <c r="J13" s="29">
        <f>PLANTILLA!I13</f>
        <v>10.4</v>
      </c>
      <c r="K13" s="36">
        <f>PLANTILLA!X13</f>
        <v>0</v>
      </c>
      <c r="L13" s="36">
        <f>PLANTILLA!Y13</f>
        <v>12.666666666666666</v>
      </c>
      <c r="M13" s="36">
        <f>PLANTILLA!Z13</f>
        <v>6.6</v>
      </c>
      <c r="N13" s="36">
        <f>PLANTILLA!AA13</f>
        <v>16</v>
      </c>
      <c r="O13" s="36">
        <f>PLANTILLA!AB13</f>
        <v>9.5</v>
      </c>
      <c r="P13" s="36">
        <f>PLANTILLA!AC13</f>
        <v>7.8</v>
      </c>
      <c r="Q13" s="36">
        <f>PLANTILLA!AD13</f>
        <v>17</v>
      </c>
      <c r="R13" s="36">
        <f t="shared" si="70"/>
        <v>4.333333333333333</v>
      </c>
      <c r="S13" s="36">
        <f t="shared" si="71"/>
        <v>0.9</v>
      </c>
      <c r="T13" s="36">
        <f t="shared" si="72"/>
        <v>1.0166666666666666</v>
      </c>
      <c r="U13" s="36">
        <f t="shared" si="73"/>
        <v>18.383125056007678</v>
      </c>
      <c r="V13" s="36">
        <f t="shared" si="74"/>
        <v>19.841856494565022</v>
      </c>
      <c r="W13" s="27">
        <f t="shared" si="75"/>
        <v>5.9893268069437804</v>
      </c>
      <c r="X13" s="27">
        <f t="shared" si="76"/>
        <v>9.0704867213796341</v>
      </c>
      <c r="Y13" s="27">
        <f t="shared" si="77"/>
        <v>5.9893268069437804</v>
      </c>
      <c r="Z13" s="27">
        <f t="shared" si="78"/>
        <v>8.0097189374375599</v>
      </c>
      <c r="AA13" s="27">
        <f t="shared" si="79"/>
        <v>15.52271111906504</v>
      </c>
      <c r="AB13" s="27">
        <f t="shared" si="80"/>
        <v>4.00485946871878</v>
      </c>
      <c r="AC13" s="27">
        <f t="shared" si="81"/>
        <v>2.2505385796708128</v>
      </c>
      <c r="AD13" s="27">
        <f t="shared" si="82"/>
        <v>5.8675848030065847</v>
      </c>
      <c r="AE13" s="27">
        <f t="shared" si="83"/>
        <v>11.222920139084023</v>
      </c>
      <c r="AF13" s="27">
        <f t="shared" si="84"/>
        <v>2.9337924015032923</v>
      </c>
      <c r="AG13" s="27">
        <f t="shared" si="85"/>
        <v>3.6405771141733738</v>
      </c>
      <c r="AH13" s="27">
        <f t="shared" si="86"/>
        <v>14.280894229539838</v>
      </c>
      <c r="AI13" s="27">
        <f t="shared" si="87"/>
        <v>6.4264024032929266</v>
      </c>
      <c r="AJ13" s="27">
        <f t="shared" si="88"/>
        <v>1.5791594235505284</v>
      </c>
      <c r="AK13" s="27">
        <f t="shared" si="89"/>
        <v>11.087354138010243</v>
      </c>
      <c r="AL13" s="27">
        <f t="shared" si="90"/>
        <v>11.70412418377504</v>
      </c>
      <c r="AM13" s="27">
        <f t="shared" si="91"/>
        <v>10.990079472298047</v>
      </c>
      <c r="AN13" s="27">
        <f t="shared" si="92"/>
        <v>3.3159594235505283</v>
      </c>
      <c r="AO13" s="27">
        <f t="shared" si="93"/>
        <v>2.0705408022907315</v>
      </c>
      <c r="AP13" s="27">
        <f t="shared" si="94"/>
        <v>4.1911320021475609</v>
      </c>
      <c r="AQ13" s="27">
        <f t="shared" si="95"/>
        <v>9.2204904047246323</v>
      </c>
      <c r="AR13" s="27">
        <f t="shared" si="96"/>
        <v>2.0955660010737804</v>
      </c>
      <c r="AS13" s="27">
        <f t="shared" si="97"/>
        <v>8.9265059630640646</v>
      </c>
      <c r="AT13" s="27">
        <f t="shared" si="98"/>
        <v>1.6062857788117886</v>
      </c>
      <c r="AU13" s="27">
        <f t="shared" si="99"/>
        <v>3.3262210245527237</v>
      </c>
      <c r="AV13" s="27">
        <f t="shared" si="100"/>
        <v>0.80314288940589429</v>
      </c>
      <c r="AW13" s="27">
        <f t="shared" si="101"/>
        <v>2.9337924015032923</v>
      </c>
      <c r="AX13" s="27">
        <f t="shared" si="102"/>
        <v>6.2090844476260161</v>
      </c>
      <c r="AY13" s="27">
        <f t="shared" si="103"/>
        <v>1.4668962007516462</v>
      </c>
      <c r="AZ13" s="27">
        <f t="shared" si="104"/>
        <v>9.4560444523983733</v>
      </c>
      <c r="BA13" s="27">
        <f t="shared" si="105"/>
        <v>3.1260792464567886</v>
      </c>
      <c r="BB13" s="27">
        <f t="shared" si="106"/>
        <v>6.4511804932715044</v>
      </c>
      <c r="BC13" s="27">
        <f t="shared" si="107"/>
        <v>1.5630396232283943</v>
      </c>
      <c r="BD13" s="27">
        <f t="shared" si="108"/>
        <v>4.5171089356479266</v>
      </c>
      <c r="BE13" s="27">
        <f t="shared" si="109"/>
        <v>5.4019034694346333</v>
      </c>
      <c r="BF13" s="27">
        <f t="shared" si="110"/>
        <v>8.3307751625629667</v>
      </c>
      <c r="BG13" s="27">
        <f t="shared" si="111"/>
        <v>14.715523518182152</v>
      </c>
      <c r="BH13" s="27">
        <f t="shared" si="112"/>
        <v>2.9778067130280079</v>
      </c>
      <c r="BI13" s="27">
        <f t="shared" si="113"/>
        <v>7.5285148927465437</v>
      </c>
      <c r="BJ13" s="27">
        <f t="shared" si="114"/>
        <v>4.0979957354331704</v>
      </c>
      <c r="BK13" s="27">
        <f t="shared" si="115"/>
        <v>3.6027529363637805</v>
      </c>
      <c r="BL13" s="27">
        <f t="shared" si="116"/>
        <v>15.17368285139618</v>
      </c>
      <c r="BM13" s="27">
        <f t="shared" si="117"/>
        <v>0.64251431152471539</v>
      </c>
      <c r="BN13" s="27">
        <f t="shared" si="118"/>
        <v>2.7940880014317071</v>
      </c>
      <c r="BO13" s="27">
        <f t="shared" si="119"/>
        <v>1.0555443560964228</v>
      </c>
      <c r="BP13" s="27">
        <f t="shared" si="120"/>
        <v>2.8840935579815037</v>
      </c>
      <c r="BQ13" s="27">
        <f t="shared" si="121"/>
        <v>22.389873165784305</v>
      </c>
      <c r="BR13" s="27">
        <f t="shared" si="122"/>
        <v>1.6680660010737804</v>
      </c>
      <c r="BS13" s="27">
        <f t="shared" si="123"/>
        <v>4.4084499578144705</v>
      </c>
      <c r="BT13" s="27">
        <f t="shared" si="124"/>
        <v>3.7875415130518695</v>
      </c>
      <c r="BU13" s="27">
        <f t="shared" si="125"/>
        <v>5.9667640494633734</v>
      </c>
      <c r="BV13" s="27">
        <f t="shared" si="126"/>
        <v>15.621659784896543</v>
      </c>
      <c r="BW13" s="27">
        <f t="shared" si="127"/>
        <v>1.8286945789549591</v>
      </c>
      <c r="BX13" s="27">
        <f t="shared" si="128"/>
        <v>3.8391540476737398</v>
      </c>
      <c r="BY13" s="27">
        <f t="shared" si="129"/>
        <v>7.1575991596995525</v>
      </c>
      <c r="BZ13" s="27">
        <f t="shared" si="130"/>
        <v>12.921806053400569</v>
      </c>
      <c r="CA13" s="27">
        <f t="shared" si="131"/>
        <v>7.1575991596995525</v>
      </c>
      <c r="CB13" s="27">
        <f t="shared" si="132"/>
        <v>8.6923156938441863</v>
      </c>
      <c r="CC13" s="27">
        <f t="shared" si="133"/>
        <v>15.215424855333374</v>
      </c>
      <c r="CD13" s="27">
        <f t="shared" si="134"/>
        <v>8.6923156938441863</v>
      </c>
      <c r="CE13" s="27">
        <f t="shared" si="135"/>
        <v>2.3640111130995933</v>
      </c>
    </row>
    <row r="14" spans="1:83" x14ac:dyDescent="0.25">
      <c r="A14" t="str">
        <f>PLANTILLA!D14</f>
        <v>J. G. Peñuela</v>
      </c>
      <c r="B14">
        <f>PLANTILLA!E14</f>
        <v>29</v>
      </c>
      <c r="C14" s="25">
        <f ca="1">PLANTILLA!F14</f>
        <v>35</v>
      </c>
      <c r="D14" s="42" t="str">
        <f>PLANTILLA!G14</f>
        <v>IMP</v>
      </c>
      <c r="E14" s="23">
        <f>PLANTILLA!M14</f>
        <v>43054</v>
      </c>
      <c r="F14" s="37">
        <f>PLANTILLA!Q14</f>
        <v>5</v>
      </c>
      <c r="G14" s="38">
        <f t="shared" si="68"/>
        <v>0.84515425472851657</v>
      </c>
      <c r="H14" s="38">
        <f t="shared" si="69"/>
        <v>0.92504826128926143</v>
      </c>
      <c r="I14" s="104">
        <f ca="1">PLANTILLA!N14</f>
        <v>1</v>
      </c>
      <c r="J14" s="29">
        <f>PLANTILLA!I14</f>
        <v>8.9</v>
      </c>
      <c r="K14" s="36">
        <f>PLANTILLA!X14</f>
        <v>0</v>
      </c>
      <c r="L14" s="36">
        <f>PLANTILLA!Y14</f>
        <v>13</v>
      </c>
      <c r="M14" s="36">
        <f>PLANTILLA!Z14</f>
        <v>6.4</v>
      </c>
      <c r="N14" s="36">
        <f>PLANTILLA!AA14</f>
        <v>15</v>
      </c>
      <c r="O14" s="36">
        <f>PLANTILLA!AB14</f>
        <v>9</v>
      </c>
      <c r="P14" s="36">
        <f>PLANTILLA!AC14</f>
        <v>8</v>
      </c>
      <c r="Q14" s="36">
        <f>PLANTILLA!AD14</f>
        <v>16</v>
      </c>
      <c r="R14" s="36">
        <f t="shared" si="70"/>
        <v>4.25</v>
      </c>
      <c r="S14" s="36">
        <f t="shared" si="71"/>
        <v>0.88000000000000012</v>
      </c>
      <c r="T14" s="36">
        <f t="shared" si="72"/>
        <v>1</v>
      </c>
      <c r="U14" s="36">
        <f t="shared" ca="1" si="73"/>
        <v>15.437463668401692</v>
      </c>
      <c r="V14" s="36">
        <f t="shared" ca="1" si="74"/>
        <v>16.896795875160482</v>
      </c>
      <c r="W14" s="27">
        <f t="shared" ca="1" si="75"/>
        <v>5.5660899677346789</v>
      </c>
      <c r="X14" s="27">
        <f t="shared" ca="1" si="76"/>
        <v>8.4502166647714425</v>
      </c>
      <c r="Y14" s="27">
        <f t="shared" ca="1" si="77"/>
        <v>5.5660899677346789</v>
      </c>
      <c r="Z14" s="27">
        <f t="shared" ca="1" si="78"/>
        <v>7.8771803245717003</v>
      </c>
      <c r="AA14" s="27">
        <f t="shared" ca="1" si="79"/>
        <v>15.265853342193218</v>
      </c>
      <c r="AB14" s="27">
        <f t="shared" ca="1" si="80"/>
        <v>3.9385901622858501</v>
      </c>
      <c r="AC14" s="27">
        <f t="shared" ca="1" si="81"/>
        <v>2.0624730954419856</v>
      </c>
      <c r="AD14" s="27">
        <f t="shared" ca="1" si="82"/>
        <v>5.7704925633490367</v>
      </c>
      <c r="AE14" s="27">
        <f t="shared" ca="1" si="83"/>
        <v>11.037211966405696</v>
      </c>
      <c r="AF14" s="27">
        <f t="shared" ca="1" si="84"/>
        <v>2.8852462816745184</v>
      </c>
      <c r="AG14" s="27">
        <f t="shared" ca="1" si="85"/>
        <v>3.3363535367443888</v>
      </c>
      <c r="AH14" s="27">
        <f t="shared" ca="1" si="86"/>
        <v>14.044585074817761</v>
      </c>
      <c r="AI14" s="27">
        <f t="shared" ca="1" si="87"/>
        <v>6.3200632836679915</v>
      </c>
      <c r="AJ14" s="27">
        <f t="shared" ca="1" si="88"/>
        <v>1.4471975081462676</v>
      </c>
      <c r="AK14" s="27">
        <f t="shared" ca="1" si="89"/>
        <v>10.152321765209612</v>
      </c>
      <c r="AL14" s="27">
        <f t="shared" ca="1" si="90"/>
        <v>11.510453420013686</v>
      </c>
      <c r="AM14" s="27">
        <f t="shared" ca="1" si="91"/>
        <v>10.808224166272797</v>
      </c>
      <c r="AN14" s="27">
        <f t="shared" ca="1" si="92"/>
        <v>3.0503975081462675</v>
      </c>
      <c r="AO14" s="27">
        <f t="shared" ca="1" si="93"/>
        <v>1.8765657625516463</v>
      </c>
      <c r="AP14" s="27">
        <f t="shared" ca="1" si="94"/>
        <v>4.1217804023921687</v>
      </c>
      <c r="AQ14" s="27">
        <f t="shared" ca="1" si="95"/>
        <v>9.0679168852627701</v>
      </c>
      <c r="AR14" s="27">
        <f t="shared" ca="1" si="96"/>
        <v>2.0608902011960843</v>
      </c>
      <c r="AS14" s="27">
        <f t="shared" ca="1" si="97"/>
        <v>8.1805655550303982</v>
      </c>
      <c r="AT14" s="27">
        <f t="shared" ca="1" si="98"/>
        <v>1.4645609344851183</v>
      </c>
      <c r="AU14" s="27">
        <f t="shared" ca="1" si="99"/>
        <v>3.1278950292626124</v>
      </c>
      <c r="AV14" s="27">
        <f t="shared" ca="1" si="100"/>
        <v>0.73228046724255913</v>
      </c>
      <c r="AW14" s="27">
        <f t="shared" ca="1" si="101"/>
        <v>2.8852462816745184</v>
      </c>
      <c r="AX14" s="27">
        <f t="shared" ca="1" si="102"/>
        <v>6.1063413368772874</v>
      </c>
      <c r="AY14" s="27">
        <f t="shared" ca="1" si="103"/>
        <v>1.4426231408372592</v>
      </c>
      <c r="AZ14" s="27">
        <f t="shared" ca="1" si="104"/>
        <v>8.665853342193218</v>
      </c>
      <c r="BA14" s="27">
        <f t="shared" ca="1" si="105"/>
        <v>2.850260895574884</v>
      </c>
      <c r="BB14" s="27">
        <f t="shared" ca="1" si="106"/>
        <v>5.9974851915484635</v>
      </c>
      <c r="BC14" s="27">
        <f t="shared" ca="1" si="107"/>
        <v>1.425130447787442</v>
      </c>
      <c r="BD14" s="27">
        <f t="shared" ca="1" si="108"/>
        <v>4.4423633225782257</v>
      </c>
      <c r="BE14" s="27">
        <f t="shared" ca="1" si="109"/>
        <v>5.3125169630832394</v>
      </c>
      <c r="BF14" s="27">
        <f t="shared" ca="1" si="110"/>
        <v>7.6346167944722252</v>
      </c>
      <c r="BG14" s="27">
        <f t="shared" ca="1" si="111"/>
        <v>13.459343621209769</v>
      </c>
      <c r="BH14" s="27">
        <f t="shared" ca="1" si="112"/>
        <v>2.7150706554685655</v>
      </c>
      <c r="BI14" s="27">
        <f t="shared" ca="1" si="113"/>
        <v>7.4039388709637102</v>
      </c>
      <c r="BJ14" s="27">
        <f t="shared" ca="1" si="114"/>
        <v>4.0301852823390094</v>
      </c>
      <c r="BK14" s="27">
        <f t="shared" ca="1" si="115"/>
        <v>3.3016901233756162</v>
      </c>
      <c r="BL14" s="27">
        <f t="shared" ca="1" si="116"/>
        <v>13.884355821076873</v>
      </c>
      <c r="BM14" s="27">
        <f t="shared" ca="1" si="117"/>
        <v>0.58582437379404728</v>
      </c>
      <c r="BN14" s="27">
        <f t="shared" ca="1" si="118"/>
        <v>2.747853601594779</v>
      </c>
      <c r="BO14" s="27">
        <f t="shared" ca="1" si="119"/>
        <v>1.0380780272691388</v>
      </c>
      <c r="BP14" s="27">
        <f t="shared" ca="1" si="120"/>
        <v>2.6430852693689313</v>
      </c>
      <c r="BQ14" s="27">
        <f t="shared" ca="1" si="121"/>
        <v>20.487887398060479</v>
      </c>
      <c r="BR14" s="27">
        <f t="shared" ca="1" si="122"/>
        <v>1.5208902011960845</v>
      </c>
      <c r="BS14" s="27">
        <f t="shared" ca="1" si="123"/>
        <v>4.3355023491828737</v>
      </c>
      <c r="BT14" s="27">
        <f t="shared" ca="1" si="124"/>
        <v>3.7248682154951451</v>
      </c>
      <c r="BU14" s="27">
        <f t="shared" ca="1" si="125"/>
        <v>5.4681534589239202</v>
      </c>
      <c r="BV14" s="27">
        <f t="shared" ca="1" si="126"/>
        <v>14.29493874126293</v>
      </c>
      <c r="BW14" s="27">
        <f t="shared" ca="1" si="127"/>
        <v>1.667346294644596</v>
      </c>
      <c r="BX14" s="27">
        <f t="shared" ca="1" si="128"/>
        <v>3.5183364569304469</v>
      </c>
      <c r="BY14" s="27">
        <f t="shared" ca="1" si="129"/>
        <v>6.6065095912826663</v>
      </c>
      <c r="BZ14" s="27">
        <f t="shared" ca="1" si="130"/>
        <v>12.102350863309564</v>
      </c>
      <c r="CA14" s="27">
        <f t="shared" ca="1" si="131"/>
        <v>6.6065095912826663</v>
      </c>
      <c r="CB14" s="27">
        <f t="shared" ca="1" si="132"/>
        <v>8.0846266321863745</v>
      </c>
      <c r="CC14" s="27">
        <f t="shared" ca="1" si="133"/>
        <v>14.422953225462514</v>
      </c>
      <c r="CD14" s="27">
        <f t="shared" ca="1" si="134"/>
        <v>8.0846266321863745</v>
      </c>
      <c r="CE14" s="27">
        <f t="shared" ca="1" si="135"/>
        <v>2.1664633355483045</v>
      </c>
    </row>
    <row r="15" spans="1:83" x14ac:dyDescent="0.25">
      <c r="A15" t="str">
        <f>PLANTILLA!D15</f>
        <v>Julian Gräbitz</v>
      </c>
      <c r="B15">
        <f>PLANTILLA!E15</f>
        <v>29</v>
      </c>
      <c r="C15" s="25">
        <f ca="1">PLANTILLA!F15</f>
        <v>9</v>
      </c>
      <c r="D15" s="42" t="str">
        <f>PLANTILLA!G15</f>
        <v>RAP</v>
      </c>
      <c r="E15" s="23">
        <f>PLANTILLA!M15</f>
        <v>43744</v>
      </c>
      <c r="F15" s="37">
        <f>PLANTILLA!Q15</f>
        <v>6</v>
      </c>
      <c r="G15" s="38">
        <f t="shared" si="68"/>
        <v>0.92582009977255142</v>
      </c>
      <c r="H15" s="38">
        <f t="shared" si="69"/>
        <v>0.99928545900129484</v>
      </c>
      <c r="I15" s="104">
        <f ca="1">PLANTILLA!N15</f>
        <v>1</v>
      </c>
      <c r="J15" s="29">
        <f>PLANTILLA!I15</f>
        <v>6.7</v>
      </c>
      <c r="K15" s="36">
        <f>PLANTILLA!X15</f>
        <v>0</v>
      </c>
      <c r="L15" s="36">
        <f>PLANTILLA!Y15</f>
        <v>13.714285714285714</v>
      </c>
      <c r="M15" s="36">
        <f>PLANTILLA!Z15</f>
        <v>9.8412698412698401</v>
      </c>
      <c r="N15" s="36">
        <f>PLANTILLA!AA15</f>
        <v>5.6</v>
      </c>
      <c r="O15" s="36">
        <f>PLANTILLA!AB15</f>
        <v>9</v>
      </c>
      <c r="P15" s="36">
        <f>PLANTILLA!AC15</f>
        <v>4</v>
      </c>
      <c r="Q15" s="36">
        <f>PLANTILLA!AD15</f>
        <v>21.2</v>
      </c>
      <c r="R15" s="36">
        <f t="shared" si="70"/>
        <v>4.3392857142857144</v>
      </c>
      <c r="S15" s="36">
        <f t="shared" si="71"/>
        <v>0.83599999999999997</v>
      </c>
      <c r="T15" s="36">
        <f t="shared" si="72"/>
        <v>1.1845714285714286</v>
      </c>
      <c r="U15" s="36">
        <f t="shared" ca="1" si="73"/>
        <v>21.572935089958737</v>
      </c>
      <c r="V15" s="36">
        <f t="shared" ca="1" si="74"/>
        <v>23.28478324101048</v>
      </c>
      <c r="W15" s="27">
        <f t="shared" ca="1" si="75"/>
        <v>5.6196939274866189</v>
      </c>
      <c r="X15" s="27">
        <f t="shared" ca="1" si="76"/>
        <v>8.5415215222871179</v>
      </c>
      <c r="Y15" s="27">
        <f t="shared" ca="1" si="77"/>
        <v>5.6196939274866189</v>
      </c>
      <c r="Z15" s="27">
        <f t="shared" ca="1" si="78"/>
        <v>8.1609108928295964</v>
      </c>
      <c r="AA15" s="27">
        <f t="shared" ca="1" si="79"/>
        <v>15.815718784553482</v>
      </c>
      <c r="AB15" s="27">
        <f t="shared" ca="1" si="80"/>
        <v>4.0804554464147982</v>
      </c>
      <c r="AC15" s="27">
        <f t="shared" ca="1" si="81"/>
        <v>2.8423632929459508</v>
      </c>
      <c r="AD15" s="27">
        <f t="shared" ca="1" si="82"/>
        <v>5.9783417005612165</v>
      </c>
      <c r="AE15" s="27">
        <f t="shared" ca="1" si="83"/>
        <v>11.434764681232167</v>
      </c>
      <c r="AF15" s="27">
        <f t="shared" ca="1" si="84"/>
        <v>2.9891708502806082</v>
      </c>
      <c r="AG15" s="27">
        <f t="shared" ca="1" si="85"/>
        <v>4.5979406209419791</v>
      </c>
      <c r="AH15" s="27">
        <f t="shared" ca="1" si="86"/>
        <v>14.550461281789204</v>
      </c>
      <c r="AI15" s="27">
        <f t="shared" ca="1" si="87"/>
        <v>6.5477075768051414</v>
      </c>
      <c r="AJ15" s="27">
        <f t="shared" ca="1" si="88"/>
        <v>1.9944313862267808</v>
      </c>
      <c r="AK15" s="27">
        <f t="shared" ca="1" si="89"/>
        <v>4.5284426453174476</v>
      </c>
      <c r="AL15" s="27">
        <f t="shared" ca="1" si="90"/>
        <v>11.925051963553326</v>
      </c>
      <c r="AM15" s="27">
        <f t="shared" ca="1" si="91"/>
        <v>11.197528899463865</v>
      </c>
      <c r="AN15" s="27">
        <f t="shared" ca="1" si="92"/>
        <v>3.8913393227347179</v>
      </c>
      <c r="AO15" s="27">
        <f t="shared" ca="1" si="93"/>
        <v>1.854927009951403</v>
      </c>
      <c r="AP15" s="27">
        <f t="shared" ca="1" si="94"/>
        <v>4.2702440718294401</v>
      </c>
      <c r="AQ15" s="27">
        <f t="shared" ca="1" si="95"/>
        <v>9.3945369580247675</v>
      </c>
      <c r="AR15" s="27">
        <f t="shared" ca="1" si="96"/>
        <v>2.1351220359147201</v>
      </c>
      <c r="AS15" s="27">
        <f t="shared" ca="1" si="97"/>
        <v>11.273911548491501</v>
      </c>
      <c r="AT15" s="27">
        <f t="shared" ca="1" si="98"/>
        <v>1.4431862991348099</v>
      </c>
      <c r="AU15" s="27">
        <f t="shared" ca="1" si="99"/>
        <v>2.3877198895884559</v>
      </c>
      <c r="AV15" s="27">
        <f t="shared" ca="1" si="100"/>
        <v>0.72159314956740495</v>
      </c>
      <c r="AW15" s="27">
        <f t="shared" ca="1" si="101"/>
        <v>2.9891708502806082</v>
      </c>
      <c r="AX15" s="27">
        <f t="shared" ca="1" si="102"/>
        <v>6.3262875138213932</v>
      </c>
      <c r="AY15" s="27">
        <f t="shared" ca="1" si="103"/>
        <v>1.4945854251403041</v>
      </c>
      <c r="AZ15" s="27">
        <f t="shared" ca="1" si="104"/>
        <v>11.942702911537609</v>
      </c>
      <c r="BA15" s="27">
        <f t="shared" ca="1" si="105"/>
        <v>2.8086625667777456</v>
      </c>
      <c r="BB15" s="27">
        <f t="shared" ca="1" si="106"/>
        <v>5.0668896217175412</v>
      </c>
      <c r="BC15" s="27">
        <f t="shared" ca="1" si="107"/>
        <v>1.4043312833888728</v>
      </c>
      <c r="BD15" s="27">
        <f t="shared" ca="1" si="108"/>
        <v>4.6023741663050632</v>
      </c>
      <c r="BE15" s="27">
        <f t="shared" ca="1" si="109"/>
        <v>5.5038701370246113</v>
      </c>
      <c r="BF15" s="27">
        <f t="shared" ca="1" si="110"/>
        <v>10.521521265064633</v>
      </c>
      <c r="BG15" s="27">
        <f t="shared" ca="1" si="111"/>
        <v>7.9175739994680452</v>
      </c>
      <c r="BH15" s="27">
        <f t="shared" ca="1" si="112"/>
        <v>2.6754453699345322</v>
      </c>
      <c r="BI15" s="27">
        <f t="shared" ca="1" si="113"/>
        <v>7.6706236105084384</v>
      </c>
      <c r="BJ15" s="27">
        <f t="shared" ca="1" si="114"/>
        <v>4.1753497591221196</v>
      </c>
      <c r="BK15" s="27">
        <f t="shared" ca="1" si="115"/>
        <v>4.5501698092958289</v>
      </c>
      <c r="BL15" s="27">
        <f t="shared" ca="1" si="116"/>
        <v>7.4144525034140294</v>
      </c>
      <c r="BM15" s="27">
        <f t="shared" ca="1" si="117"/>
        <v>0.57727451965392396</v>
      </c>
      <c r="BN15" s="27">
        <f t="shared" ca="1" si="118"/>
        <v>2.8468293812196266</v>
      </c>
      <c r="BO15" s="27">
        <f t="shared" ca="1" si="119"/>
        <v>1.0754688773496368</v>
      </c>
      <c r="BP15" s="27">
        <f t="shared" ca="1" si="120"/>
        <v>3.6425243880189706</v>
      </c>
      <c r="BQ15" s="27">
        <f t="shared" ca="1" si="121"/>
        <v>10.87644292836435</v>
      </c>
      <c r="BR15" s="27">
        <f t="shared" ca="1" si="122"/>
        <v>1.4986934644861489</v>
      </c>
      <c r="BS15" s="27">
        <f t="shared" ca="1" si="123"/>
        <v>4.4916641348131883</v>
      </c>
      <c r="BT15" s="27">
        <f t="shared" ca="1" si="124"/>
        <v>3.8590353834310496</v>
      </c>
      <c r="BU15" s="27">
        <f t="shared" ca="1" si="125"/>
        <v>7.5358455371802311</v>
      </c>
      <c r="BV15" s="27">
        <f t="shared" ca="1" si="126"/>
        <v>7.548982597889653</v>
      </c>
      <c r="BW15" s="27">
        <f t="shared" ca="1" si="127"/>
        <v>1.6430120943996296</v>
      </c>
      <c r="BX15" s="27">
        <f t="shared" ca="1" si="128"/>
        <v>4.8487373820842699</v>
      </c>
      <c r="BY15" s="27">
        <f t="shared" ca="1" si="129"/>
        <v>4.6592466296095072</v>
      </c>
      <c r="BZ15" s="27">
        <f t="shared" ca="1" si="130"/>
        <v>9.5852136371215071</v>
      </c>
      <c r="CA15" s="27">
        <f t="shared" ca="1" si="131"/>
        <v>4.6592466296095072</v>
      </c>
      <c r="CB15" s="27">
        <f t="shared" ca="1" si="132"/>
        <v>4.8647928027768197</v>
      </c>
      <c r="CC15" s="27">
        <f t="shared" ca="1" si="133"/>
        <v>10.197861873196576</v>
      </c>
      <c r="CD15" s="27">
        <f t="shared" ca="1" si="134"/>
        <v>4.8647928027768197</v>
      </c>
      <c r="CE15" s="27">
        <f t="shared" ca="1" si="135"/>
        <v>2.9856757278844022</v>
      </c>
    </row>
    <row r="16" spans="1:83" x14ac:dyDescent="0.25">
      <c r="A16" t="str">
        <f>PLANTILLA!D16</f>
        <v>Lenadro Faias</v>
      </c>
      <c r="B16">
        <f>PLANTILLA!E16</f>
        <v>32</v>
      </c>
      <c r="C16" s="25">
        <f ca="1">PLANTILLA!F16</f>
        <v>37</v>
      </c>
      <c r="D16" s="42" t="str">
        <f>PLANTILLA!G16</f>
        <v>RAP</v>
      </c>
      <c r="E16" s="23">
        <f>PLANTILLA!M16</f>
        <v>44094</v>
      </c>
      <c r="F16" s="37">
        <f>PLANTILLA!Q16</f>
        <v>6</v>
      </c>
      <c r="G16" s="38">
        <f t="shared" si="68"/>
        <v>0.92582009977255142</v>
      </c>
      <c r="H16" s="38">
        <f t="shared" si="69"/>
        <v>0.99928545900129484</v>
      </c>
      <c r="I16" s="104">
        <f ca="1">PLANTILLA!N16</f>
        <v>0.97892228102518331</v>
      </c>
      <c r="J16" s="29">
        <f>PLANTILLA!I16</f>
        <v>7.5</v>
      </c>
      <c r="K16" s="36">
        <f>PLANTILLA!X16</f>
        <v>0</v>
      </c>
      <c r="L16" s="36">
        <f>PLANTILLA!Y16</f>
        <v>10</v>
      </c>
      <c r="M16" s="36">
        <f>PLANTILLA!Z16</f>
        <v>14</v>
      </c>
      <c r="N16" s="36">
        <f>PLANTILLA!AA16</f>
        <v>3</v>
      </c>
      <c r="O16" s="36">
        <f>PLANTILLA!AB16</f>
        <v>10</v>
      </c>
      <c r="P16" s="36">
        <f>PLANTILLA!AC16</f>
        <v>8</v>
      </c>
      <c r="Q16" s="36">
        <f>PLANTILLA!AD16</f>
        <v>16</v>
      </c>
      <c r="R16" s="36">
        <f t="shared" si="70"/>
        <v>4.125</v>
      </c>
      <c r="S16" s="36">
        <f t="shared" si="71"/>
        <v>0.88000000000000012</v>
      </c>
      <c r="T16" s="36">
        <f t="shared" si="72"/>
        <v>0.88000000000000012</v>
      </c>
      <c r="U16" s="36">
        <f t="shared" ca="1" si="73"/>
        <v>16.79962659515633</v>
      </c>
      <c r="V16" s="36">
        <f t="shared" ca="1" si="74"/>
        <v>18.132704806598401</v>
      </c>
      <c r="W16" s="27">
        <f t="shared" ca="1" si="75"/>
        <v>4.6331704619229237</v>
      </c>
      <c r="X16" s="27">
        <f t="shared" ca="1" si="76"/>
        <v>7.0200607861884246</v>
      </c>
      <c r="Y16" s="27">
        <f t="shared" ca="1" si="77"/>
        <v>4.6331704619229237</v>
      </c>
      <c r="Z16" s="27">
        <f t="shared" ca="1" si="78"/>
        <v>6.2671660462224841</v>
      </c>
      <c r="AA16" s="27">
        <f t="shared" ca="1" si="79"/>
        <v>12.145670632214117</v>
      </c>
      <c r="AB16" s="27">
        <f t="shared" ca="1" si="80"/>
        <v>3.133583023111242</v>
      </c>
      <c r="AC16" s="27">
        <f t="shared" ca="1" si="81"/>
        <v>3.8426696104669595</v>
      </c>
      <c r="AD16" s="27">
        <f t="shared" ca="1" si="82"/>
        <v>4.5910634989769363</v>
      </c>
      <c r="AE16" s="27">
        <f t="shared" ca="1" si="83"/>
        <v>8.7813198670908061</v>
      </c>
      <c r="AF16" s="27">
        <f t="shared" ca="1" si="84"/>
        <v>2.2955317494884682</v>
      </c>
      <c r="AG16" s="27">
        <f t="shared" ca="1" si="85"/>
        <v>6.2160831934024348</v>
      </c>
      <c r="AH16" s="27">
        <f t="shared" ca="1" si="86"/>
        <v>11.174016981636989</v>
      </c>
      <c r="AI16" s="27">
        <f t="shared" ca="1" si="87"/>
        <v>5.0283076417366441</v>
      </c>
      <c r="AJ16" s="27">
        <f t="shared" ca="1" si="88"/>
        <v>2.6963269955797577</v>
      </c>
      <c r="AK16" s="27">
        <f t="shared" ca="1" si="89"/>
        <v>3.0256543317419005</v>
      </c>
      <c r="AL16" s="27">
        <f t="shared" ca="1" si="90"/>
        <v>9.1578356566894445</v>
      </c>
      <c r="AM16" s="27">
        <f t="shared" ca="1" si="91"/>
        <v>8.5991348076075944</v>
      </c>
      <c r="AN16" s="27">
        <f t="shared" ca="1" si="92"/>
        <v>3.0303269955797578</v>
      </c>
      <c r="AO16" s="27">
        <f t="shared" ca="1" si="93"/>
        <v>1.8059531420776653</v>
      </c>
      <c r="AP16" s="27">
        <f t="shared" ca="1" si="94"/>
        <v>3.2793310706978116</v>
      </c>
      <c r="AQ16" s="27">
        <f t="shared" ca="1" si="95"/>
        <v>7.2145283555351849</v>
      </c>
      <c r="AR16" s="27">
        <f t="shared" ca="1" si="96"/>
        <v>1.6396655353489058</v>
      </c>
      <c r="AS16" s="27">
        <f t="shared" ca="1" si="97"/>
        <v>15.241513076810126</v>
      </c>
      <c r="AT16" s="27">
        <f t="shared" ca="1" si="98"/>
        <v>1.5789371821878353</v>
      </c>
      <c r="AU16" s="27">
        <f t="shared" ca="1" si="99"/>
        <v>3.2126814952387361</v>
      </c>
      <c r="AV16" s="27">
        <f t="shared" ca="1" si="100"/>
        <v>0.78946859109391765</v>
      </c>
      <c r="AW16" s="27">
        <f t="shared" ca="1" si="101"/>
        <v>2.2955317494884682</v>
      </c>
      <c r="AX16" s="27">
        <f t="shared" ca="1" si="102"/>
        <v>4.8582682528856473</v>
      </c>
      <c r="AY16" s="27">
        <f t="shared" ca="1" si="103"/>
        <v>1.1477658747442341</v>
      </c>
      <c r="AZ16" s="27">
        <f t="shared" ca="1" si="104"/>
        <v>16.145670632214117</v>
      </c>
      <c r="BA16" s="27">
        <f t="shared" ca="1" si="105"/>
        <v>3.0728546699501713</v>
      </c>
      <c r="BB16" s="27">
        <f t="shared" ca="1" si="106"/>
        <v>6.2722645183499788</v>
      </c>
      <c r="BC16" s="27">
        <f t="shared" ca="1" si="107"/>
        <v>1.5364273349750857</v>
      </c>
      <c r="BD16" s="27">
        <f t="shared" ca="1" si="108"/>
        <v>3.5343901539743077</v>
      </c>
      <c r="BE16" s="27">
        <f t="shared" ca="1" si="109"/>
        <v>4.226693380010512</v>
      </c>
      <c r="BF16" s="27">
        <f t="shared" ca="1" si="110"/>
        <v>14.224335826980637</v>
      </c>
      <c r="BG16" s="27">
        <f t="shared" ca="1" si="111"/>
        <v>6.7795011920383494</v>
      </c>
      <c r="BH16" s="27">
        <f t="shared" ca="1" si="112"/>
        <v>2.9271066223636022</v>
      </c>
      <c r="BI16" s="27">
        <f t="shared" ca="1" si="113"/>
        <v>5.8906502566238466</v>
      </c>
      <c r="BJ16" s="27">
        <f t="shared" ca="1" si="114"/>
        <v>3.2064570469045268</v>
      </c>
      <c r="BK16" s="27">
        <f t="shared" ca="1" si="115"/>
        <v>6.1515005108735785</v>
      </c>
      <c r="BL16" s="27">
        <f t="shared" ca="1" si="116"/>
        <v>5.9043161325551381</v>
      </c>
      <c r="BM16" s="27">
        <f t="shared" ca="1" si="117"/>
        <v>0.63157487287513403</v>
      </c>
      <c r="BN16" s="27">
        <f t="shared" ca="1" si="118"/>
        <v>2.1862207137985408</v>
      </c>
      <c r="BO16" s="27">
        <f t="shared" ca="1" si="119"/>
        <v>0.82590560299056004</v>
      </c>
      <c r="BP16" s="27">
        <f t="shared" ca="1" si="120"/>
        <v>4.9244295428253055</v>
      </c>
      <c r="BQ16" s="27">
        <f t="shared" ca="1" si="121"/>
        <v>8.6193324330273526</v>
      </c>
      <c r="BR16" s="27">
        <f t="shared" ca="1" si="122"/>
        <v>1.6396655353489058</v>
      </c>
      <c r="BS16" s="27">
        <f t="shared" ca="1" si="123"/>
        <v>3.4493704595488088</v>
      </c>
      <c r="BT16" s="27">
        <f t="shared" ca="1" si="124"/>
        <v>2.9635436342602444</v>
      </c>
      <c r="BU16" s="27">
        <f t="shared" ca="1" si="125"/>
        <v>10.187918168927107</v>
      </c>
      <c r="BV16" s="27">
        <f t="shared" ca="1" si="126"/>
        <v>5.9563752158316339</v>
      </c>
      <c r="BW16" s="27">
        <f t="shared" ca="1" si="127"/>
        <v>1.7975592535676892</v>
      </c>
      <c r="BX16" s="27">
        <f t="shared" ca="1" si="128"/>
        <v>6.5551422766789313</v>
      </c>
      <c r="BY16" s="27">
        <f t="shared" ca="1" si="129"/>
        <v>5.0658943993835548</v>
      </c>
      <c r="BZ16" s="27">
        <f t="shared" ca="1" si="130"/>
        <v>12.510025131873096</v>
      </c>
      <c r="CA16" s="27">
        <f t="shared" ca="1" si="131"/>
        <v>5.0658943993835548</v>
      </c>
      <c r="CB16" s="27">
        <f t="shared" ca="1" si="132"/>
        <v>5.499752803869395</v>
      </c>
      <c r="CC16" s="27">
        <f t="shared" ca="1" si="133"/>
        <v>14.627423095501126</v>
      </c>
      <c r="CD16" s="27">
        <f t="shared" ca="1" si="134"/>
        <v>5.499752803869395</v>
      </c>
      <c r="CE16" s="27">
        <f t="shared" ca="1" si="135"/>
        <v>4.0364176580535291</v>
      </c>
    </row>
    <row r="17" spans="1:83" x14ac:dyDescent="0.25">
      <c r="A17" t="str">
        <f>PLANTILLA!D19</f>
        <v>Nicolás Galaz</v>
      </c>
      <c r="B17">
        <f>PLANTILLA!E19</f>
        <v>29</v>
      </c>
      <c r="C17" s="25">
        <f ca="1">PLANTILLA!F19</f>
        <v>67</v>
      </c>
      <c r="D17" s="42">
        <f>PLANTILLA!G19</f>
        <v>0</v>
      </c>
      <c r="E17" s="23">
        <f>PLANTILLA!M19</f>
        <v>44262</v>
      </c>
      <c r="F17" s="37">
        <f>PLANTILLA!Q19</f>
        <v>5</v>
      </c>
      <c r="G17" s="38">
        <f t="shared" si="68"/>
        <v>0.84515425472851657</v>
      </c>
      <c r="H17" s="38">
        <f t="shared" si="69"/>
        <v>0.92504826128926143</v>
      </c>
      <c r="I17" s="104">
        <f ca="1">PLANTILLA!N19</f>
        <v>0.61449540541451142</v>
      </c>
      <c r="J17" s="29">
        <f>PLANTILLA!I19</f>
        <v>7.2</v>
      </c>
      <c r="K17" s="36">
        <f>PLANTILLA!X19</f>
        <v>0</v>
      </c>
      <c r="L17" s="36">
        <f>PLANTILLA!Y19</f>
        <v>4</v>
      </c>
      <c r="M17" s="36">
        <f>PLANTILLA!Z19</f>
        <v>3</v>
      </c>
      <c r="N17" s="36">
        <f>PLANTILLA!AA19</f>
        <v>9.125</v>
      </c>
      <c r="O17" s="36">
        <f>PLANTILLA!AB19</f>
        <v>14</v>
      </c>
      <c r="P17" s="36">
        <f>PLANTILLA!AC19</f>
        <v>13.95</v>
      </c>
      <c r="Q17" s="36">
        <f>PLANTILLA!AD19</f>
        <v>3</v>
      </c>
      <c r="R17" s="36">
        <f t="shared" si="70"/>
        <v>4.375</v>
      </c>
      <c r="S17" s="36">
        <f t="shared" si="71"/>
        <v>0.78749999999999998</v>
      </c>
      <c r="T17" s="36">
        <f t="shared" si="72"/>
        <v>0.25</v>
      </c>
      <c r="U17" s="36">
        <f t="shared" ca="1" si="73"/>
        <v>4.0209104466839589</v>
      </c>
      <c r="V17" s="36">
        <f t="shared" ca="1" si="74"/>
        <v>4.4010146037774209</v>
      </c>
      <c r="W17" s="27">
        <f t="shared" ca="1" si="75"/>
        <v>2.6383895147728653</v>
      </c>
      <c r="X17" s="27">
        <f t="shared" ca="1" si="76"/>
        <v>3.9690685722471581</v>
      </c>
      <c r="Y17" s="27">
        <f t="shared" ca="1" si="77"/>
        <v>2.6383895147728653</v>
      </c>
      <c r="Z17" s="27">
        <f t="shared" ca="1" si="78"/>
        <v>2.9709243867386008</v>
      </c>
      <c r="AA17" s="27">
        <f t="shared" ca="1" si="79"/>
        <v>5.7576054006562032</v>
      </c>
      <c r="AB17" s="27">
        <f t="shared" ca="1" si="80"/>
        <v>1.4854621933693004</v>
      </c>
      <c r="AC17" s="27">
        <f t="shared" ca="1" si="81"/>
        <v>1.1323100853561763</v>
      </c>
      <c r="AD17" s="27">
        <f t="shared" ca="1" si="82"/>
        <v>2.1763748414480446</v>
      </c>
      <c r="AE17" s="27">
        <f t="shared" ca="1" si="83"/>
        <v>4.1627487046744349</v>
      </c>
      <c r="AF17" s="27">
        <f t="shared" ca="1" si="84"/>
        <v>1.0881874207240223</v>
      </c>
      <c r="AG17" s="27">
        <f t="shared" ca="1" si="85"/>
        <v>1.8316780792526384</v>
      </c>
      <c r="AH17" s="27">
        <f t="shared" ca="1" si="86"/>
        <v>5.2969969686037075</v>
      </c>
      <c r="AI17" s="27">
        <f t="shared" ca="1" si="87"/>
        <v>2.3836486358716682</v>
      </c>
      <c r="AJ17" s="27">
        <f t="shared" ca="1" si="88"/>
        <v>0.794520101909586</v>
      </c>
      <c r="AK17" s="27">
        <f t="shared" ca="1" si="89"/>
        <v>6.3989719755858463</v>
      </c>
      <c r="AL17" s="27">
        <f t="shared" ca="1" si="90"/>
        <v>4.3412344720947775</v>
      </c>
      <c r="AM17" s="27">
        <f t="shared" ca="1" si="91"/>
        <v>4.076384623664592</v>
      </c>
      <c r="AN17" s="27">
        <f t="shared" ca="1" si="92"/>
        <v>0.794520101909586</v>
      </c>
      <c r="AO17" s="27">
        <f t="shared" ca="1" si="93"/>
        <v>1.7661903553889864</v>
      </c>
      <c r="AP17" s="27">
        <f t="shared" ca="1" si="94"/>
        <v>1.5545534581771749</v>
      </c>
      <c r="AQ17" s="27">
        <f t="shared" ca="1" si="95"/>
        <v>3.4200176079897844</v>
      </c>
      <c r="AR17" s="27">
        <f t="shared" ca="1" si="96"/>
        <v>0.77727672908858747</v>
      </c>
      <c r="AS17" s="27">
        <f t="shared" ca="1" si="97"/>
        <v>4.4911794982194557</v>
      </c>
      <c r="AT17" s="27">
        <f t="shared" ca="1" si="98"/>
        <v>2.0484887020853062</v>
      </c>
      <c r="AU17" s="27">
        <f t="shared" ca="1" si="99"/>
        <v>4.6083283823922665</v>
      </c>
      <c r="AV17" s="27">
        <f t="shared" ca="1" si="100"/>
        <v>1.0242443510426531</v>
      </c>
      <c r="AW17" s="27">
        <f t="shared" ca="1" si="101"/>
        <v>1.0881874207240223</v>
      </c>
      <c r="AX17" s="27">
        <f t="shared" ca="1" si="102"/>
        <v>2.3030421602624815</v>
      </c>
      <c r="AY17" s="27">
        <f t="shared" ca="1" si="103"/>
        <v>0.54409371036201115</v>
      </c>
      <c r="AZ17" s="27">
        <f t="shared" ca="1" si="104"/>
        <v>4.7576054006562032</v>
      </c>
      <c r="BA17" s="27">
        <f t="shared" ca="1" si="105"/>
        <v>3.986674166366019</v>
      </c>
      <c r="BB17" s="27">
        <f t="shared" ca="1" si="106"/>
        <v>8.6719405757615675</v>
      </c>
      <c r="BC17" s="27">
        <f t="shared" ca="1" si="107"/>
        <v>1.9933370831830095</v>
      </c>
      <c r="BD17" s="27">
        <f t="shared" ca="1" si="108"/>
        <v>1.6754631715909549</v>
      </c>
      <c r="BE17" s="27">
        <f t="shared" ca="1" si="109"/>
        <v>2.0036466794283587</v>
      </c>
      <c r="BF17" s="27">
        <f t="shared" ca="1" si="110"/>
        <v>4.1914503579781153</v>
      </c>
      <c r="BG17" s="27">
        <f t="shared" ca="1" si="111"/>
        <v>11.210261201183364</v>
      </c>
      <c r="BH17" s="27">
        <f t="shared" ca="1" si="112"/>
        <v>3.7975829015581444</v>
      </c>
      <c r="BI17" s="27">
        <f t="shared" ca="1" si="113"/>
        <v>2.7924386193182587</v>
      </c>
      <c r="BJ17" s="27">
        <f t="shared" ca="1" si="114"/>
        <v>1.5200078257732377</v>
      </c>
      <c r="BK17" s="27">
        <f t="shared" ca="1" si="115"/>
        <v>1.8126476576500135</v>
      </c>
      <c r="BL17" s="27">
        <f t="shared" ca="1" si="116"/>
        <v>10.49127212017352</v>
      </c>
      <c r="BM17" s="27">
        <f t="shared" ca="1" si="117"/>
        <v>0.81939548083412239</v>
      </c>
      <c r="BN17" s="27">
        <f t="shared" ca="1" si="118"/>
        <v>1.0363689721181166</v>
      </c>
      <c r="BO17" s="27">
        <f t="shared" ca="1" si="119"/>
        <v>0.39151716724462182</v>
      </c>
      <c r="BP17" s="27">
        <f t="shared" ca="1" si="120"/>
        <v>1.4510696472001419</v>
      </c>
      <c r="BQ17" s="27">
        <f t="shared" ca="1" si="121"/>
        <v>15.389280545243874</v>
      </c>
      <c r="BR17" s="27">
        <f t="shared" ca="1" si="122"/>
        <v>2.1272767290885874</v>
      </c>
      <c r="BS17" s="27">
        <f t="shared" ca="1" si="123"/>
        <v>1.6351599337863616</v>
      </c>
      <c r="BT17" s="27">
        <f t="shared" ca="1" si="124"/>
        <v>1.4048557177601135</v>
      </c>
      <c r="BU17" s="27">
        <f t="shared" ca="1" si="125"/>
        <v>3.002049007814064</v>
      </c>
      <c r="BV17" s="27">
        <f t="shared" ca="1" si="126"/>
        <v>10.680806833587301</v>
      </c>
      <c r="BW17" s="27">
        <f t="shared" ca="1" si="127"/>
        <v>2.3321255992971177</v>
      </c>
      <c r="BX17" s="27">
        <f t="shared" ca="1" si="128"/>
        <v>1.9315877926664187</v>
      </c>
      <c r="BY17" s="27">
        <f t="shared" ca="1" si="129"/>
        <v>7.5013624137418802</v>
      </c>
      <c r="BZ17" s="27">
        <f t="shared" ca="1" si="130"/>
        <v>17.713913681138884</v>
      </c>
      <c r="CA17" s="27">
        <f t="shared" ca="1" si="131"/>
        <v>7.5013624137418802</v>
      </c>
      <c r="CB17" s="27">
        <f t="shared" ca="1" si="132"/>
        <v>8.7266131646088141</v>
      </c>
      <c r="CC17" s="27">
        <f t="shared" ca="1" si="133"/>
        <v>21.522161793498338</v>
      </c>
      <c r="CD17" s="27">
        <f t="shared" ca="1" si="134"/>
        <v>8.7266131646088141</v>
      </c>
      <c r="CE17" s="27">
        <f t="shared" ca="1" si="135"/>
        <v>1.1894013501640508</v>
      </c>
    </row>
    <row r="18" spans="1:83" x14ac:dyDescent="0.25">
      <c r="A18" t="str">
        <f>PLANTILLA!D20</f>
        <v>Meraj Siddiqui</v>
      </c>
      <c r="B18">
        <f>PLANTILLA!E20</f>
        <v>31</v>
      </c>
      <c r="C18" s="25">
        <f ca="1">PLANTILLA!F20</f>
        <v>74</v>
      </c>
      <c r="D18" s="42" t="str">
        <f>PLANTILLA!G20</f>
        <v>RAP</v>
      </c>
      <c r="E18" s="23">
        <f>PLANTILLA!M20</f>
        <v>44069</v>
      </c>
      <c r="F18" s="37">
        <f>PLANTILLA!Q20</f>
        <v>5</v>
      </c>
      <c r="G18" s="38">
        <f t="shared" si="68"/>
        <v>0.84515425472851657</v>
      </c>
      <c r="H18" s="38">
        <f t="shared" si="69"/>
        <v>0.92504826128926143</v>
      </c>
      <c r="I18" s="104">
        <f ca="1">PLANTILLA!N20</f>
        <v>1</v>
      </c>
      <c r="J18" s="29">
        <f>PLANTILLA!I20</f>
        <v>15</v>
      </c>
      <c r="K18" s="36">
        <f>PLANTILLA!X20</f>
        <v>0</v>
      </c>
      <c r="L18" s="36">
        <f>PLANTILLA!Y20</f>
        <v>2</v>
      </c>
      <c r="M18" s="36">
        <f>PLANTILLA!Z20</f>
        <v>9</v>
      </c>
      <c r="N18" s="36">
        <f>PLANTILLA!AA20</f>
        <v>14</v>
      </c>
      <c r="O18" s="36">
        <f>PLANTILLA!AB20</f>
        <v>11</v>
      </c>
      <c r="P18" s="36">
        <f>PLANTILLA!AC20</f>
        <v>11</v>
      </c>
      <c r="Q18" s="36">
        <f>PLANTILLA!AD20</f>
        <v>11</v>
      </c>
      <c r="R18" s="36">
        <f t="shared" si="70"/>
        <v>3.375</v>
      </c>
      <c r="S18" s="36">
        <f t="shared" si="71"/>
        <v>0.88000000000000012</v>
      </c>
      <c r="T18" s="36">
        <f t="shared" si="72"/>
        <v>0.41</v>
      </c>
      <c r="U18" s="36">
        <f t="shared" ca="1" si="73"/>
        <v>11.467155765462101</v>
      </c>
      <c r="V18" s="36">
        <f t="shared" ca="1" si="74"/>
        <v>12.551167367880412</v>
      </c>
      <c r="W18" s="27">
        <f t="shared" ca="1" si="75"/>
        <v>2.7939702255408134</v>
      </c>
      <c r="X18" s="27">
        <f t="shared" ca="1" si="76"/>
        <v>4.165445087254513</v>
      </c>
      <c r="Y18" s="27">
        <f t="shared" ca="1" si="77"/>
        <v>2.7939702255408134</v>
      </c>
      <c r="Z18" s="27">
        <f t="shared" ca="1" si="78"/>
        <v>2.3571507862303087</v>
      </c>
      <c r="AA18" s="27">
        <f t="shared" ca="1" si="79"/>
        <v>4.5681216787409085</v>
      </c>
      <c r="AB18" s="27">
        <f t="shared" ca="1" si="80"/>
        <v>1.1785753931151544</v>
      </c>
      <c r="AC18" s="27">
        <f t="shared" ca="1" si="81"/>
        <v>2.7532129595403361</v>
      </c>
      <c r="AD18" s="27">
        <f t="shared" ca="1" si="82"/>
        <v>1.7267499945640634</v>
      </c>
      <c r="AE18" s="27">
        <f t="shared" ca="1" si="83"/>
        <v>3.3027519737296767</v>
      </c>
      <c r="AF18" s="27">
        <f t="shared" ca="1" si="84"/>
        <v>0.86337499728203171</v>
      </c>
      <c r="AG18" s="27">
        <f t="shared" ca="1" si="85"/>
        <v>4.4537268463152495</v>
      </c>
      <c r="AH18" s="27">
        <f t="shared" ca="1" si="86"/>
        <v>4.2026719444416356</v>
      </c>
      <c r="AI18" s="27">
        <f t="shared" ca="1" si="87"/>
        <v>1.8912023749987361</v>
      </c>
      <c r="AJ18" s="27">
        <f t="shared" ca="1" si="88"/>
        <v>1.9318763203497318</v>
      </c>
      <c r="AK18" s="27">
        <f t="shared" ca="1" si="89"/>
        <v>9.7420555470996533</v>
      </c>
      <c r="AL18" s="27">
        <f t="shared" ca="1" si="90"/>
        <v>3.4443637457706449</v>
      </c>
      <c r="AM18" s="27">
        <f t="shared" ca="1" si="91"/>
        <v>3.2342301485485629</v>
      </c>
      <c r="AN18" s="27">
        <f t="shared" ca="1" si="92"/>
        <v>2.2658763203497316</v>
      </c>
      <c r="AO18" s="27">
        <f t="shared" ca="1" si="93"/>
        <v>1.7116190434773815</v>
      </c>
      <c r="AP18" s="27">
        <f t="shared" ca="1" si="94"/>
        <v>1.2333928532600453</v>
      </c>
      <c r="AQ18" s="27">
        <f t="shared" ca="1" si="95"/>
        <v>2.7134642771720996</v>
      </c>
      <c r="AR18" s="27">
        <f t="shared" ca="1" si="96"/>
        <v>0.61669642663002266</v>
      </c>
      <c r="AS18" s="27">
        <f t="shared" ca="1" si="97"/>
        <v>10.920306864731417</v>
      </c>
      <c r="AT18" s="27">
        <f t="shared" ca="1" si="98"/>
        <v>1.7638558182363182</v>
      </c>
      <c r="AU18" s="27">
        <f t="shared" ca="1" si="99"/>
        <v>3.9754596518710859</v>
      </c>
      <c r="AV18" s="27">
        <f t="shared" ca="1" si="100"/>
        <v>0.8819279091181591</v>
      </c>
      <c r="AW18" s="27">
        <f t="shared" ca="1" si="101"/>
        <v>0.86337499728203171</v>
      </c>
      <c r="AX18" s="27">
        <f t="shared" ca="1" si="102"/>
        <v>1.8272486714963634</v>
      </c>
      <c r="AY18" s="27">
        <f t="shared" ca="1" si="103"/>
        <v>0.43168749864101585</v>
      </c>
      <c r="AZ18" s="27">
        <f t="shared" ca="1" si="104"/>
        <v>11.568121678740908</v>
      </c>
      <c r="BA18" s="27">
        <f t="shared" ca="1" si="105"/>
        <v>3.43273478472145</v>
      </c>
      <c r="BB18" s="27">
        <f t="shared" ca="1" si="106"/>
        <v>7.4760350449862409</v>
      </c>
      <c r="BC18" s="27">
        <f t="shared" ca="1" si="107"/>
        <v>1.716367392360725</v>
      </c>
      <c r="BD18" s="27">
        <f t="shared" ca="1" si="108"/>
        <v>1.3293234085136043</v>
      </c>
      <c r="BE18" s="27">
        <f t="shared" ca="1" si="109"/>
        <v>1.589706344201836</v>
      </c>
      <c r="BF18" s="27">
        <f t="shared" ca="1" si="110"/>
        <v>10.191515198970741</v>
      </c>
      <c r="BG18" s="27">
        <f t="shared" ca="1" si="111"/>
        <v>13.784060172400668</v>
      </c>
      <c r="BH18" s="27">
        <f t="shared" ca="1" si="112"/>
        <v>3.2699173245765589</v>
      </c>
      <c r="BI18" s="27">
        <f t="shared" ca="1" si="113"/>
        <v>2.2155390141893405</v>
      </c>
      <c r="BJ18" s="27">
        <f t="shared" ca="1" si="114"/>
        <v>1.2059841231875998</v>
      </c>
      <c r="BK18" s="27">
        <f t="shared" ca="1" si="115"/>
        <v>4.407454359600286</v>
      </c>
      <c r="BL18" s="27">
        <f t="shared" ca="1" si="116"/>
        <v>13.877538347219556</v>
      </c>
      <c r="BM18" s="27">
        <f t="shared" ca="1" si="117"/>
        <v>0.70554232729452726</v>
      </c>
      <c r="BN18" s="27">
        <f t="shared" ca="1" si="118"/>
        <v>0.82226190217336348</v>
      </c>
      <c r="BO18" s="27">
        <f t="shared" ca="1" si="119"/>
        <v>0.31063227415438177</v>
      </c>
      <c r="BP18" s="27">
        <f t="shared" ca="1" si="120"/>
        <v>3.528277112015977</v>
      </c>
      <c r="BQ18" s="27">
        <f t="shared" ca="1" si="121"/>
        <v>20.448604478860808</v>
      </c>
      <c r="BR18" s="27">
        <f t="shared" ca="1" si="122"/>
        <v>1.8316964266300229</v>
      </c>
      <c r="BS18" s="27">
        <f t="shared" ca="1" si="123"/>
        <v>1.2973465567624178</v>
      </c>
      <c r="BT18" s="27">
        <f t="shared" ca="1" si="124"/>
        <v>1.1146216896127816</v>
      </c>
      <c r="BU18" s="27">
        <f t="shared" ca="1" si="125"/>
        <v>7.2994847792855131</v>
      </c>
      <c r="BV18" s="27">
        <f t="shared" ca="1" si="126"/>
        <v>14.249468902473112</v>
      </c>
      <c r="BW18" s="27">
        <f t="shared" ca="1" si="127"/>
        <v>2.0080820084536541</v>
      </c>
      <c r="BX18" s="27">
        <f t="shared" ca="1" si="128"/>
        <v>4.6966574015688094</v>
      </c>
      <c r="BY18" s="27">
        <f t="shared" ca="1" si="129"/>
        <v>7.5009913946240125</v>
      </c>
      <c r="BZ18" s="27">
        <f t="shared" ca="1" si="130"/>
        <v>15.277705010262263</v>
      </c>
      <c r="CA18" s="27">
        <f t="shared" ca="1" si="131"/>
        <v>7.5009913946240125</v>
      </c>
      <c r="CB18" s="27">
        <f t="shared" ca="1" si="132"/>
        <v>9.1159398058555858</v>
      </c>
      <c r="CC18" s="27">
        <f t="shared" ca="1" si="133"/>
        <v>18.574758578196302</v>
      </c>
      <c r="CD18" s="27">
        <f t="shared" ca="1" si="134"/>
        <v>9.1159398058555858</v>
      </c>
      <c r="CE18" s="27">
        <f t="shared" ca="1" si="135"/>
        <v>2.8920304196852271</v>
      </c>
    </row>
    <row r="19" spans="1:83" x14ac:dyDescent="0.25">
      <c r="A19" t="str">
        <f>PLANTILLA!D21</f>
        <v>Rodolfo Rinaldo Paso</v>
      </c>
      <c r="B19">
        <f>PLANTILLA!E21</f>
        <v>29</v>
      </c>
      <c r="C19" s="25">
        <f ca="1">PLANTILLA!F21</f>
        <v>58</v>
      </c>
      <c r="D19" s="42" t="str">
        <f>PLANTILLA!G21</f>
        <v>RAP</v>
      </c>
      <c r="E19" s="23">
        <f>PLANTILLA!M21</f>
        <v>43590</v>
      </c>
      <c r="F19" s="37">
        <f>PLANTILLA!Q21</f>
        <v>7</v>
      </c>
      <c r="G19" s="38">
        <f t="shared" si="68"/>
        <v>1</v>
      </c>
      <c r="H19" s="38">
        <f t="shared" si="69"/>
        <v>1</v>
      </c>
      <c r="I19" s="104">
        <f ca="1">PLANTILLA!N21</f>
        <v>1</v>
      </c>
      <c r="J19" s="29">
        <f>PLANTILLA!I21</f>
        <v>7.7</v>
      </c>
      <c r="K19" s="36">
        <f>PLANTILLA!X21</f>
        <v>0</v>
      </c>
      <c r="L19" s="36">
        <f>PLANTILLA!Y21</f>
        <v>4</v>
      </c>
      <c r="M19" s="36">
        <f>PLANTILLA!Z21</f>
        <v>8.2768518518518519</v>
      </c>
      <c r="N19" s="36">
        <f>PLANTILLA!AA21</f>
        <v>11.666666666666666</v>
      </c>
      <c r="O19" s="36">
        <f>PLANTILLA!AB21</f>
        <v>12.444444444444445</v>
      </c>
      <c r="P19" s="36">
        <f>PLANTILLA!AC21</f>
        <v>14</v>
      </c>
      <c r="Q19" s="36">
        <f>PLANTILLA!AD21</f>
        <v>13.333333333333334</v>
      </c>
      <c r="R19" s="36">
        <f t="shared" si="70"/>
        <v>3.9861111111111112</v>
      </c>
      <c r="S19" s="36">
        <f t="shared" si="71"/>
        <v>1.1000000000000001</v>
      </c>
      <c r="T19" s="36">
        <f t="shared" si="72"/>
        <v>0.55999999999999994</v>
      </c>
      <c r="U19" s="36">
        <f t="shared" ca="1" si="73"/>
        <v>15.515320966896644</v>
      </c>
      <c r="V19" s="36">
        <f t="shared" ca="1" si="74"/>
        <v>15.515320966896644</v>
      </c>
      <c r="W19" s="27">
        <f t="shared" ca="1" si="75"/>
        <v>3.0088752041007689</v>
      </c>
      <c r="X19" s="27">
        <f t="shared" ca="1" si="76"/>
        <v>4.5169460349302319</v>
      </c>
      <c r="Y19" s="27">
        <f t="shared" ca="1" si="77"/>
        <v>3.0088752041007689</v>
      </c>
      <c r="Z19" s="27">
        <f t="shared" ca="1" si="78"/>
        <v>3.1899056189186674</v>
      </c>
      <c r="AA19" s="27">
        <f t="shared" ca="1" si="79"/>
        <v>6.1819876335633088</v>
      </c>
      <c r="AB19" s="27">
        <f t="shared" ca="1" si="80"/>
        <v>1.5949528094593337</v>
      </c>
      <c r="AC19" s="27">
        <f t="shared" ca="1" si="81"/>
        <v>2.4892037975288082</v>
      </c>
      <c r="AD19" s="27">
        <f t="shared" ca="1" si="82"/>
        <v>2.3367913254869306</v>
      </c>
      <c r="AE19" s="27">
        <f t="shared" ca="1" si="83"/>
        <v>4.469577059066272</v>
      </c>
      <c r="AF19" s="27">
        <f t="shared" ca="1" si="84"/>
        <v>1.1683956627434653</v>
      </c>
      <c r="AG19" s="27">
        <f t="shared" ca="1" si="85"/>
        <v>4.0266532018848373</v>
      </c>
      <c r="AH19" s="27">
        <f t="shared" ca="1" si="86"/>
        <v>5.6874286228782447</v>
      </c>
      <c r="AI19" s="27">
        <f t="shared" ca="1" si="87"/>
        <v>2.5593428802952096</v>
      </c>
      <c r="AJ19" s="27">
        <f t="shared" ca="1" si="88"/>
        <v>1.7466261940643322</v>
      </c>
      <c r="AK19" s="27">
        <f t="shared" ca="1" si="89"/>
        <v>8.1430087285352251</v>
      </c>
      <c r="AL19" s="27">
        <f t="shared" ca="1" si="90"/>
        <v>4.6612186757067349</v>
      </c>
      <c r="AM19" s="27">
        <f t="shared" ca="1" si="91"/>
        <v>4.3768472445628221</v>
      </c>
      <c r="AN19" s="27">
        <f t="shared" ca="1" si="92"/>
        <v>2.5910586014717398</v>
      </c>
      <c r="AO19" s="27">
        <f t="shared" ca="1" si="93"/>
        <v>1.7764124384662328</v>
      </c>
      <c r="AP19" s="27">
        <f t="shared" ca="1" si="94"/>
        <v>1.6691366610620935</v>
      </c>
      <c r="AQ19" s="27">
        <f t="shared" ca="1" si="95"/>
        <v>3.6721006543366053</v>
      </c>
      <c r="AR19" s="27">
        <f t="shared" ca="1" si="96"/>
        <v>0.83456833053104673</v>
      </c>
      <c r="AS19" s="27">
        <f t="shared" ca="1" si="97"/>
        <v>9.8731444742319123</v>
      </c>
      <c r="AT19" s="27">
        <f t="shared" ca="1" si="98"/>
        <v>1.9014361701410081</v>
      </c>
      <c r="AU19" s="27">
        <f t="shared" ca="1" si="99"/>
        <v>4.554655709967383</v>
      </c>
      <c r="AV19" s="27">
        <f t="shared" ca="1" si="100"/>
        <v>0.95071808507050404</v>
      </c>
      <c r="AW19" s="27">
        <f t="shared" ca="1" si="101"/>
        <v>1.1683956627434653</v>
      </c>
      <c r="AX19" s="27">
        <f t="shared" ca="1" si="102"/>
        <v>2.4727950534253238</v>
      </c>
      <c r="AY19" s="27">
        <f t="shared" ca="1" si="103"/>
        <v>0.58419783137173265</v>
      </c>
      <c r="AZ19" s="27">
        <f t="shared" ca="1" si="104"/>
        <v>10.458839485415162</v>
      </c>
      <c r="BA19" s="27">
        <f t="shared" ca="1" si="105"/>
        <v>3.7004873157359617</v>
      </c>
      <c r="BB19" s="27">
        <f t="shared" ca="1" si="106"/>
        <v>8.3858307416489399</v>
      </c>
      <c r="BC19" s="27">
        <f t="shared" ca="1" si="107"/>
        <v>1.8502436578679808</v>
      </c>
      <c r="BD19" s="27">
        <f t="shared" ca="1" si="108"/>
        <v>1.7989584013669226</v>
      </c>
      <c r="BE19" s="27">
        <f t="shared" ca="1" si="109"/>
        <v>2.1513316964800313</v>
      </c>
      <c r="BF19" s="27">
        <f t="shared" ca="1" si="110"/>
        <v>9.2142375866507571</v>
      </c>
      <c r="BG19" s="27">
        <f t="shared" ca="1" si="111"/>
        <v>12.556453672904448</v>
      </c>
      <c r="BH19" s="27">
        <f t="shared" ca="1" si="112"/>
        <v>3.5249701307998689</v>
      </c>
      <c r="BI19" s="27">
        <f t="shared" ca="1" si="113"/>
        <v>2.9982640022782046</v>
      </c>
      <c r="BJ19" s="27">
        <f t="shared" ca="1" si="114"/>
        <v>1.6320447352607137</v>
      </c>
      <c r="BK19" s="27">
        <f t="shared" ca="1" si="115"/>
        <v>3.9848178439431767</v>
      </c>
      <c r="BL19" s="27">
        <f t="shared" ca="1" si="116"/>
        <v>12.260057191734333</v>
      </c>
      <c r="BM19" s="27">
        <f t="shared" ca="1" si="117"/>
        <v>0.76057446805640316</v>
      </c>
      <c r="BN19" s="27">
        <f t="shared" ca="1" si="118"/>
        <v>1.1127577740413956</v>
      </c>
      <c r="BO19" s="27">
        <f t="shared" ca="1" si="119"/>
        <v>0.42037515908230505</v>
      </c>
      <c r="BP19" s="27">
        <f t="shared" ca="1" si="120"/>
        <v>3.1899460430516244</v>
      </c>
      <c r="BQ19" s="27">
        <f t="shared" ca="1" si="121"/>
        <v>18.031813874540191</v>
      </c>
      <c r="BR19" s="27">
        <f t="shared" ca="1" si="122"/>
        <v>1.9745683305310471</v>
      </c>
      <c r="BS19" s="27">
        <f t="shared" ca="1" si="123"/>
        <v>1.7556844879319795</v>
      </c>
      <c r="BT19" s="27">
        <f t="shared" ca="1" si="124"/>
        <v>1.5084049825894472</v>
      </c>
      <c r="BU19" s="27">
        <f t="shared" ca="1" si="125"/>
        <v>6.5995277152969667</v>
      </c>
      <c r="BV19" s="27">
        <f t="shared" ca="1" si="126"/>
        <v>12.544656709816939</v>
      </c>
      <c r="BW19" s="27">
        <f t="shared" ca="1" si="127"/>
        <v>2.1647119475451477</v>
      </c>
      <c r="BX19" s="27">
        <f t="shared" ca="1" si="128"/>
        <v>4.246288831078556</v>
      </c>
      <c r="BY19" s="27">
        <f t="shared" ca="1" si="129"/>
        <v>7.7059266681975958</v>
      </c>
      <c r="BZ19" s="27">
        <f t="shared" ca="1" si="130"/>
        <v>17.376251408725622</v>
      </c>
      <c r="CA19" s="27">
        <f t="shared" ca="1" si="131"/>
        <v>7.7059266681975958</v>
      </c>
      <c r="CB19" s="27">
        <f t="shared" ca="1" si="132"/>
        <v>9.3448227401543864</v>
      </c>
      <c r="CC19" s="27">
        <f t="shared" ca="1" si="133"/>
        <v>21.579141070348172</v>
      </c>
      <c r="CD19" s="27">
        <f t="shared" ca="1" si="134"/>
        <v>9.3448227401543864</v>
      </c>
      <c r="CE19" s="27">
        <f t="shared" ca="1" si="135"/>
        <v>2.6147098713537904</v>
      </c>
    </row>
    <row r="20" spans="1:83" x14ac:dyDescent="0.25">
      <c r="M20" s="27"/>
      <c r="N20" s="27"/>
      <c r="AH20" s="27"/>
      <c r="AI20" s="27"/>
    </row>
    <row r="21" spans="1:83" ht="18.75" x14ac:dyDescent="0.3">
      <c r="A21" s="47" t="s">
        <v>643</v>
      </c>
      <c r="B21" s="47" t="s">
        <v>403</v>
      </c>
      <c r="C21" s="47"/>
      <c r="D21" s="48"/>
      <c r="Z21" s="27"/>
      <c r="AA21" s="27"/>
      <c r="BV21" s="27"/>
      <c r="BW21" s="27"/>
    </row>
    <row r="22" spans="1:83" x14ac:dyDescent="0.25">
      <c r="A22" s="49" t="s">
        <v>644</v>
      </c>
      <c r="B22" s="50">
        <v>1</v>
      </c>
      <c r="C22" s="52">
        <v>0.624</v>
      </c>
      <c r="D22" s="53">
        <v>0.24500000000000002</v>
      </c>
      <c r="AH22" s="27"/>
      <c r="AI22" s="27"/>
    </row>
    <row r="23" spans="1:83" x14ac:dyDescent="0.25">
      <c r="A23" s="49" t="s">
        <v>645</v>
      </c>
      <c r="B23" s="50">
        <v>1</v>
      </c>
      <c r="C23" s="52">
        <v>1.002</v>
      </c>
      <c r="D23" s="53">
        <v>0.34000000000000008</v>
      </c>
      <c r="AG23" s="2"/>
      <c r="AH23" s="58"/>
    </row>
    <row r="24" spans="1:83" x14ac:dyDescent="0.25">
      <c r="A24" s="49" t="s">
        <v>646</v>
      </c>
      <c r="B24" s="50">
        <v>1</v>
      </c>
      <c r="C24" s="52">
        <v>0.46800000000000008</v>
      </c>
      <c r="D24" s="53">
        <v>0.125</v>
      </c>
      <c r="Z24" s="27"/>
      <c r="AA24" s="27"/>
      <c r="AH24" s="59"/>
      <c r="AI24" s="59"/>
      <c r="BV24" s="27"/>
      <c r="BW24" s="27"/>
    </row>
    <row r="25" spans="1:83" x14ac:dyDescent="0.25">
      <c r="A25" s="49" t="s">
        <v>647</v>
      </c>
      <c r="B25" s="50">
        <v>1</v>
      </c>
      <c r="C25" s="52">
        <v>0.877</v>
      </c>
      <c r="D25" s="53">
        <v>0.25</v>
      </c>
      <c r="W25" s="58"/>
    </row>
    <row r="26" spans="1:83" x14ac:dyDescent="0.25">
      <c r="A26" s="49" t="s">
        <v>648</v>
      </c>
      <c r="B26" s="50">
        <v>1</v>
      </c>
      <c r="C26" s="52">
        <v>0.59299999999999997</v>
      </c>
      <c r="D26" s="53">
        <v>0.19</v>
      </c>
      <c r="W26" s="58"/>
    </row>
    <row r="28" spans="1:83" x14ac:dyDescent="0.25">
      <c r="Z28" s="58"/>
      <c r="AA28" s="58"/>
      <c r="BV28" s="58"/>
      <c r="BW28" s="58"/>
    </row>
  </sheetData>
  <conditionalFormatting sqref="J3:J19">
    <cfRule type="cellIs" dxfId="11" priority="1" operator="greaterThan">
      <formula>7</formula>
    </cfRule>
  </conditionalFormatting>
  <conditionalFormatting sqref="W3:AI19 AK3:AM19 AO3:BD19 BF3:CE19">
    <cfRule type="cellIs" dxfId="10" priority="2" operator="greaterThan">
      <formula>12.5</formula>
    </cfRule>
  </conditionalFormatting>
  <conditionalFormatting sqref="S3:T19">
    <cfRule type="cellIs" dxfId="9" priority="3" operator="greaterThan">
      <formula>0.6</formula>
    </cfRule>
  </conditionalFormatting>
  <conditionalFormatting sqref="R3:R19">
    <cfRule type="cellIs" dxfId="8" priority="4" operator="greaterThan">
      <formula>3.2</formula>
    </cfRule>
  </conditionalFormatting>
  <conditionalFormatting sqref="U3:V19">
    <cfRule type="cellIs" dxfId="7" priority="5" operator="greaterThan">
      <formula>15</formula>
    </cfRule>
  </conditionalFormatting>
  <conditionalFormatting sqref="K3:Q19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E26B0A"/>
  </sheetPr>
  <dimension ref="A1:W33"/>
  <sheetViews>
    <sheetView zoomScale="120" workbookViewId="0">
      <selection activeCell="M12" sqref="M12"/>
    </sheetView>
  </sheetViews>
  <sheetFormatPr baseColWidth="10" defaultColWidth="11.42578125" defaultRowHeight="15" x14ac:dyDescent="0.25"/>
  <cols>
    <col min="1" max="1" width="4" customWidth="1"/>
    <col min="2" max="2" width="18.28515625" customWidth="1"/>
    <col min="3" max="3" width="5.5703125" customWidth="1"/>
    <col min="4" max="4" width="5" customWidth="1"/>
    <col min="5" max="11" width="5.5703125" customWidth="1"/>
    <col min="12" max="12" width="6.42578125" customWidth="1"/>
    <col min="13" max="13" width="5.5703125" customWidth="1"/>
    <col min="14" max="14" width="8.140625" customWidth="1"/>
    <col min="15" max="20" width="5.85546875" customWidth="1"/>
    <col min="21" max="21" width="6.85546875" customWidth="1"/>
    <col min="22" max="22" width="5" customWidth="1"/>
    <col min="23" max="23" width="5.5703125" customWidth="1"/>
  </cols>
  <sheetData>
    <row r="1" spans="1:23" x14ac:dyDescent="0.25">
      <c r="B1" t="s">
        <v>649</v>
      </c>
      <c r="L1" s="42"/>
      <c r="M1" s="42"/>
      <c r="N1" s="42"/>
      <c r="W1" s="42"/>
    </row>
    <row r="2" spans="1:23" x14ac:dyDescent="0.25">
      <c r="B2" s="23">
        <v>43636</v>
      </c>
      <c r="L2" s="42"/>
      <c r="M2" s="42"/>
      <c r="N2" s="42"/>
      <c r="U2" s="105"/>
      <c r="W2" s="42"/>
    </row>
    <row r="3" spans="1:23" x14ac:dyDescent="0.25">
      <c r="A3" s="13" t="s">
        <v>106</v>
      </c>
      <c r="B3" s="13" t="s">
        <v>180</v>
      </c>
      <c r="C3" s="13" t="s">
        <v>632</v>
      </c>
      <c r="D3" s="13" t="s">
        <v>111</v>
      </c>
      <c r="E3" s="13" t="str">
        <f>PLANTILLA!X3</f>
        <v>Po</v>
      </c>
      <c r="F3" s="13" t="str">
        <f>PLANTILLA!Y3</f>
        <v>De</v>
      </c>
      <c r="G3" s="13" t="str">
        <f>PLANTILLA!Z3</f>
        <v>Cr</v>
      </c>
      <c r="H3" s="13" t="str">
        <f>PLANTILLA!AA3</f>
        <v>Ex</v>
      </c>
      <c r="I3" s="13" t="str">
        <f>PLANTILLA!AB3</f>
        <v>Ps</v>
      </c>
      <c r="J3" s="13" t="str">
        <f>PLANTILLA!AC3</f>
        <v>An</v>
      </c>
      <c r="K3" s="13" t="str">
        <f>PLANTILLA!AD3</f>
        <v>PA</v>
      </c>
      <c r="L3" s="106">
        <v>1</v>
      </c>
      <c r="M3" s="106">
        <v>0.5</v>
      </c>
      <c r="N3" s="13" t="s">
        <v>650</v>
      </c>
      <c r="O3" s="108" t="s">
        <v>651</v>
      </c>
      <c r="P3" s="108" t="s">
        <v>652</v>
      </c>
      <c r="Q3" s="108" t="s">
        <v>627</v>
      </c>
      <c r="R3" s="108" t="s">
        <v>653</v>
      </c>
      <c r="S3" s="107" t="s">
        <v>631</v>
      </c>
      <c r="T3" s="112" t="s">
        <v>654</v>
      </c>
      <c r="U3" s="64" t="s">
        <v>372</v>
      </c>
      <c r="W3" s="42"/>
    </row>
    <row r="4" spans="1:23" x14ac:dyDescent="0.25">
      <c r="A4" s="18" t="str">
        <f>PLANTILLA!A4</f>
        <v>#1</v>
      </c>
      <c r="B4" s="109" t="str">
        <f>PLANTILLA!D4</f>
        <v>Cosme Fonteboa</v>
      </c>
      <c r="C4" s="18">
        <f>PLANTILLA!E4</f>
        <v>29</v>
      </c>
      <c r="D4" s="111">
        <f ca="1">PLANTILLA!F4</f>
        <v>46</v>
      </c>
      <c r="E4" s="36">
        <f>PLANTILLA!X4</f>
        <v>15</v>
      </c>
      <c r="F4" s="36">
        <f>PLANTILLA!Y4</f>
        <v>13.214285714285714</v>
      </c>
      <c r="G4" s="36">
        <f>PLANTILLA!Z4</f>
        <v>0</v>
      </c>
      <c r="H4" s="36">
        <f>PLANTILLA!AA4</f>
        <v>2</v>
      </c>
      <c r="I4" s="36">
        <f>PLANTILLA!AB4</f>
        <v>1</v>
      </c>
      <c r="J4" s="36">
        <f>PLANTILLA!AC4</f>
        <v>1</v>
      </c>
      <c r="K4" s="36">
        <f>PLANTILLA!AD4</f>
        <v>17</v>
      </c>
      <c r="L4" s="110"/>
      <c r="M4" s="110"/>
      <c r="N4" s="110"/>
      <c r="O4" s="60"/>
      <c r="P4" s="60"/>
      <c r="Q4" s="60"/>
      <c r="R4" s="60"/>
      <c r="S4" s="60"/>
      <c r="T4" s="60"/>
      <c r="U4" s="60"/>
      <c r="W4" s="42"/>
    </row>
    <row r="5" spans="1:23" x14ac:dyDescent="0.25">
      <c r="A5" s="18" t="str">
        <f>PLANTILLA!A5</f>
        <v>#17</v>
      </c>
      <c r="B5" s="109" t="str">
        <f>PLANTILLA!D5</f>
        <v>Nicolae Hornet</v>
      </c>
      <c r="C5" s="18">
        <f>PLANTILLA!E5</f>
        <v>29</v>
      </c>
      <c r="D5" s="111">
        <f ca="1">PLANTILLA!F5</f>
        <v>71</v>
      </c>
      <c r="E5" s="36">
        <f>PLANTILLA!X5</f>
        <v>6</v>
      </c>
      <c r="F5" s="36">
        <f>PLANTILLA!Y5</f>
        <v>6</v>
      </c>
      <c r="G5" s="36">
        <f>PLANTILLA!Z5</f>
        <v>0</v>
      </c>
      <c r="H5" s="36">
        <f>PLANTILLA!AA5</f>
        <v>3</v>
      </c>
      <c r="I5" s="36">
        <f>PLANTILLA!AB5</f>
        <v>1</v>
      </c>
      <c r="J5" s="36">
        <f>PLANTILLA!AC5</f>
        <v>1</v>
      </c>
      <c r="K5" s="36">
        <f>PLANTILLA!AD5</f>
        <v>5</v>
      </c>
      <c r="L5" s="110"/>
      <c r="M5" s="110"/>
      <c r="N5" s="110"/>
      <c r="O5" s="60"/>
      <c r="P5" s="60"/>
      <c r="Q5" s="60"/>
      <c r="R5" s="60"/>
      <c r="S5" s="60"/>
      <c r="T5" s="60"/>
      <c r="U5" s="60"/>
      <c r="W5" s="42"/>
    </row>
    <row r="6" spans="1:23" x14ac:dyDescent="0.25">
      <c r="A6" s="18" t="str">
        <f>PLANTILLA!A17</f>
        <v>#2</v>
      </c>
      <c r="B6" s="109" t="str">
        <f>PLANTILLA!D17</f>
        <v>Roxelio Reboredo</v>
      </c>
      <c r="C6" s="18">
        <f>PLANTILLA!E17</f>
        <v>34</v>
      </c>
      <c r="D6" s="111">
        <f ca="1">PLANTILLA!F17</f>
        <v>29</v>
      </c>
      <c r="E6" s="36">
        <f>PLANTILLA!X17</f>
        <v>0</v>
      </c>
      <c r="F6" s="36">
        <f>PLANTILLA!Y17</f>
        <v>5.95</v>
      </c>
      <c r="G6" s="36">
        <f>PLANTILLA!Z17</f>
        <v>13</v>
      </c>
      <c r="H6" s="36">
        <f>PLANTILLA!AA17</f>
        <v>7</v>
      </c>
      <c r="I6" s="36">
        <f>PLANTILLA!AB17</f>
        <v>12</v>
      </c>
      <c r="J6" s="36">
        <f>PLANTILLA!AC17</f>
        <v>4</v>
      </c>
      <c r="K6" s="36">
        <f>PLANTILLA!AD17</f>
        <v>16</v>
      </c>
      <c r="L6" s="110">
        <f>1/3</f>
        <v>0.33333333333333331</v>
      </c>
      <c r="M6" s="110">
        <f>L6/2</f>
        <v>0.16666666666666666</v>
      </c>
      <c r="N6" s="110">
        <f>L6/8</f>
        <v>4.1666666666666664E-2</v>
      </c>
      <c r="O6" s="60">
        <f>L6*0.286</f>
        <v>9.5333333333333325E-2</v>
      </c>
      <c r="P6" s="60"/>
      <c r="Q6" s="60"/>
      <c r="R6" s="60"/>
      <c r="S6" s="60"/>
      <c r="T6" s="60"/>
      <c r="U6" s="60">
        <f>MAX(O6:T6)</f>
        <v>9.5333333333333325E-2</v>
      </c>
      <c r="W6" s="42"/>
    </row>
    <row r="7" spans="1:23" x14ac:dyDescent="0.25">
      <c r="A7" s="18" t="str">
        <f>PLANTILLA!A6</f>
        <v>#13</v>
      </c>
      <c r="B7" s="109" t="str">
        <f>PLANTILLA!D6</f>
        <v>Iván Real Figueroa</v>
      </c>
      <c r="C7" s="18">
        <f>PLANTILLA!E6</f>
        <v>29</v>
      </c>
      <c r="D7" s="111">
        <f ca="1">PLANTILLA!F6</f>
        <v>24</v>
      </c>
      <c r="E7" s="36">
        <f>PLANTILLA!X6</f>
        <v>0</v>
      </c>
      <c r="F7" s="36">
        <f>PLANTILLA!Y6</f>
        <v>16.043478260869566</v>
      </c>
      <c r="G7" s="36">
        <f>PLANTILLA!Z6</f>
        <v>5.25</v>
      </c>
      <c r="H7" s="36">
        <f>PLANTILLA!AA6</f>
        <v>9</v>
      </c>
      <c r="I7" s="36">
        <f>PLANTILLA!AB6</f>
        <v>9</v>
      </c>
      <c r="J7" s="36">
        <f>PLANTILLA!AC6</f>
        <v>1</v>
      </c>
      <c r="K7" s="36">
        <f>PLANTILLA!AD6</f>
        <v>15.333333333333334</v>
      </c>
      <c r="L7" s="110">
        <f>1/4</f>
        <v>0.25</v>
      </c>
      <c r="M7" s="110">
        <f>L7/2</f>
        <v>0.125</v>
      </c>
      <c r="N7" s="110">
        <f>L7/8</f>
        <v>3.125E-2</v>
      </c>
      <c r="O7" s="60">
        <f>L7*0.286</f>
        <v>7.1499999999999994E-2</v>
      </c>
      <c r="P7" s="60"/>
      <c r="Q7" s="60"/>
      <c r="R7" s="60"/>
      <c r="S7" s="60"/>
      <c r="T7" s="60"/>
      <c r="U7" s="60">
        <f>MAX(O7:T7)</f>
        <v>7.1499999999999994E-2</v>
      </c>
      <c r="W7" s="42"/>
    </row>
    <row r="8" spans="1:23" x14ac:dyDescent="0.25">
      <c r="A8" s="18" t="str">
        <f>PLANTILLA!A7</f>
        <v>#4</v>
      </c>
      <c r="B8" s="109" t="str">
        <f>PLANTILLA!D7</f>
        <v>Berto Abandero</v>
      </c>
      <c r="C8" s="18">
        <f>PLANTILLA!E7</f>
        <v>29</v>
      </c>
      <c r="D8" s="111">
        <f ca="1">PLANTILLA!F7</f>
        <v>74</v>
      </c>
      <c r="E8" s="36">
        <f>PLANTILLA!X7</f>
        <v>0</v>
      </c>
      <c r="F8" s="36">
        <f>PLANTILLA!Y7</f>
        <v>14.875</v>
      </c>
      <c r="G8" s="36">
        <f>PLANTILLA!Z7</f>
        <v>3.4569444444444448</v>
      </c>
      <c r="H8" s="36">
        <f>PLANTILLA!AA7</f>
        <v>9.4</v>
      </c>
      <c r="I8" s="36">
        <f>PLANTILLA!AB7</f>
        <v>12</v>
      </c>
      <c r="J8" s="36">
        <f>PLANTILLA!AC7</f>
        <v>3.95</v>
      </c>
      <c r="K8" s="36">
        <f>PLANTILLA!AD7</f>
        <v>15.666666666666666</v>
      </c>
      <c r="L8" s="110">
        <f>1/4</f>
        <v>0.25</v>
      </c>
      <c r="M8" s="110">
        <f>L8/2</f>
        <v>0.125</v>
      </c>
      <c r="N8" s="110">
        <f>L8/8</f>
        <v>3.125E-2</v>
      </c>
      <c r="O8" s="60">
        <f>L8*0.286</f>
        <v>7.1499999999999994E-2</v>
      </c>
      <c r="P8" s="60"/>
      <c r="Q8" s="60"/>
      <c r="R8" s="60"/>
      <c r="S8" s="60"/>
      <c r="T8" s="60"/>
      <c r="U8" s="60">
        <f>MAX(O8:T8)</f>
        <v>7.1499999999999994E-2</v>
      </c>
      <c r="W8" s="42"/>
    </row>
    <row r="9" spans="1:23" x14ac:dyDescent="0.25">
      <c r="A9" s="18" t="str">
        <f>PLANTILLA!A8</f>
        <v>#14</v>
      </c>
      <c r="B9" s="109" t="str">
        <f>PLANTILLA!D8</f>
        <v>Guillermo Pedrajas</v>
      </c>
      <c r="C9" s="18">
        <f>PLANTILLA!E8</f>
        <v>29</v>
      </c>
      <c r="D9" s="111">
        <f ca="1">PLANTILLA!F8</f>
        <v>59</v>
      </c>
      <c r="E9" s="36">
        <f>PLANTILLA!X8</f>
        <v>0</v>
      </c>
      <c r="F9" s="36">
        <f>PLANTILLA!Y8</f>
        <v>13.1875</v>
      </c>
      <c r="G9" s="36">
        <f>PLANTILLA!Z8</f>
        <v>11.666666666666666</v>
      </c>
      <c r="H9" s="36">
        <f>PLANTILLA!AA8</f>
        <v>5.25</v>
      </c>
      <c r="I9" s="36">
        <f>PLANTILLA!AB8</f>
        <v>11.142857142857142</v>
      </c>
      <c r="J9" s="36">
        <f>PLANTILLA!AC8</f>
        <v>4</v>
      </c>
      <c r="K9" s="36">
        <f>PLANTILLA!AD8</f>
        <v>15.333333333333334</v>
      </c>
      <c r="L9" s="110">
        <f>1/3</f>
        <v>0.33333333333333331</v>
      </c>
      <c r="M9" s="110">
        <f>L9/2</f>
        <v>0.16666666666666666</v>
      </c>
      <c r="N9" s="110">
        <f>L9/8</f>
        <v>4.1666666666666664E-2</v>
      </c>
      <c r="O9" s="60"/>
      <c r="P9" s="60"/>
      <c r="Q9" s="60"/>
      <c r="R9" s="60"/>
      <c r="S9" s="60"/>
      <c r="T9" s="60"/>
      <c r="U9" s="60">
        <f>MAX(O9:T9)</f>
        <v>0</v>
      </c>
      <c r="W9" s="42"/>
    </row>
    <row r="10" spans="1:23" x14ac:dyDescent="0.25">
      <c r="A10" s="18" t="str">
        <f>PLANTILLA!A9</f>
        <v>#7</v>
      </c>
      <c r="B10" s="109" t="str">
        <f>PLANTILLA!D9</f>
        <v>Venanci Oset</v>
      </c>
      <c r="C10" s="18">
        <f>PLANTILLA!E9</f>
        <v>29</v>
      </c>
      <c r="D10" s="111">
        <f ca="1">PLANTILLA!F9</f>
        <v>102</v>
      </c>
      <c r="E10" s="36">
        <f>PLANTILLA!X9</f>
        <v>0</v>
      </c>
      <c r="F10" s="36">
        <f>PLANTILLA!Y9</f>
        <v>14.9375</v>
      </c>
      <c r="G10" s="36">
        <f>PLANTILLA!Z9</f>
        <v>5.375</v>
      </c>
      <c r="H10" s="36">
        <f>PLANTILLA!AA9</f>
        <v>3.3333333333333335</v>
      </c>
      <c r="I10" s="36">
        <f>PLANTILLA!AB9</f>
        <v>12.222222222222221</v>
      </c>
      <c r="J10" s="36">
        <f>PLANTILLA!AC9</f>
        <v>6</v>
      </c>
      <c r="K10" s="36">
        <f>PLANTILLA!AD9</f>
        <v>15</v>
      </c>
      <c r="L10" s="110"/>
      <c r="M10" s="110"/>
      <c r="N10" s="110"/>
      <c r="O10" s="60"/>
      <c r="P10" s="60"/>
      <c r="Q10" s="60"/>
      <c r="R10" s="60"/>
      <c r="S10" s="60"/>
      <c r="T10" s="60"/>
      <c r="U10" s="60"/>
      <c r="W10" s="42"/>
    </row>
    <row r="11" spans="1:23" x14ac:dyDescent="0.25">
      <c r="A11" s="18" t="str">
        <f>PLANTILLA!A10</f>
        <v>#9</v>
      </c>
      <c r="B11" s="109" t="str">
        <f>PLANTILLA!D10</f>
        <v>Francesc Añigas</v>
      </c>
      <c r="C11" s="18">
        <f>PLANTILLA!E10</f>
        <v>29</v>
      </c>
      <c r="D11" s="111">
        <f ca="1">PLANTILLA!F10</f>
        <v>39</v>
      </c>
      <c r="E11" s="36">
        <f>PLANTILLA!X10</f>
        <v>0</v>
      </c>
      <c r="F11" s="36">
        <f>PLANTILLA!Y10</f>
        <v>14.375</v>
      </c>
      <c r="G11" s="36">
        <f>PLANTILLA!Z10</f>
        <v>5</v>
      </c>
      <c r="H11" s="36">
        <f>PLANTILLA!AA10</f>
        <v>14</v>
      </c>
      <c r="I11" s="36">
        <f>PLANTILLA!AB10</f>
        <v>8.1999999999999993</v>
      </c>
      <c r="J11" s="36">
        <f>PLANTILLA!AC10</f>
        <v>7</v>
      </c>
      <c r="K11" s="36">
        <f>PLANTILLA!AD10</f>
        <v>16</v>
      </c>
      <c r="L11" s="110">
        <f>1/7</f>
        <v>0.14285714285714285</v>
      </c>
      <c r="M11" s="110">
        <f>L11/2</f>
        <v>7.1428571428571425E-2</v>
      </c>
      <c r="N11" s="110">
        <f>L11/8</f>
        <v>1.7857142857142856E-2</v>
      </c>
      <c r="O11" s="60">
        <f>L11*0.286</f>
        <v>4.0857142857142849E-2</v>
      </c>
      <c r="P11" s="60">
        <f>L11*(0.588)</f>
        <v>8.3999999999999991E-2</v>
      </c>
      <c r="Q11" s="60">
        <f>L11*(0.574)</f>
        <v>8.199999999999999E-2</v>
      </c>
      <c r="R11" s="60">
        <f>L11*(0.864)</f>
        <v>0.12342857142857142</v>
      </c>
      <c r="S11" s="60">
        <f>L11*(0.144)</f>
        <v>2.057142857142857E-2</v>
      </c>
      <c r="T11" s="60">
        <f>L11*(0.607)</f>
        <v>8.6714285714285702E-2</v>
      </c>
      <c r="U11" s="60">
        <f>MAX(O11:T11)</f>
        <v>0.12342857142857142</v>
      </c>
      <c r="W11" s="42"/>
    </row>
    <row r="12" spans="1:23" x14ac:dyDescent="0.25">
      <c r="A12" s="18" t="str">
        <f>PLANTILLA!A11</f>
        <v>#3</v>
      </c>
      <c r="B12" s="109" t="str">
        <f>PLANTILLA!D11</f>
        <v>Will Duffill</v>
      </c>
      <c r="C12" s="18">
        <f>PLANTILLA!E11</f>
        <v>28</v>
      </c>
      <c r="D12" s="111">
        <f ca="1">PLANTILLA!F11</f>
        <v>112</v>
      </c>
      <c r="E12" s="36">
        <f>PLANTILLA!X11</f>
        <v>0</v>
      </c>
      <c r="F12" s="36">
        <f>PLANTILLA!Y11</f>
        <v>14</v>
      </c>
      <c r="G12" s="36">
        <f>PLANTILLA!Z11</f>
        <v>4.75</v>
      </c>
      <c r="H12" s="36">
        <f>PLANTILLA!AA11</f>
        <v>15.111111111111111</v>
      </c>
      <c r="I12" s="36">
        <f>PLANTILLA!AB11</f>
        <v>10</v>
      </c>
      <c r="J12" s="36">
        <f>PLANTILLA!AC11</f>
        <v>7</v>
      </c>
      <c r="K12" s="36">
        <f>PLANTILLA!AD11</f>
        <v>16.333333333333332</v>
      </c>
      <c r="L12" s="110">
        <f>1/8</f>
        <v>0.125</v>
      </c>
      <c r="M12" s="110">
        <f>L12/2</f>
        <v>6.25E-2</v>
      </c>
      <c r="N12" s="110">
        <f>L12/8</f>
        <v>1.5625E-2</v>
      </c>
      <c r="O12" s="60">
        <f>L12*0.286</f>
        <v>3.5749999999999997E-2</v>
      </c>
      <c r="P12" s="60">
        <f>L12*(0.588)</f>
        <v>7.3499999999999996E-2</v>
      </c>
      <c r="Q12" s="60">
        <f>L12*(0.574)</f>
        <v>7.1749999999999994E-2</v>
      </c>
      <c r="R12" s="60">
        <f>L12*(0.864)</f>
        <v>0.108</v>
      </c>
      <c r="S12" s="60">
        <f>L12*(0.144)</f>
        <v>1.7999999999999999E-2</v>
      </c>
      <c r="T12" s="60">
        <f>L12*(0.607)</f>
        <v>7.5874999999999998E-2</v>
      </c>
      <c r="U12" s="60">
        <f>MAX(O12:T12)</f>
        <v>0.108</v>
      </c>
      <c r="W12" s="42"/>
    </row>
    <row r="13" spans="1:23" x14ac:dyDescent="0.25">
      <c r="A13" s="18" t="str">
        <f>PLANTILLA!A12</f>
        <v>#5</v>
      </c>
      <c r="B13" s="109" t="str">
        <f>PLANTILLA!D12</f>
        <v>Valeri Gomis</v>
      </c>
      <c r="C13" s="18">
        <f>PLANTILLA!E12</f>
        <v>29</v>
      </c>
      <c r="D13" s="111">
        <f ca="1">PLANTILLA!F12</f>
        <v>39</v>
      </c>
      <c r="E13" s="36">
        <f>PLANTILLA!X12</f>
        <v>0</v>
      </c>
      <c r="F13" s="36">
        <f>PLANTILLA!Y12</f>
        <v>13.333333333333334</v>
      </c>
      <c r="G13" s="36">
        <f>PLANTILLA!Z12</f>
        <v>4.7083333333333339</v>
      </c>
      <c r="H13" s="36">
        <f>PLANTILLA!AA12</f>
        <v>14</v>
      </c>
      <c r="I13" s="36">
        <f>PLANTILLA!AB12</f>
        <v>9.1666666666666661</v>
      </c>
      <c r="J13" s="36">
        <f>PLANTILLA!AC12</f>
        <v>7.25</v>
      </c>
      <c r="K13" s="36">
        <f>PLANTILLA!AD12</f>
        <v>16.333333333333332</v>
      </c>
      <c r="L13" s="110">
        <f>1/7</f>
        <v>0.14285714285714285</v>
      </c>
      <c r="M13" s="110">
        <f>L13/2</f>
        <v>7.1428571428571425E-2</v>
      </c>
      <c r="N13" s="110">
        <f>L13/8</f>
        <v>1.7857142857142856E-2</v>
      </c>
      <c r="O13" s="60">
        <f>L13*0.286</f>
        <v>4.0857142857142849E-2</v>
      </c>
      <c r="P13" s="60">
        <f>L13*(0.588)</f>
        <v>8.3999999999999991E-2</v>
      </c>
      <c r="Q13" s="60">
        <f>L13*(0.574)</f>
        <v>8.199999999999999E-2</v>
      </c>
      <c r="R13" s="60">
        <f>L13*(0.864)</f>
        <v>0.12342857142857142</v>
      </c>
      <c r="S13" s="60">
        <f>L13*(0.144)</f>
        <v>2.057142857142857E-2</v>
      </c>
      <c r="T13" s="60">
        <f>L13*(0.607)</f>
        <v>8.6714285714285702E-2</v>
      </c>
      <c r="U13" s="60">
        <f>MAX(O13:T13)</f>
        <v>0.12342857142857142</v>
      </c>
      <c r="W13" s="42"/>
    </row>
    <row r="14" spans="1:23" x14ac:dyDescent="0.25">
      <c r="A14" s="18" t="str">
        <f>PLANTILLA!A13</f>
        <v>#8</v>
      </c>
      <c r="B14" s="109" t="str">
        <f>PLANTILLA!D13</f>
        <v>Enrique Cubas</v>
      </c>
      <c r="C14" s="18">
        <f>PLANTILLA!E13</f>
        <v>29</v>
      </c>
      <c r="D14" s="111">
        <f ca="1">PLANTILLA!F13</f>
        <v>35</v>
      </c>
      <c r="E14" s="36">
        <f>PLANTILLA!X13</f>
        <v>0</v>
      </c>
      <c r="F14" s="36">
        <f>PLANTILLA!Y13</f>
        <v>12.666666666666666</v>
      </c>
      <c r="G14" s="36">
        <f>PLANTILLA!Z13</f>
        <v>6.6</v>
      </c>
      <c r="H14" s="36">
        <f>PLANTILLA!AA13</f>
        <v>16</v>
      </c>
      <c r="I14" s="36">
        <f>PLANTILLA!AB13</f>
        <v>9.5</v>
      </c>
      <c r="J14" s="36">
        <f>PLANTILLA!AC13</f>
        <v>7.8</v>
      </c>
      <c r="K14" s="36">
        <f>PLANTILLA!AD13</f>
        <v>17</v>
      </c>
      <c r="L14" s="110">
        <f>1/9</f>
        <v>0.1111111111111111</v>
      </c>
      <c r="M14" s="110">
        <f>L14/2</f>
        <v>5.5555555555555552E-2</v>
      </c>
      <c r="N14" s="110">
        <f>L14/8</f>
        <v>1.3888888888888888E-2</v>
      </c>
      <c r="O14" s="60">
        <f>L14*0.286</f>
        <v>3.1777777777777773E-2</v>
      </c>
      <c r="P14" s="60">
        <f>L14*(0.588)</f>
        <v>6.5333333333333327E-2</v>
      </c>
      <c r="Q14" s="60">
        <f>L14*(0.574)</f>
        <v>6.3777777777777767E-2</v>
      </c>
      <c r="R14" s="60">
        <f>L14*(0.864)</f>
        <v>9.5999999999999988E-2</v>
      </c>
      <c r="S14" s="60">
        <f>L14*(0.144)</f>
        <v>1.5999999999999997E-2</v>
      </c>
      <c r="T14" s="60">
        <f>L14*(0.607)</f>
        <v>6.7444444444444446E-2</v>
      </c>
      <c r="U14" s="60">
        <f>MAX(O14:T14)</f>
        <v>9.5999999999999988E-2</v>
      </c>
      <c r="W14" s="42"/>
    </row>
    <row r="15" spans="1:23" x14ac:dyDescent="0.25">
      <c r="A15" s="18" t="str">
        <f>PLANTILLA!A14</f>
        <v>#11</v>
      </c>
      <c r="B15" s="109" t="str">
        <f>PLANTILLA!D14</f>
        <v>J. G. Peñuela</v>
      </c>
      <c r="C15" s="18">
        <f>PLANTILLA!E14</f>
        <v>29</v>
      </c>
      <c r="D15" s="111">
        <f ca="1">PLANTILLA!F14</f>
        <v>35</v>
      </c>
      <c r="E15" s="36">
        <f>PLANTILLA!X14</f>
        <v>0</v>
      </c>
      <c r="F15" s="36">
        <f>PLANTILLA!Y14</f>
        <v>13</v>
      </c>
      <c r="G15" s="36">
        <f>PLANTILLA!Z14</f>
        <v>6.4</v>
      </c>
      <c r="H15" s="36">
        <f>PLANTILLA!AA14</f>
        <v>15</v>
      </c>
      <c r="I15" s="36">
        <f>PLANTILLA!AB14</f>
        <v>9</v>
      </c>
      <c r="J15" s="36">
        <f>PLANTILLA!AC14</f>
        <v>8</v>
      </c>
      <c r="K15" s="36">
        <f>PLANTILLA!AD14</f>
        <v>16</v>
      </c>
      <c r="L15" s="110">
        <f>1/8</f>
        <v>0.125</v>
      </c>
      <c r="M15" s="110">
        <f>L15/2</f>
        <v>6.25E-2</v>
      </c>
      <c r="N15" s="110">
        <f>L15/8</f>
        <v>1.5625E-2</v>
      </c>
      <c r="O15" s="60">
        <f>L15*0.286</f>
        <v>3.5749999999999997E-2</v>
      </c>
      <c r="P15" s="60">
        <f>L15*(0.588)</f>
        <v>7.3499999999999996E-2</v>
      </c>
      <c r="Q15" s="60">
        <f>L15*(0.574)</f>
        <v>7.1749999999999994E-2</v>
      </c>
      <c r="R15" s="60">
        <f>L15*(0.864)</f>
        <v>0.108</v>
      </c>
      <c r="S15" s="60">
        <f>L15*(0.144)</f>
        <v>1.7999999999999999E-2</v>
      </c>
      <c r="T15" s="60">
        <f>L15*(0.607)</f>
        <v>7.5874999999999998E-2</v>
      </c>
      <c r="U15" s="60">
        <f>MAX(O15:T15)</f>
        <v>0.108</v>
      </c>
      <c r="W15" s="42"/>
    </row>
    <row r="16" spans="1:23" x14ac:dyDescent="0.25">
      <c r="A16" s="18" t="str">
        <f>PLANTILLA!A16</f>
        <v>#16</v>
      </c>
      <c r="B16" s="109" t="str">
        <f>PLANTILLA!D16</f>
        <v>Lenadro Faias</v>
      </c>
      <c r="C16" s="18">
        <f>PLANTILLA!E16</f>
        <v>32</v>
      </c>
      <c r="D16" s="111">
        <f ca="1">PLANTILLA!F16</f>
        <v>37</v>
      </c>
      <c r="E16" s="36">
        <f>PLANTILLA!X16</f>
        <v>0</v>
      </c>
      <c r="F16" s="36">
        <f>PLANTILLA!Y16</f>
        <v>10</v>
      </c>
      <c r="G16" s="36">
        <f>PLANTILLA!Z16</f>
        <v>14</v>
      </c>
      <c r="H16" s="36">
        <f>PLANTILLA!AA16</f>
        <v>3</v>
      </c>
      <c r="I16" s="36">
        <f>PLANTILLA!AB16</f>
        <v>10</v>
      </c>
      <c r="J16" s="36">
        <f>PLANTILLA!AC16</f>
        <v>8</v>
      </c>
      <c r="K16" s="36">
        <f>PLANTILLA!AD16</f>
        <v>16</v>
      </c>
      <c r="L16" s="110"/>
      <c r="M16" s="110"/>
      <c r="N16" s="110"/>
      <c r="O16" s="60"/>
      <c r="P16" s="60"/>
      <c r="Q16" s="60"/>
      <c r="R16" s="60"/>
      <c r="S16" s="60"/>
      <c r="T16" s="60"/>
      <c r="U16" s="60"/>
      <c r="W16" s="42"/>
    </row>
    <row r="17" spans="1:23" x14ac:dyDescent="0.25">
      <c r="A17" s="18" t="str">
        <f>PLANTILLA!A19</f>
        <v>#12</v>
      </c>
      <c r="B17" s="109" t="str">
        <f>PLANTILLA!D19</f>
        <v>Nicolás Galaz</v>
      </c>
      <c r="C17" s="18">
        <f>PLANTILLA!E19</f>
        <v>29</v>
      </c>
      <c r="D17" s="111">
        <f ca="1">PLANTILLA!F19</f>
        <v>67</v>
      </c>
      <c r="E17" s="36">
        <f>PLANTILLA!X19</f>
        <v>0</v>
      </c>
      <c r="F17" s="36">
        <f>PLANTILLA!Y19</f>
        <v>4</v>
      </c>
      <c r="G17" s="36">
        <f>PLANTILLA!Z19</f>
        <v>3</v>
      </c>
      <c r="H17" s="36">
        <f>PLANTILLA!AA19</f>
        <v>9.125</v>
      </c>
      <c r="I17" s="36">
        <f>PLANTILLA!AB19</f>
        <v>14</v>
      </c>
      <c r="J17" s="36">
        <f>PLANTILLA!AC19</f>
        <v>13.95</v>
      </c>
      <c r="K17" s="36">
        <f>PLANTILLA!AD19</f>
        <v>3</v>
      </c>
      <c r="L17" s="110"/>
      <c r="M17" s="110"/>
      <c r="N17" s="110"/>
      <c r="O17" s="60"/>
      <c r="P17" s="60"/>
      <c r="Q17" s="60"/>
      <c r="R17" s="60"/>
      <c r="S17" s="60"/>
      <c r="T17" s="60"/>
      <c r="U17" s="60"/>
      <c r="W17" s="42"/>
    </row>
    <row r="18" spans="1:23" x14ac:dyDescent="0.25">
      <c r="A18" s="18" t="str">
        <f>PLANTILLA!A20</f>
        <v>#15</v>
      </c>
      <c r="B18" s="109" t="str">
        <f>PLANTILLA!D20</f>
        <v>Meraj Siddiqui</v>
      </c>
      <c r="C18" s="18">
        <f>PLANTILLA!E20</f>
        <v>31</v>
      </c>
      <c r="D18" s="111">
        <f ca="1">PLANTILLA!F20</f>
        <v>74</v>
      </c>
      <c r="E18" s="36">
        <f>PLANTILLA!X20</f>
        <v>0</v>
      </c>
      <c r="F18" s="36">
        <f>PLANTILLA!Y20</f>
        <v>2</v>
      </c>
      <c r="G18" s="36">
        <f>PLANTILLA!Z20</f>
        <v>9</v>
      </c>
      <c r="H18" s="36">
        <f>PLANTILLA!AA20</f>
        <v>14</v>
      </c>
      <c r="I18" s="36">
        <f>PLANTILLA!AB20</f>
        <v>11</v>
      </c>
      <c r="J18" s="36">
        <f>PLANTILLA!AC20</f>
        <v>11</v>
      </c>
      <c r="K18" s="36">
        <f>PLANTILLA!AD20</f>
        <v>11</v>
      </c>
      <c r="L18" s="110"/>
      <c r="M18" s="110"/>
      <c r="N18" s="110"/>
      <c r="O18" s="60"/>
      <c r="P18" s="60"/>
      <c r="Q18" s="60"/>
      <c r="R18" s="60"/>
      <c r="S18" s="60"/>
      <c r="T18" s="60"/>
      <c r="U18" s="60"/>
      <c r="W18" s="42"/>
    </row>
    <row r="19" spans="1:23" x14ac:dyDescent="0.25">
      <c r="A19" s="18" t="str">
        <f>PLANTILLA!A21</f>
        <v>#19</v>
      </c>
      <c r="B19" s="109" t="str">
        <f>PLANTILLA!D21</f>
        <v>Rodolfo Rinaldo Paso</v>
      </c>
      <c r="C19" s="18">
        <f>PLANTILLA!E21</f>
        <v>29</v>
      </c>
      <c r="D19" s="111">
        <f ca="1">PLANTILLA!F21</f>
        <v>58</v>
      </c>
      <c r="E19" s="36">
        <f>PLANTILLA!X21</f>
        <v>0</v>
      </c>
      <c r="F19" s="36">
        <f>PLANTILLA!Y21</f>
        <v>4</v>
      </c>
      <c r="G19" s="36">
        <f>PLANTILLA!Z21</f>
        <v>8.2768518518518519</v>
      </c>
      <c r="H19" s="36">
        <f>PLANTILLA!AA21</f>
        <v>11.666666666666666</v>
      </c>
      <c r="I19" s="36">
        <f>PLANTILLA!AB21</f>
        <v>12.444444444444445</v>
      </c>
      <c r="J19" s="36">
        <f>PLANTILLA!AC21</f>
        <v>14</v>
      </c>
      <c r="K19" s="36">
        <f>PLANTILLA!AD21</f>
        <v>13.333333333333334</v>
      </c>
      <c r="L19" s="110"/>
      <c r="M19" s="110"/>
      <c r="N19" s="110"/>
      <c r="O19" s="60"/>
      <c r="P19" s="60"/>
      <c r="Q19" s="60"/>
      <c r="R19" s="60"/>
      <c r="S19" s="60"/>
      <c r="T19" s="60"/>
      <c r="U19" s="60"/>
      <c r="W19" s="42"/>
    </row>
    <row r="20" spans="1:23" x14ac:dyDescent="0.25">
      <c r="C20" s="69"/>
      <c r="D20" s="54"/>
      <c r="G20" s="42"/>
      <c r="H20" s="41"/>
      <c r="J20" s="42"/>
      <c r="K20" s="42"/>
      <c r="M20" s="70"/>
      <c r="Q20" s="42"/>
      <c r="R20" s="42"/>
      <c r="S20" s="42"/>
      <c r="T20" s="42"/>
      <c r="U20" s="42"/>
      <c r="V20" s="42"/>
      <c r="W20" s="42"/>
    </row>
    <row r="21" spans="1:23" x14ac:dyDescent="0.25">
      <c r="C21" s="69"/>
      <c r="D21" s="54"/>
      <c r="G21" s="42"/>
      <c r="H21" s="41"/>
      <c r="J21" s="42"/>
      <c r="K21" s="42"/>
      <c r="M21" s="70"/>
      <c r="Q21" s="42"/>
      <c r="R21" s="42"/>
      <c r="S21" s="42"/>
      <c r="T21" s="42"/>
      <c r="U21" s="42"/>
      <c r="V21" s="42"/>
      <c r="W21" s="42"/>
    </row>
    <row r="22" spans="1:23" x14ac:dyDescent="0.25">
      <c r="C22" s="69"/>
      <c r="D22" s="54"/>
      <c r="G22" s="42"/>
      <c r="H22" s="41"/>
      <c r="J22" s="42"/>
      <c r="K22" s="42"/>
      <c r="M22" s="70"/>
      <c r="Q22" s="42"/>
      <c r="R22" s="42"/>
      <c r="S22" s="42"/>
      <c r="T22" s="42"/>
      <c r="U22" s="42"/>
      <c r="V22" s="42"/>
      <c r="W22" s="42"/>
    </row>
    <row r="23" spans="1:23" x14ac:dyDescent="0.25">
      <c r="C23" s="69"/>
      <c r="D23" s="54"/>
      <c r="G23" s="42"/>
      <c r="H23" s="41"/>
      <c r="J23" s="42"/>
      <c r="K23" s="42"/>
      <c r="M23" s="70"/>
      <c r="Q23" s="42"/>
      <c r="R23" s="42"/>
      <c r="S23" s="42"/>
      <c r="T23" s="42"/>
      <c r="U23" s="42"/>
      <c r="V23" s="42"/>
      <c r="W23" s="42"/>
    </row>
    <row r="24" spans="1:23" x14ac:dyDescent="0.25">
      <c r="C24" s="69"/>
      <c r="D24" s="54"/>
      <c r="G24" s="42"/>
      <c r="H24" s="41"/>
      <c r="J24" s="42"/>
      <c r="K24" s="42"/>
      <c r="M24" s="70"/>
      <c r="Q24" s="42"/>
      <c r="R24" s="42"/>
      <c r="S24" s="42"/>
      <c r="T24" s="42"/>
      <c r="U24" s="42"/>
      <c r="V24" s="42"/>
      <c r="W24" s="42"/>
    </row>
    <row r="25" spans="1:23" x14ac:dyDescent="0.25">
      <c r="C25" s="69"/>
      <c r="D25" s="54"/>
      <c r="G25" s="42"/>
      <c r="H25" s="41"/>
      <c r="J25" s="42"/>
      <c r="K25" s="42"/>
      <c r="M25" s="70"/>
      <c r="Q25" s="42"/>
      <c r="R25" s="42"/>
      <c r="S25" s="42"/>
      <c r="T25" s="42"/>
      <c r="U25" s="42"/>
      <c r="V25" s="42"/>
      <c r="W25" s="42"/>
    </row>
    <row r="26" spans="1:23" x14ac:dyDescent="0.25">
      <c r="C26" s="69"/>
      <c r="D26" s="54"/>
      <c r="G26" s="42"/>
      <c r="H26" s="41"/>
      <c r="J26" s="42"/>
      <c r="K26" s="42"/>
      <c r="M26" s="70"/>
      <c r="Q26" s="42"/>
      <c r="R26" s="42"/>
      <c r="S26" s="42"/>
      <c r="T26" s="42"/>
      <c r="U26" s="42"/>
      <c r="V26" s="42"/>
      <c r="W26" s="42"/>
    </row>
    <row r="27" spans="1:23" x14ac:dyDescent="0.25">
      <c r="C27" s="69"/>
      <c r="D27" s="54"/>
      <c r="G27" s="42"/>
      <c r="H27" s="41"/>
      <c r="J27" s="42"/>
      <c r="K27" s="42"/>
      <c r="M27" s="70"/>
      <c r="Q27" s="42"/>
      <c r="R27" s="42"/>
      <c r="S27" s="42"/>
      <c r="T27" s="42"/>
      <c r="U27" s="42"/>
      <c r="V27" s="42"/>
      <c r="W27" s="42"/>
    </row>
    <row r="28" spans="1:23" x14ac:dyDescent="0.25">
      <c r="C28" s="69"/>
      <c r="D28" s="54"/>
      <c r="G28" s="42"/>
      <c r="H28" s="41"/>
      <c r="J28" s="42"/>
      <c r="K28" s="42"/>
      <c r="M28" s="70"/>
      <c r="Q28" s="42"/>
      <c r="R28" s="42"/>
      <c r="S28" s="42"/>
      <c r="T28" s="42"/>
      <c r="U28" s="42"/>
      <c r="V28" s="42"/>
      <c r="W28" s="42"/>
    </row>
    <row r="29" spans="1:23" x14ac:dyDescent="0.25">
      <c r="C29" s="69"/>
      <c r="D29" s="54"/>
      <c r="G29" s="42"/>
      <c r="H29" s="41"/>
      <c r="J29" s="42"/>
      <c r="K29" s="42"/>
      <c r="M29" s="70"/>
      <c r="Q29" s="42"/>
      <c r="R29" s="42"/>
      <c r="S29" s="42"/>
      <c r="T29" s="42"/>
      <c r="U29" s="42"/>
      <c r="V29" s="42"/>
      <c r="W29" s="42"/>
    </row>
    <row r="30" spans="1:23" x14ac:dyDescent="0.25">
      <c r="C30" s="69"/>
      <c r="D30" s="54"/>
      <c r="G30" s="42"/>
      <c r="H30" s="41"/>
      <c r="J30" s="42"/>
      <c r="K30" s="42"/>
      <c r="M30" s="70"/>
      <c r="Q30" s="42"/>
      <c r="R30" s="42"/>
      <c r="S30" s="42"/>
      <c r="T30" s="42"/>
      <c r="U30" s="42"/>
      <c r="V30" s="42"/>
      <c r="W30" s="42"/>
    </row>
    <row r="31" spans="1:23" x14ac:dyDescent="0.25">
      <c r="C31" s="69"/>
      <c r="D31" s="54"/>
      <c r="G31" s="42"/>
      <c r="H31" s="41"/>
      <c r="J31" s="42"/>
      <c r="K31" s="42"/>
      <c r="M31" s="70"/>
      <c r="Q31" s="42"/>
      <c r="R31" s="42"/>
      <c r="S31" s="42"/>
      <c r="T31" s="42"/>
      <c r="U31" s="42"/>
      <c r="V31" s="42"/>
      <c r="W31" s="42"/>
    </row>
    <row r="32" spans="1:23" x14ac:dyDescent="0.25">
      <c r="C32" s="69"/>
      <c r="D32" s="54"/>
      <c r="G32" s="42"/>
      <c r="H32" s="41"/>
      <c r="J32" s="42"/>
      <c r="K32" s="42"/>
      <c r="M32" s="70"/>
      <c r="Q32" s="42"/>
      <c r="R32" s="42"/>
      <c r="S32" s="42"/>
      <c r="T32" s="42"/>
      <c r="U32" s="42"/>
      <c r="V32" s="42"/>
      <c r="W32" s="42"/>
    </row>
    <row r="33" spans="3:23" x14ac:dyDescent="0.25">
      <c r="C33" s="69"/>
      <c r="D33" s="54"/>
      <c r="G33" s="42"/>
      <c r="H33" s="41"/>
      <c r="J33" s="42"/>
      <c r="K33" s="42"/>
      <c r="M33" s="70"/>
      <c r="Q33" s="42"/>
      <c r="R33" s="42"/>
      <c r="S33" s="42"/>
      <c r="T33" s="42"/>
      <c r="U33" s="42"/>
      <c r="V33" s="42"/>
      <c r="W33" s="42"/>
    </row>
  </sheetData>
  <conditionalFormatting sqref="O4:T19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{29C75A39-4D94-AD3B-0F85-C47EB476140F}</x14:id>
        </ext>
      </extLst>
    </cfRule>
  </conditionalFormatting>
  <conditionalFormatting sqref="U4:U19">
    <cfRule type="dataBar" priority="2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{71B8B231-3B58-4DD3-B754-152AEF054064}</x14:id>
        </ext>
      </extLst>
    </cfRule>
  </conditionalFormatting>
  <conditionalFormatting sqref="E4:K19">
    <cfRule type="colorScale" priority="266">
      <colorScale>
        <cfvo type="min"/>
        <cfvo type="max"/>
        <color rgb="FFFCFCFF"/>
        <color rgb="FFF8696B"/>
      </colorScale>
    </cfRule>
  </conditionalFormatting>
  <conditionalFormatting sqref="L4:N19">
    <cfRule type="colorScale" priority="268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C75A39-4D94-AD3B-0F85-C47EB47614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O4:T19</xm:sqref>
        </x14:conditionalFormatting>
        <x14:conditionalFormatting xmlns:xm="http://schemas.microsoft.com/office/excel/2006/main">
          <x14:cfRule type="dataBar" id="{71B8B231-3B58-4DD3-B754-152AEF05406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U4:U19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B1A0C7"/>
  </sheetPr>
  <dimension ref="A1:U76"/>
  <sheetViews>
    <sheetView zoomScale="90" workbookViewId="0">
      <pane ySplit="1" topLeftCell="A5" activePane="bottomLeft" state="frozen"/>
      <selection pane="bottomLeft" activeCell="D11" sqref="D11"/>
    </sheetView>
  </sheetViews>
  <sheetFormatPr baseColWidth="10" defaultColWidth="11.42578125" defaultRowHeight="15" x14ac:dyDescent="0.25"/>
  <cols>
    <col min="1" max="1" width="17.140625" customWidth="1"/>
    <col min="2" max="3" width="17.7109375" customWidth="1"/>
    <col min="4" max="4" width="20.85546875" customWidth="1"/>
    <col min="5" max="5" width="3.140625" customWidth="1"/>
    <col min="6" max="6" width="38.7109375" customWidth="1"/>
    <col min="7" max="7" width="5.7109375" customWidth="1"/>
    <col min="8" max="8" width="5.28515625" customWidth="1"/>
    <col min="9" max="9" width="4.5703125" customWidth="1"/>
    <col min="10" max="10" width="4.140625" customWidth="1"/>
    <col min="11" max="11" width="10" customWidth="1"/>
    <col min="12" max="12" width="12.7109375" customWidth="1"/>
    <col min="13" max="13" width="5.28515625" customWidth="1"/>
    <col min="14" max="14" width="17.5703125" customWidth="1"/>
    <col min="15" max="15" width="21.28515625" customWidth="1"/>
    <col min="16" max="16" width="9.7109375" customWidth="1"/>
    <col min="17" max="18" width="13.5703125" customWidth="1"/>
    <col min="19" max="19" width="17.140625" customWidth="1"/>
    <col min="20" max="20" width="9.7109375" customWidth="1"/>
    <col min="21" max="21" width="13.5703125" customWidth="1"/>
  </cols>
  <sheetData>
    <row r="1" spans="1:21" ht="19.5" x14ac:dyDescent="0.25">
      <c r="A1" s="484" t="s">
        <v>520</v>
      </c>
      <c r="B1" s="484"/>
      <c r="C1" s="484"/>
      <c r="D1" s="484"/>
      <c r="F1" s="13" t="s">
        <v>180</v>
      </c>
      <c r="G1" s="13" t="s">
        <v>110</v>
      </c>
      <c r="H1" s="13" t="s">
        <v>111</v>
      </c>
      <c r="I1" s="26" t="s">
        <v>521</v>
      </c>
      <c r="J1" s="26" t="s">
        <v>113</v>
      </c>
      <c r="K1" s="26" t="s">
        <v>297</v>
      </c>
      <c r="L1" s="26" t="s">
        <v>522</v>
      </c>
      <c r="M1" s="26" t="s">
        <v>523</v>
      </c>
      <c r="N1" s="64" t="s">
        <v>524</v>
      </c>
      <c r="O1" s="64" t="s">
        <v>525</v>
      </c>
      <c r="P1" s="64" t="s">
        <v>526</v>
      </c>
      <c r="Q1" s="64" t="s">
        <v>527</v>
      </c>
      <c r="R1" s="65" t="s">
        <v>528</v>
      </c>
      <c r="S1" s="65" t="s">
        <v>529</v>
      </c>
      <c r="T1" s="65" t="s">
        <v>526</v>
      </c>
      <c r="U1" s="65" t="s">
        <v>527</v>
      </c>
    </row>
    <row r="2" spans="1:21" x14ac:dyDescent="0.25">
      <c r="A2" s="485" t="s">
        <v>530</v>
      </c>
      <c r="B2" s="486" t="s">
        <v>531</v>
      </c>
      <c r="C2" s="486" t="s">
        <v>532</v>
      </c>
      <c r="D2" s="486" t="s">
        <v>533</v>
      </c>
      <c r="F2" s="88" t="s">
        <v>534</v>
      </c>
      <c r="G2">
        <v>36</v>
      </c>
      <c r="H2">
        <v>92</v>
      </c>
      <c r="I2" s="55">
        <v>14.3</v>
      </c>
      <c r="J2" s="56">
        <v>4</v>
      </c>
      <c r="K2" s="45">
        <v>2448</v>
      </c>
      <c r="L2" s="45">
        <v>1000</v>
      </c>
      <c r="M2" s="61">
        <v>3</v>
      </c>
      <c r="N2" s="45">
        <v>325000</v>
      </c>
      <c r="O2" s="45">
        <f t="shared" ref="O2:O33" si="0">L2+N2</f>
        <v>326000</v>
      </c>
      <c r="P2" s="66">
        <v>6.5</v>
      </c>
      <c r="Q2" s="76">
        <f t="shared" ref="Q2:Q33" si="1">O2/P2</f>
        <v>50153.846153846156</v>
      </c>
      <c r="R2" s="45">
        <v>2375000</v>
      </c>
      <c r="S2" s="45">
        <f t="shared" ref="S2:S33" si="2">R2+L2</f>
        <v>2376000</v>
      </c>
      <c r="T2" s="67">
        <f t="shared" ref="T2:T33" si="3">P2</f>
        <v>6.5</v>
      </c>
      <c r="U2" s="76">
        <f t="shared" ref="U2:U33" si="4">S2/T2</f>
        <v>365538.46153846156</v>
      </c>
    </row>
    <row r="3" spans="1:21" x14ac:dyDescent="0.25">
      <c r="A3" s="485"/>
      <c r="B3" s="486"/>
      <c r="C3" s="486"/>
      <c r="D3" s="486"/>
      <c r="F3" s="88" t="s">
        <v>535</v>
      </c>
      <c r="G3">
        <v>40</v>
      </c>
      <c r="H3">
        <v>26</v>
      </c>
      <c r="I3" s="55">
        <v>14.1</v>
      </c>
      <c r="J3" s="56">
        <v>5</v>
      </c>
      <c r="K3" s="45">
        <v>468</v>
      </c>
      <c r="L3" s="45">
        <v>410000</v>
      </c>
      <c r="M3" s="61">
        <v>3</v>
      </c>
      <c r="N3" s="45">
        <v>335000</v>
      </c>
      <c r="O3" s="45">
        <f t="shared" si="0"/>
        <v>745000</v>
      </c>
      <c r="P3" s="66">
        <v>8</v>
      </c>
      <c r="Q3" s="76">
        <f t="shared" si="1"/>
        <v>93125</v>
      </c>
      <c r="R3" s="45">
        <v>2390000</v>
      </c>
      <c r="S3" s="45">
        <f t="shared" si="2"/>
        <v>2800000</v>
      </c>
      <c r="T3" s="67">
        <f t="shared" si="3"/>
        <v>8</v>
      </c>
      <c r="U3" s="76">
        <f t="shared" si="4"/>
        <v>350000</v>
      </c>
    </row>
    <row r="4" spans="1:21" x14ac:dyDescent="0.25">
      <c r="A4" s="72" t="s">
        <v>531</v>
      </c>
      <c r="B4" s="73" t="s">
        <v>536</v>
      </c>
      <c r="C4" s="73" t="s">
        <v>537</v>
      </c>
      <c r="D4" s="73" t="s">
        <v>537</v>
      </c>
      <c r="F4" s="88" t="s">
        <v>538</v>
      </c>
      <c r="G4">
        <v>35</v>
      </c>
      <c r="H4">
        <v>85</v>
      </c>
      <c r="I4" s="55">
        <v>18.2</v>
      </c>
      <c r="J4" s="56">
        <v>4</v>
      </c>
      <c r="K4" s="45">
        <v>14808</v>
      </c>
      <c r="L4" s="45">
        <v>1245000</v>
      </c>
      <c r="M4" s="61">
        <v>3</v>
      </c>
      <c r="N4" s="45">
        <v>259000</v>
      </c>
      <c r="O4" s="45">
        <f t="shared" si="0"/>
        <v>1504000</v>
      </c>
      <c r="P4" s="66">
        <v>6.5</v>
      </c>
      <c r="Q4" s="76">
        <f t="shared" si="1"/>
        <v>231384.61538461538</v>
      </c>
      <c r="R4" s="45">
        <v>1850000</v>
      </c>
      <c r="S4" s="45">
        <f t="shared" si="2"/>
        <v>3095000</v>
      </c>
      <c r="T4" s="67">
        <f t="shared" si="3"/>
        <v>6.5</v>
      </c>
      <c r="U4" s="76">
        <f t="shared" si="4"/>
        <v>476153.84615384613</v>
      </c>
    </row>
    <row r="5" spans="1:21" x14ac:dyDescent="0.25">
      <c r="A5" s="74" t="s">
        <v>532</v>
      </c>
      <c r="B5" s="75" t="s">
        <v>539</v>
      </c>
      <c r="C5" s="75" t="s">
        <v>540</v>
      </c>
      <c r="D5" s="75" t="s">
        <v>537</v>
      </c>
      <c r="F5" s="88" t="s">
        <v>541</v>
      </c>
      <c r="G5">
        <v>36</v>
      </c>
      <c r="H5">
        <v>97</v>
      </c>
      <c r="I5" s="55">
        <v>14</v>
      </c>
      <c r="J5" s="56">
        <v>5</v>
      </c>
      <c r="K5" s="45">
        <v>4956</v>
      </c>
      <c r="L5" s="45">
        <v>405000</v>
      </c>
      <c r="M5" s="61">
        <v>3</v>
      </c>
      <c r="N5" s="68">
        <v>337500</v>
      </c>
      <c r="O5" s="45">
        <f t="shared" si="0"/>
        <v>742500</v>
      </c>
      <c r="P5" s="66">
        <v>8</v>
      </c>
      <c r="Q5" s="76">
        <f t="shared" si="1"/>
        <v>92812.5</v>
      </c>
      <c r="R5" s="45">
        <v>2400000</v>
      </c>
      <c r="S5" s="45">
        <f t="shared" si="2"/>
        <v>2805000</v>
      </c>
      <c r="T5" s="67">
        <f t="shared" si="3"/>
        <v>8</v>
      </c>
      <c r="U5" s="76">
        <f t="shared" si="4"/>
        <v>350625</v>
      </c>
    </row>
    <row r="6" spans="1:21" x14ac:dyDescent="0.25">
      <c r="A6" s="72" t="s">
        <v>533</v>
      </c>
      <c r="B6" s="73" t="s">
        <v>542</v>
      </c>
      <c r="C6" s="73" t="s">
        <v>543</v>
      </c>
      <c r="D6" s="73" t="s">
        <v>544</v>
      </c>
      <c r="F6" s="88" t="s">
        <v>545</v>
      </c>
      <c r="G6">
        <v>40</v>
      </c>
      <c r="H6">
        <v>71</v>
      </c>
      <c r="I6" s="55">
        <v>15.3</v>
      </c>
      <c r="J6" s="56">
        <v>5</v>
      </c>
      <c r="K6" s="45">
        <v>840</v>
      </c>
      <c r="L6" s="45">
        <v>325000</v>
      </c>
      <c r="M6" s="61">
        <v>3</v>
      </c>
      <c r="N6" s="45">
        <v>305000</v>
      </c>
      <c r="O6" s="45">
        <f t="shared" si="0"/>
        <v>630000</v>
      </c>
      <c r="P6" s="66">
        <v>8</v>
      </c>
      <c r="Q6" s="76">
        <f t="shared" si="1"/>
        <v>78750</v>
      </c>
      <c r="R6" s="45">
        <v>2200000</v>
      </c>
      <c r="S6" s="45">
        <f t="shared" si="2"/>
        <v>2525000</v>
      </c>
      <c r="T6" s="67">
        <f t="shared" si="3"/>
        <v>8</v>
      </c>
      <c r="U6" s="76">
        <f t="shared" si="4"/>
        <v>315625</v>
      </c>
    </row>
    <row r="7" spans="1:21" x14ac:dyDescent="0.25">
      <c r="A7" s="74" t="s">
        <v>546</v>
      </c>
      <c r="B7" s="75" t="s">
        <v>547</v>
      </c>
      <c r="C7" s="75" t="s">
        <v>548</v>
      </c>
      <c r="D7" s="75" t="s">
        <v>549</v>
      </c>
      <c r="I7" s="55">
        <v>0</v>
      </c>
      <c r="J7" s="56">
        <v>0</v>
      </c>
      <c r="K7" s="45"/>
      <c r="L7" s="45"/>
      <c r="M7" s="61">
        <v>3</v>
      </c>
      <c r="N7" s="45"/>
      <c r="O7" s="45">
        <f t="shared" si="0"/>
        <v>0</v>
      </c>
      <c r="P7" s="66">
        <v>9</v>
      </c>
      <c r="Q7" s="76">
        <f t="shared" si="1"/>
        <v>0</v>
      </c>
      <c r="R7" s="45"/>
      <c r="S7" s="45">
        <f t="shared" si="2"/>
        <v>0</v>
      </c>
      <c r="T7" s="67">
        <f t="shared" si="3"/>
        <v>9</v>
      </c>
      <c r="U7" s="76">
        <f t="shared" si="4"/>
        <v>0</v>
      </c>
    </row>
    <row r="8" spans="1:21" x14ac:dyDescent="0.25">
      <c r="A8" s="72" t="s">
        <v>550</v>
      </c>
      <c r="B8" s="73" t="s">
        <v>551</v>
      </c>
      <c r="C8" s="73" t="s">
        <v>552</v>
      </c>
      <c r="D8" s="73" t="s">
        <v>553</v>
      </c>
      <c r="F8" s="88" t="s">
        <v>554</v>
      </c>
      <c r="G8">
        <v>38</v>
      </c>
      <c r="H8">
        <v>105</v>
      </c>
      <c r="I8" s="55">
        <v>17.8</v>
      </c>
      <c r="J8" s="56">
        <v>4</v>
      </c>
      <c r="K8" s="45">
        <v>1080</v>
      </c>
      <c r="L8" s="45">
        <v>320000</v>
      </c>
      <c r="M8" s="61">
        <v>3</v>
      </c>
      <c r="N8" s="45">
        <v>269000</v>
      </c>
      <c r="O8" s="45">
        <f t="shared" si="0"/>
        <v>589000</v>
      </c>
      <c r="P8" s="66">
        <v>6.5</v>
      </c>
      <c r="Q8" s="76">
        <f t="shared" si="1"/>
        <v>90615.38461538461</v>
      </c>
      <c r="R8" s="45">
        <v>1900000</v>
      </c>
      <c r="S8" s="45">
        <f t="shared" si="2"/>
        <v>2220000</v>
      </c>
      <c r="T8" s="67">
        <f t="shared" si="3"/>
        <v>6.5</v>
      </c>
      <c r="U8" s="76">
        <f t="shared" si="4"/>
        <v>341538.46153846156</v>
      </c>
    </row>
    <row r="9" spans="1:21" x14ac:dyDescent="0.25">
      <c r="A9" s="74" t="s">
        <v>555</v>
      </c>
      <c r="B9" s="75" t="s">
        <v>556</v>
      </c>
      <c r="C9" s="75" t="s">
        <v>557</v>
      </c>
      <c r="D9" s="75" t="s">
        <v>558</v>
      </c>
      <c r="F9" s="88" t="s">
        <v>559</v>
      </c>
      <c r="G9">
        <v>40</v>
      </c>
      <c r="H9">
        <v>43</v>
      </c>
      <c r="I9" s="55">
        <v>33.4</v>
      </c>
      <c r="J9" s="56">
        <v>4</v>
      </c>
      <c r="K9" s="45">
        <f>470*1.2</f>
        <v>564</v>
      </c>
      <c r="L9" s="45">
        <v>920000</v>
      </c>
      <c r="M9" s="61">
        <v>3</v>
      </c>
      <c r="N9" s="45">
        <v>125000</v>
      </c>
      <c r="O9" s="45">
        <f t="shared" si="0"/>
        <v>1045000</v>
      </c>
      <c r="P9" s="66">
        <v>6.5</v>
      </c>
      <c r="Q9" s="76">
        <f t="shared" si="1"/>
        <v>160769.23076923078</v>
      </c>
      <c r="R9" s="45">
        <v>1050000</v>
      </c>
      <c r="S9" s="45">
        <f t="shared" si="2"/>
        <v>1970000</v>
      </c>
      <c r="T9" s="67">
        <f t="shared" si="3"/>
        <v>6.5</v>
      </c>
      <c r="U9" s="76">
        <f t="shared" si="4"/>
        <v>303076.92307692306</v>
      </c>
    </row>
    <row r="10" spans="1:21" x14ac:dyDescent="0.25">
      <c r="A10" s="72" t="s">
        <v>560</v>
      </c>
      <c r="B10" s="73" t="s">
        <v>561</v>
      </c>
      <c r="C10" s="73" t="s">
        <v>562</v>
      </c>
      <c r="D10" s="73" t="s">
        <v>563</v>
      </c>
      <c r="F10" s="88" t="s">
        <v>564</v>
      </c>
      <c r="G10">
        <v>38</v>
      </c>
      <c r="H10">
        <v>73</v>
      </c>
      <c r="I10" s="55">
        <v>15.5</v>
      </c>
      <c r="J10" s="56">
        <v>4</v>
      </c>
      <c r="K10" s="45">
        <v>1280</v>
      </c>
      <c r="L10" s="45">
        <v>10000</v>
      </c>
      <c r="M10" s="61">
        <v>3</v>
      </c>
      <c r="N10" s="45">
        <v>305000</v>
      </c>
      <c r="O10" s="45">
        <f t="shared" si="0"/>
        <v>315000</v>
      </c>
      <c r="P10" s="66">
        <v>6.5</v>
      </c>
      <c r="Q10" s="76">
        <f t="shared" si="1"/>
        <v>48461.538461538461</v>
      </c>
      <c r="R10" s="45">
        <v>2200000</v>
      </c>
      <c r="S10" s="45">
        <f t="shared" si="2"/>
        <v>2210000</v>
      </c>
      <c r="T10" s="67">
        <f t="shared" si="3"/>
        <v>6.5</v>
      </c>
      <c r="U10" s="76">
        <f t="shared" si="4"/>
        <v>340000</v>
      </c>
    </row>
    <row r="11" spans="1:21" x14ac:dyDescent="0.25">
      <c r="A11" s="74" t="s">
        <v>565</v>
      </c>
      <c r="B11" s="75" t="s">
        <v>566</v>
      </c>
      <c r="C11" s="75" t="s">
        <v>567</v>
      </c>
      <c r="D11" s="75" t="s">
        <v>568</v>
      </c>
      <c r="F11" s="88" t="s">
        <v>569</v>
      </c>
      <c r="G11">
        <v>38</v>
      </c>
      <c r="H11">
        <v>33</v>
      </c>
      <c r="I11" s="55">
        <v>16.7</v>
      </c>
      <c r="J11" s="56">
        <v>4</v>
      </c>
      <c r="K11" s="45">
        <v>1224</v>
      </c>
      <c r="L11" s="45">
        <v>10000</v>
      </c>
      <c r="M11" s="61">
        <v>3</v>
      </c>
      <c r="N11" s="68">
        <v>283000</v>
      </c>
      <c r="O11" s="45">
        <f t="shared" si="0"/>
        <v>293000</v>
      </c>
      <c r="P11" s="66">
        <v>6.5</v>
      </c>
      <c r="Q11" s="76">
        <f t="shared" si="1"/>
        <v>45076.923076923078</v>
      </c>
      <c r="R11" s="45">
        <v>2005000</v>
      </c>
      <c r="S11" s="45">
        <f t="shared" si="2"/>
        <v>2015000</v>
      </c>
      <c r="T11" s="67">
        <f t="shared" si="3"/>
        <v>6.5</v>
      </c>
      <c r="U11" s="76">
        <f t="shared" si="4"/>
        <v>310000</v>
      </c>
    </row>
    <row r="12" spans="1:21" x14ac:dyDescent="0.25">
      <c r="A12" s="72" t="s">
        <v>570</v>
      </c>
      <c r="B12" s="73" t="s">
        <v>571</v>
      </c>
      <c r="C12" s="73" t="s">
        <v>572</v>
      </c>
      <c r="D12" s="73" t="s">
        <v>573</v>
      </c>
      <c r="F12" s="88" t="s">
        <v>574</v>
      </c>
      <c r="G12">
        <v>38</v>
      </c>
      <c r="H12">
        <v>106</v>
      </c>
      <c r="I12" s="55">
        <v>15.1</v>
      </c>
      <c r="J12" s="56">
        <v>4</v>
      </c>
      <c r="K12" s="45">
        <v>1368</v>
      </c>
      <c r="L12" s="45">
        <v>5000</v>
      </c>
      <c r="M12" s="61">
        <v>3</v>
      </c>
      <c r="N12" s="45">
        <v>315000</v>
      </c>
      <c r="O12" s="45">
        <f t="shared" si="0"/>
        <v>320000</v>
      </c>
      <c r="P12" s="66">
        <v>6.5</v>
      </c>
      <c r="Q12" s="76">
        <f t="shared" si="1"/>
        <v>49230.769230769234</v>
      </c>
      <c r="R12" s="45">
        <v>2242290</v>
      </c>
      <c r="S12" s="45">
        <f t="shared" si="2"/>
        <v>2247290</v>
      </c>
      <c r="T12" s="67">
        <f t="shared" si="3"/>
        <v>6.5</v>
      </c>
      <c r="U12" s="76">
        <f t="shared" si="4"/>
        <v>345736.92307692306</v>
      </c>
    </row>
    <row r="13" spans="1:21" x14ac:dyDescent="0.25">
      <c r="A13" s="74" t="s">
        <v>575</v>
      </c>
      <c r="B13" s="75" t="s">
        <v>576</v>
      </c>
      <c r="C13" s="75" t="s">
        <v>577</v>
      </c>
      <c r="D13" s="75" t="s">
        <v>578</v>
      </c>
      <c r="F13" s="88" t="s">
        <v>579</v>
      </c>
      <c r="G13">
        <v>58</v>
      </c>
      <c r="H13">
        <v>49</v>
      </c>
      <c r="I13" s="55">
        <v>16</v>
      </c>
      <c r="J13" s="56">
        <v>4</v>
      </c>
      <c r="K13" s="45">
        <v>300</v>
      </c>
      <c r="L13" s="45">
        <v>125000</v>
      </c>
      <c r="M13" s="61">
        <v>3</v>
      </c>
      <c r="N13" s="45">
        <v>296000</v>
      </c>
      <c r="O13" s="45">
        <f t="shared" si="0"/>
        <v>421000</v>
      </c>
      <c r="P13" s="66">
        <v>6.5</v>
      </c>
      <c r="Q13" s="76">
        <f t="shared" si="1"/>
        <v>64769.230769230766</v>
      </c>
      <c r="R13" s="45">
        <v>2105000</v>
      </c>
      <c r="S13" s="45">
        <f t="shared" si="2"/>
        <v>2230000</v>
      </c>
      <c r="T13" s="67">
        <f t="shared" si="3"/>
        <v>6.5</v>
      </c>
      <c r="U13" s="76">
        <f t="shared" si="4"/>
        <v>343076.92307692306</v>
      </c>
    </row>
    <row r="14" spans="1:21" x14ac:dyDescent="0.25">
      <c r="A14" s="72" t="s">
        <v>580</v>
      </c>
      <c r="B14" s="73" t="s">
        <v>581</v>
      </c>
      <c r="C14" s="73" t="s">
        <v>582</v>
      </c>
      <c r="D14" s="73" t="s">
        <v>583</v>
      </c>
      <c r="I14" s="55">
        <v>0</v>
      </c>
      <c r="J14" s="56">
        <v>0</v>
      </c>
      <c r="K14" s="45"/>
      <c r="L14" s="45"/>
      <c r="M14" s="61">
        <v>3</v>
      </c>
      <c r="N14" s="45"/>
      <c r="O14" s="45">
        <f t="shared" si="0"/>
        <v>0</v>
      </c>
      <c r="P14" s="66">
        <v>9</v>
      </c>
      <c r="Q14" s="76">
        <f t="shared" si="1"/>
        <v>0</v>
      </c>
      <c r="R14" s="45"/>
      <c r="S14" s="45">
        <f t="shared" si="2"/>
        <v>0</v>
      </c>
      <c r="T14" s="67">
        <f t="shared" si="3"/>
        <v>9</v>
      </c>
      <c r="U14" s="76">
        <f t="shared" si="4"/>
        <v>0</v>
      </c>
    </row>
    <row r="15" spans="1:21" x14ac:dyDescent="0.25">
      <c r="A15" s="74" t="s">
        <v>584</v>
      </c>
      <c r="B15" s="75" t="s">
        <v>585</v>
      </c>
      <c r="C15" s="75" t="s">
        <v>586</v>
      </c>
      <c r="D15" s="75" t="s">
        <v>587</v>
      </c>
      <c r="F15" s="88" t="s">
        <v>588</v>
      </c>
      <c r="G15">
        <v>40</v>
      </c>
      <c r="H15">
        <v>1</v>
      </c>
      <c r="I15" s="55">
        <v>16.100000000000001</v>
      </c>
      <c r="J15" s="56">
        <v>5</v>
      </c>
      <c r="K15" s="45">
        <v>492</v>
      </c>
      <c r="L15" s="45">
        <v>1100000</v>
      </c>
      <c r="M15" s="61">
        <v>2</v>
      </c>
      <c r="N15" s="45">
        <v>296000</v>
      </c>
      <c r="O15" s="45">
        <f t="shared" si="0"/>
        <v>1396000</v>
      </c>
      <c r="P15" s="66">
        <v>8</v>
      </c>
      <c r="Q15" s="76">
        <f t="shared" si="1"/>
        <v>174500</v>
      </c>
      <c r="R15" s="45">
        <v>2100000</v>
      </c>
      <c r="S15" s="45">
        <f t="shared" si="2"/>
        <v>3200000</v>
      </c>
      <c r="T15" s="67">
        <f t="shared" si="3"/>
        <v>8</v>
      </c>
      <c r="U15" s="76">
        <f t="shared" si="4"/>
        <v>400000</v>
      </c>
    </row>
    <row r="16" spans="1:21" x14ac:dyDescent="0.25">
      <c r="A16" s="72" t="s">
        <v>589</v>
      </c>
      <c r="B16" s="73" t="s">
        <v>590</v>
      </c>
      <c r="C16" s="73" t="s">
        <v>591</v>
      </c>
      <c r="D16" s="73" t="s">
        <v>592</v>
      </c>
      <c r="F16" s="88" t="s">
        <v>593</v>
      </c>
      <c r="G16">
        <v>36</v>
      </c>
      <c r="H16">
        <v>0</v>
      </c>
      <c r="I16" s="55">
        <v>27</v>
      </c>
      <c r="J16" s="56">
        <v>5</v>
      </c>
      <c r="K16" s="45">
        <v>7812</v>
      </c>
      <c r="L16" s="45">
        <v>3500000</v>
      </c>
      <c r="M16" s="61">
        <v>3</v>
      </c>
      <c r="N16" s="68">
        <v>161800</v>
      </c>
      <c r="O16" s="45">
        <f t="shared" si="0"/>
        <v>3661800</v>
      </c>
      <c r="P16" s="66">
        <v>8</v>
      </c>
      <c r="Q16" s="76">
        <f t="shared" si="1"/>
        <v>457725</v>
      </c>
      <c r="R16" s="45">
        <v>1150800</v>
      </c>
      <c r="S16" s="45">
        <f t="shared" si="2"/>
        <v>4650800</v>
      </c>
      <c r="T16" s="67">
        <f t="shared" si="3"/>
        <v>8</v>
      </c>
      <c r="U16" s="76">
        <f t="shared" si="4"/>
        <v>581350</v>
      </c>
    </row>
    <row r="17" spans="1:21" x14ac:dyDescent="0.25">
      <c r="A17" s="74" t="s">
        <v>594</v>
      </c>
      <c r="B17" s="75" t="s">
        <v>595</v>
      </c>
      <c r="C17" s="75" t="s">
        <v>596</v>
      </c>
      <c r="D17" s="75" t="s">
        <v>597</v>
      </c>
      <c r="F17" s="88" t="s">
        <v>598</v>
      </c>
      <c r="G17">
        <v>39</v>
      </c>
      <c r="H17">
        <v>78</v>
      </c>
      <c r="I17" s="55">
        <v>20.100000000000001</v>
      </c>
      <c r="J17" s="56">
        <v>5</v>
      </c>
      <c r="K17" s="45">
        <v>300</v>
      </c>
      <c r="L17" s="45">
        <v>1475000</v>
      </c>
      <c r="M17" s="61">
        <v>3</v>
      </c>
      <c r="N17" s="45">
        <v>231100</v>
      </c>
      <c r="O17" s="45">
        <f t="shared" si="0"/>
        <v>1706100</v>
      </c>
      <c r="P17" s="66">
        <v>8</v>
      </c>
      <c r="Q17" s="76">
        <f t="shared" si="1"/>
        <v>213262.5</v>
      </c>
      <c r="R17" s="45">
        <v>1643000</v>
      </c>
      <c r="S17" s="45">
        <f t="shared" si="2"/>
        <v>3118000</v>
      </c>
      <c r="T17" s="67">
        <f t="shared" si="3"/>
        <v>8</v>
      </c>
      <c r="U17" s="76">
        <f t="shared" si="4"/>
        <v>389750</v>
      </c>
    </row>
    <row r="18" spans="1:21" x14ac:dyDescent="0.25">
      <c r="A18" s="72" t="s">
        <v>599</v>
      </c>
      <c r="B18" s="73" t="s">
        <v>600</v>
      </c>
      <c r="C18" s="73" t="s">
        <v>601</v>
      </c>
      <c r="D18" s="73" t="s">
        <v>602</v>
      </c>
      <c r="I18" s="55">
        <v>0</v>
      </c>
      <c r="J18" s="56">
        <v>0</v>
      </c>
      <c r="K18" s="45"/>
      <c r="L18" s="45"/>
      <c r="M18" s="61">
        <v>3</v>
      </c>
      <c r="N18" s="45"/>
      <c r="O18" s="45">
        <f t="shared" si="0"/>
        <v>0</v>
      </c>
      <c r="P18" s="66">
        <v>9</v>
      </c>
      <c r="Q18" s="76">
        <f t="shared" si="1"/>
        <v>0</v>
      </c>
      <c r="R18" s="45"/>
      <c r="S18" s="45">
        <f t="shared" si="2"/>
        <v>0</v>
      </c>
      <c r="T18" s="67">
        <f t="shared" si="3"/>
        <v>9</v>
      </c>
      <c r="U18" s="76">
        <f t="shared" si="4"/>
        <v>0</v>
      </c>
    </row>
    <row r="19" spans="1:21" x14ac:dyDescent="0.25">
      <c r="F19" s="402" t="s">
        <v>843</v>
      </c>
      <c r="G19">
        <v>38</v>
      </c>
      <c r="H19">
        <v>68</v>
      </c>
      <c r="I19" s="55">
        <v>13.3</v>
      </c>
      <c r="J19" s="56">
        <v>6</v>
      </c>
      <c r="K19" s="45">
        <v>900</v>
      </c>
      <c r="L19" s="45">
        <v>750000</v>
      </c>
      <c r="M19" s="61">
        <v>3</v>
      </c>
      <c r="N19" s="45">
        <v>350000</v>
      </c>
      <c r="O19" s="45">
        <f t="shared" si="0"/>
        <v>1100000</v>
      </c>
      <c r="P19" s="66">
        <v>9</v>
      </c>
      <c r="Q19" s="76">
        <f t="shared" si="1"/>
        <v>122222.22222222222</v>
      </c>
      <c r="R19" s="45">
        <v>2500000</v>
      </c>
      <c r="S19" s="45">
        <f t="shared" si="2"/>
        <v>3250000</v>
      </c>
      <c r="T19" s="67">
        <f t="shared" si="3"/>
        <v>9</v>
      </c>
      <c r="U19" s="76">
        <f t="shared" si="4"/>
        <v>361111.11111111112</v>
      </c>
    </row>
    <row r="20" spans="1:21" x14ac:dyDescent="0.25">
      <c r="A20" s="13" t="s">
        <v>603</v>
      </c>
      <c r="B20" s="13" t="s">
        <v>604</v>
      </c>
      <c r="F20" s="402" t="s">
        <v>844</v>
      </c>
      <c r="G20">
        <v>38</v>
      </c>
      <c r="H20">
        <v>65</v>
      </c>
      <c r="I20" s="55">
        <v>13.3</v>
      </c>
      <c r="J20" s="56">
        <v>6</v>
      </c>
      <c r="K20" s="45">
        <v>360</v>
      </c>
      <c r="L20" s="45">
        <v>1100000</v>
      </c>
      <c r="M20" s="61">
        <v>3</v>
      </c>
      <c r="N20" s="45">
        <v>350000</v>
      </c>
      <c r="O20" s="45">
        <f t="shared" si="0"/>
        <v>1450000</v>
      </c>
      <c r="P20" s="66">
        <v>9</v>
      </c>
      <c r="Q20" s="76">
        <f t="shared" si="1"/>
        <v>161111.11111111112</v>
      </c>
      <c r="R20" s="45">
        <v>2500000</v>
      </c>
      <c r="S20" s="45">
        <f t="shared" si="2"/>
        <v>3600000</v>
      </c>
      <c r="T20" s="67">
        <f t="shared" si="3"/>
        <v>9</v>
      </c>
      <c r="U20" s="76">
        <f t="shared" si="4"/>
        <v>400000</v>
      </c>
    </row>
    <row r="21" spans="1:21" x14ac:dyDescent="0.25">
      <c r="A21" s="42" t="s">
        <v>605</v>
      </c>
      <c r="B21" s="42">
        <v>2</v>
      </c>
      <c r="F21" s="402" t="s">
        <v>845</v>
      </c>
      <c r="G21">
        <v>41</v>
      </c>
      <c r="H21">
        <v>70</v>
      </c>
      <c r="I21" s="55">
        <v>14</v>
      </c>
      <c r="J21" s="56">
        <v>6</v>
      </c>
      <c r="K21" s="45">
        <v>336</v>
      </c>
      <c r="L21" s="45">
        <v>1000000</v>
      </c>
      <c r="M21" s="61">
        <v>3</v>
      </c>
      <c r="N21" s="68">
        <v>316900</v>
      </c>
      <c r="O21" s="45">
        <f t="shared" si="0"/>
        <v>1316900</v>
      </c>
      <c r="P21" s="66">
        <v>9</v>
      </c>
      <c r="Q21" s="76">
        <f t="shared" si="1"/>
        <v>146322.22222222222</v>
      </c>
      <c r="R21" s="45">
        <v>2400000</v>
      </c>
      <c r="S21" s="45">
        <f t="shared" si="2"/>
        <v>3400000</v>
      </c>
      <c r="T21" s="67">
        <f t="shared" si="3"/>
        <v>9</v>
      </c>
      <c r="U21" s="76">
        <f t="shared" si="4"/>
        <v>377777.77777777775</v>
      </c>
    </row>
    <row r="22" spans="1:21" x14ac:dyDescent="0.25">
      <c r="A22" s="42" t="s">
        <v>606</v>
      </c>
      <c r="B22" s="42">
        <v>1.5</v>
      </c>
      <c r="F22" s="402" t="s">
        <v>846</v>
      </c>
      <c r="G22">
        <v>38</v>
      </c>
      <c r="H22">
        <v>45</v>
      </c>
      <c r="I22" s="55">
        <v>16.399999999999999</v>
      </c>
      <c r="J22" s="56">
        <v>6</v>
      </c>
      <c r="K22" s="45">
        <v>900</v>
      </c>
      <c r="L22" s="45">
        <v>1500000</v>
      </c>
      <c r="M22" s="61">
        <v>3</v>
      </c>
      <c r="N22" s="45">
        <v>282000</v>
      </c>
      <c r="O22" s="45">
        <f t="shared" si="0"/>
        <v>1782000</v>
      </c>
      <c r="P22" s="66">
        <v>9</v>
      </c>
      <c r="Q22" s="76">
        <f t="shared" si="1"/>
        <v>198000</v>
      </c>
      <c r="R22" s="45">
        <v>2000000</v>
      </c>
      <c r="S22" s="45">
        <f t="shared" si="2"/>
        <v>3500000</v>
      </c>
      <c r="T22" s="67">
        <f t="shared" si="3"/>
        <v>9</v>
      </c>
      <c r="U22" s="76">
        <f t="shared" si="4"/>
        <v>388888.88888888888</v>
      </c>
    </row>
    <row r="23" spans="1:21" x14ac:dyDescent="0.25">
      <c r="A23" s="42" t="s">
        <v>607</v>
      </c>
      <c r="B23" s="42">
        <v>1.5</v>
      </c>
      <c r="I23" s="55">
        <v>0</v>
      </c>
      <c r="J23" s="56">
        <v>0</v>
      </c>
      <c r="K23" s="45"/>
      <c r="L23" s="45"/>
      <c r="M23" s="61">
        <v>3</v>
      </c>
      <c r="N23" s="45"/>
      <c r="O23" s="45">
        <f t="shared" si="0"/>
        <v>0</v>
      </c>
      <c r="P23" s="66">
        <v>9</v>
      </c>
      <c r="Q23" s="76">
        <f t="shared" si="1"/>
        <v>0</v>
      </c>
      <c r="R23" s="45"/>
      <c r="S23" s="45">
        <f t="shared" si="2"/>
        <v>0</v>
      </c>
      <c r="T23" s="67">
        <f t="shared" si="3"/>
        <v>9</v>
      </c>
      <c r="U23" s="76">
        <f t="shared" si="4"/>
        <v>0</v>
      </c>
    </row>
    <row r="24" spans="1:21" x14ac:dyDescent="0.25">
      <c r="A24" s="42" t="s">
        <v>608</v>
      </c>
      <c r="B24" s="42">
        <v>1.5</v>
      </c>
      <c r="I24" s="55">
        <v>0</v>
      </c>
      <c r="J24" s="56">
        <v>0</v>
      </c>
      <c r="K24" s="45"/>
      <c r="L24" s="45"/>
      <c r="M24" s="61">
        <v>3</v>
      </c>
      <c r="N24" s="45"/>
      <c r="O24" s="45">
        <f t="shared" si="0"/>
        <v>0</v>
      </c>
      <c r="P24" s="66">
        <v>9</v>
      </c>
      <c r="Q24" s="76">
        <f t="shared" si="1"/>
        <v>0</v>
      </c>
      <c r="R24" s="45"/>
      <c r="S24" s="45">
        <f t="shared" si="2"/>
        <v>0</v>
      </c>
      <c r="T24" s="67">
        <f t="shared" si="3"/>
        <v>9</v>
      </c>
      <c r="U24" s="76">
        <f t="shared" si="4"/>
        <v>0</v>
      </c>
    </row>
    <row r="25" spans="1:21" x14ac:dyDescent="0.25">
      <c r="A25" s="42" t="s">
        <v>609</v>
      </c>
      <c r="B25" s="42">
        <v>1.5</v>
      </c>
      <c r="I25" s="55">
        <v>0</v>
      </c>
      <c r="J25" s="56">
        <v>0</v>
      </c>
      <c r="K25" s="45"/>
      <c r="L25" s="45"/>
      <c r="M25" s="61">
        <v>3</v>
      </c>
      <c r="N25" s="45"/>
      <c r="O25" s="45">
        <f t="shared" si="0"/>
        <v>0</v>
      </c>
      <c r="P25" s="66">
        <v>9</v>
      </c>
      <c r="Q25" s="76">
        <f t="shared" si="1"/>
        <v>0</v>
      </c>
      <c r="R25" s="45"/>
      <c r="S25" s="45">
        <f t="shared" si="2"/>
        <v>0</v>
      </c>
      <c r="T25" s="67">
        <f t="shared" si="3"/>
        <v>9</v>
      </c>
      <c r="U25" s="76">
        <f t="shared" si="4"/>
        <v>0</v>
      </c>
    </row>
    <row r="26" spans="1:21" x14ac:dyDescent="0.25">
      <c r="A26" s="42" t="s">
        <v>610</v>
      </c>
      <c r="B26" s="42">
        <v>1.5</v>
      </c>
      <c r="I26" s="55">
        <v>0</v>
      </c>
      <c r="J26" s="56">
        <v>0</v>
      </c>
      <c r="K26" s="45"/>
      <c r="L26" s="45"/>
      <c r="M26" s="61">
        <v>3</v>
      </c>
      <c r="N26" s="68"/>
      <c r="O26" s="45">
        <f t="shared" si="0"/>
        <v>0</v>
      </c>
      <c r="P26" s="66">
        <v>9</v>
      </c>
      <c r="Q26" s="76">
        <f t="shared" si="1"/>
        <v>0</v>
      </c>
      <c r="R26" s="45"/>
      <c r="S26" s="45">
        <f t="shared" si="2"/>
        <v>0</v>
      </c>
      <c r="T26" s="67">
        <f t="shared" si="3"/>
        <v>9</v>
      </c>
      <c r="U26" s="76">
        <f t="shared" si="4"/>
        <v>0</v>
      </c>
    </row>
    <row r="27" spans="1:21" x14ac:dyDescent="0.25">
      <c r="A27" s="42"/>
      <c r="B27" s="42"/>
      <c r="I27" s="55">
        <v>0</v>
      </c>
      <c r="J27" s="56">
        <v>0</v>
      </c>
      <c r="K27" s="45"/>
      <c r="L27" s="45"/>
      <c r="M27" s="61">
        <v>3</v>
      </c>
      <c r="N27" s="45"/>
      <c r="O27" s="45">
        <f t="shared" si="0"/>
        <v>0</v>
      </c>
      <c r="P27" s="66">
        <v>9</v>
      </c>
      <c r="Q27" s="76">
        <f t="shared" si="1"/>
        <v>0</v>
      </c>
      <c r="R27" s="45"/>
      <c r="S27" s="45">
        <f t="shared" si="2"/>
        <v>0</v>
      </c>
      <c r="T27" s="67">
        <f t="shared" si="3"/>
        <v>9</v>
      </c>
      <c r="U27" s="76">
        <f t="shared" si="4"/>
        <v>0</v>
      </c>
    </row>
    <row r="28" spans="1:21" x14ac:dyDescent="0.25">
      <c r="A28" s="13" t="s">
        <v>611</v>
      </c>
      <c r="B28" s="13" t="s">
        <v>612</v>
      </c>
      <c r="I28" s="55">
        <v>0</v>
      </c>
      <c r="J28" s="56">
        <v>0</v>
      </c>
      <c r="K28" s="45"/>
      <c r="L28" s="45"/>
      <c r="M28" s="61">
        <v>3</v>
      </c>
      <c r="N28" s="45"/>
      <c r="O28" s="45">
        <f t="shared" si="0"/>
        <v>0</v>
      </c>
      <c r="P28" s="66">
        <v>9</v>
      </c>
      <c r="Q28" s="76">
        <f t="shared" si="1"/>
        <v>0</v>
      </c>
      <c r="R28" s="45"/>
      <c r="S28" s="45">
        <f t="shared" si="2"/>
        <v>0</v>
      </c>
      <c r="T28" s="67">
        <f t="shared" si="3"/>
        <v>9</v>
      </c>
      <c r="U28" s="76">
        <f t="shared" si="4"/>
        <v>0</v>
      </c>
    </row>
    <row r="29" spans="1:21" x14ac:dyDescent="0.25">
      <c r="A29" s="42" t="s">
        <v>613</v>
      </c>
      <c r="B29" s="29">
        <v>9.5</v>
      </c>
      <c r="I29" s="55">
        <v>0</v>
      </c>
      <c r="J29" s="56">
        <v>0</v>
      </c>
      <c r="K29" s="45"/>
      <c r="L29" s="45"/>
      <c r="M29" s="61">
        <v>3</v>
      </c>
      <c r="N29" s="45"/>
      <c r="O29" s="45">
        <f t="shared" si="0"/>
        <v>0</v>
      </c>
      <c r="P29" s="66">
        <v>9</v>
      </c>
      <c r="Q29" s="76">
        <f t="shared" si="1"/>
        <v>0</v>
      </c>
      <c r="R29" s="45"/>
      <c r="S29" s="45">
        <f t="shared" si="2"/>
        <v>0</v>
      </c>
      <c r="T29" s="67">
        <f t="shared" si="3"/>
        <v>9</v>
      </c>
      <c r="U29" s="76">
        <f t="shared" si="4"/>
        <v>0</v>
      </c>
    </row>
    <row r="30" spans="1:21" x14ac:dyDescent="0.25">
      <c r="A30" s="42" t="s">
        <v>614</v>
      </c>
      <c r="B30" s="29">
        <v>8</v>
      </c>
      <c r="I30" s="55">
        <v>0</v>
      </c>
      <c r="J30" s="56">
        <v>0</v>
      </c>
      <c r="K30" s="45"/>
      <c r="L30" s="45"/>
      <c r="M30" s="61">
        <v>3</v>
      </c>
      <c r="N30" s="45"/>
      <c r="O30" s="45">
        <f t="shared" si="0"/>
        <v>0</v>
      </c>
      <c r="P30" s="66">
        <v>9</v>
      </c>
      <c r="Q30" s="76">
        <f t="shared" si="1"/>
        <v>0</v>
      </c>
      <c r="R30" s="45"/>
      <c r="S30" s="45">
        <f t="shared" si="2"/>
        <v>0</v>
      </c>
      <c r="T30" s="67">
        <f t="shared" si="3"/>
        <v>9</v>
      </c>
      <c r="U30" s="76">
        <f t="shared" si="4"/>
        <v>0</v>
      </c>
    </row>
    <row r="31" spans="1:21" x14ac:dyDescent="0.25">
      <c r="A31" s="42" t="s">
        <v>615</v>
      </c>
      <c r="B31" s="29">
        <f>B30-1.5</f>
        <v>6.5</v>
      </c>
      <c r="I31" s="55">
        <v>0</v>
      </c>
      <c r="J31" s="56">
        <v>0</v>
      </c>
      <c r="K31" s="45"/>
      <c r="L31" s="45"/>
      <c r="M31" s="61">
        <v>3</v>
      </c>
      <c r="N31" s="68"/>
      <c r="O31" s="45">
        <f t="shared" si="0"/>
        <v>0</v>
      </c>
      <c r="P31" s="66">
        <v>9</v>
      </c>
      <c r="Q31" s="76">
        <f t="shared" si="1"/>
        <v>0</v>
      </c>
      <c r="R31" s="45"/>
      <c r="S31" s="45">
        <f t="shared" si="2"/>
        <v>0</v>
      </c>
      <c r="T31" s="67">
        <f t="shared" si="3"/>
        <v>9</v>
      </c>
      <c r="U31" s="76">
        <f t="shared" si="4"/>
        <v>0</v>
      </c>
    </row>
    <row r="32" spans="1:21" x14ac:dyDescent="0.25">
      <c r="A32" s="42" t="s">
        <v>616</v>
      </c>
      <c r="B32" s="29">
        <f>B31-1.5</f>
        <v>5</v>
      </c>
      <c r="I32" s="55">
        <v>0</v>
      </c>
      <c r="J32" s="56">
        <v>0</v>
      </c>
      <c r="K32" s="45"/>
      <c r="L32" s="45"/>
      <c r="M32" s="61">
        <v>3</v>
      </c>
      <c r="N32" s="45"/>
      <c r="O32" s="45">
        <f t="shared" si="0"/>
        <v>0</v>
      </c>
      <c r="P32" s="66">
        <v>9</v>
      </c>
      <c r="Q32" s="76">
        <f t="shared" si="1"/>
        <v>0</v>
      </c>
      <c r="R32" s="45"/>
      <c r="S32" s="45">
        <f t="shared" si="2"/>
        <v>0</v>
      </c>
      <c r="T32" s="67">
        <f t="shared" si="3"/>
        <v>9</v>
      </c>
      <c r="U32" s="76">
        <f t="shared" si="4"/>
        <v>0</v>
      </c>
    </row>
    <row r="33" spans="1:21" x14ac:dyDescent="0.25">
      <c r="A33" s="42" t="s">
        <v>617</v>
      </c>
      <c r="B33" s="29">
        <f>2+1.5</f>
        <v>3.5</v>
      </c>
      <c r="I33" s="55">
        <v>0</v>
      </c>
      <c r="J33" s="56">
        <v>0</v>
      </c>
      <c r="K33" s="45"/>
      <c r="L33" s="45"/>
      <c r="M33" s="61">
        <v>3</v>
      </c>
      <c r="N33" s="45"/>
      <c r="O33" s="45">
        <f t="shared" si="0"/>
        <v>0</v>
      </c>
      <c r="P33" s="66">
        <v>9</v>
      </c>
      <c r="Q33" s="76">
        <f t="shared" si="1"/>
        <v>0</v>
      </c>
      <c r="R33" s="45"/>
      <c r="S33" s="45">
        <f t="shared" si="2"/>
        <v>0</v>
      </c>
      <c r="T33" s="67">
        <f t="shared" si="3"/>
        <v>9</v>
      </c>
      <c r="U33" s="76">
        <f t="shared" si="4"/>
        <v>0</v>
      </c>
    </row>
    <row r="34" spans="1:21" x14ac:dyDescent="0.25">
      <c r="A34" s="42" t="s">
        <v>618</v>
      </c>
      <c r="B34" s="29">
        <v>2</v>
      </c>
      <c r="I34" s="55">
        <v>0</v>
      </c>
      <c r="J34" s="56">
        <v>0</v>
      </c>
      <c r="K34" s="45"/>
      <c r="L34" s="45"/>
      <c r="M34" s="61">
        <v>3</v>
      </c>
      <c r="N34" s="45"/>
      <c r="O34" s="45">
        <f t="shared" ref="O34:O65" si="5">L34+N34</f>
        <v>0</v>
      </c>
      <c r="P34" s="66">
        <v>9</v>
      </c>
      <c r="Q34" s="76">
        <f t="shared" ref="Q34:Q65" si="6">O34/P34</f>
        <v>0</v>
      </c>
      <c r="R34" s="45"/>
      <c r="S34" s="45">
        <f t="shared" ref="S34:S65" si="7">R34+L34</f>
        <v>0</v>
      </c>
      <c r="T34" s="67">
        <f t="shared" ref="T34:T65" si="8">P34</f>
        <v>9</v>
      </c>
      <c r="U34" s="76">
        <f t="shared" ref="U34:U65" si="9">S34/T34</f>
        <v>0</v>
      </c>
    </row>
    <row r="35" spans="1:21" x14ac:dyDescent="0.25">
      <c r="A35" s="42" t="s">
        <v>619</v>
      </c>
      <c r="B35" s="29">
        <v>1</v>
      </c>
      <c r="I35" s="55">
        <v>0</v>
      </c>
      <c r="J35" s="56">
        <v>0</v>
      </c>
      <c r="K35" s="45"/>
      <c r="L35" s="45"/>
      <c r="M35" s="61">
        <v>3</v>
      </c>
      <c r="N35" s="45"/>
      <c r="O35" s="45">
        <f t="shared" si="5"/>
        <v>0</v>
      </c>
      <c r="P35" s="66">
        <v>9</v>
      </c>
      <c r="Q35" s="76">
        <f t="shared" si="6"/>
        <v>0</v>
      </c>
      <c r="R35" s="45"/>
      <c r="S35" s="45">
        <f t="shared" si="7"/>
        <v>0</v>
      </c>
      <c r="T35" s="67">
        <f t="shared" si="8"/>
        <v>9</v>
      </c>
      <c r="U35" s="76">
        <f t="shared" si="9"/>
        <v>0</v>
      </c>
    </row>
    <row r="36" spans="1:21" x14ac:dyDescent="0.25">
      <c r="I36" s="55">
        <v>0</v>
      </c>
      <c r="J36" s="56">
        <v>0</v>
      </c>
      <c r="K36" s="45"/>
      <c r="L36" s="45"/>
      <c r="M36" s="61">
        <v>3</v>
      </c>
      <c r="N36" s="68"/>
      <c r="O36" s="45">
        <f t="shared" si="5"/>
        <v>0</v>
      </c>
      <c r="P36" s="66">
        <v>9</v>
      </c>
      <c r="Q36" s="76">
        <f t="shared" si="6"/>
        <v>0</v>
      </c>
      <c r="R36" s="45"/>
      <c r="S36" s="45">
        <f t="shared" si="7"/>
        <v>0</v>
      </c>
      <c r="T36" s="67">
        <f t="shared" si="8"/>
        <v>9</v>
      </c>
      <c r="U36" s="76">
        <f t="shared" si="9"/>
        <v>0</v>
      </c>
    </row>
    <row r="37" spans="1:21" x14ac:dyDescent="0.25">
      <c r="I37" s="55">
        <v>0</v>
      </c>
      <c r="J37" s="56">
        <v>0</v>
      </c>
      <c r="K37" s="45"/>
      <c r="L37" s="45"/>
      <c r="M37" s="61">
        <v>3</v>
      </c>
      <c r="N37" s="45"/>
      <c r="O37" s="45">
        <f t="shared" si="5"/>
        <v>0</v>
      </c>
      <c r="P37" s="66">
        <v>9</v>
      </c>
      <c r="Q37" s="76">
        <f t="shared" si="6"/>
        <v>0</v>
      </c>
      <c r="R37" s="45"/>
      <c r="S37" s="45">
        <f t="shared" si="7"/>
        <v>0</v>
      </c>
      <c r="T37" s="67">
        <f t="shared" si="8"/>
        <v>9</v>
      </c>
      <c r="U37" s="76">
        <f t="shared" si="9"/>
        <v>0</v>
      </c>
    </row>
    <row r="38" spans="1:21" x14ac:dyDescent="0.25">
      <c r="I38" s="55">
        <v>0</v>
      </c>
      <c r="J38" s="56">
        <v>0</v>
      </c>
      <c r="K38" s="45"/>
      <c r="L38" s="45"/>
      <c r="M38" s="61">
        <v>3</v>
      </c>
      <c r="N38" s="45"/>
      <c r="O38" s="45">
        <f t="shared" si="5"/>
        <v>0</v>
      </c>
      <c r="P38" s="66">
        <v>9</v>
      </c>
      <c r="Q38" s="76">
        <f t="shared" si="6"/>
        <v>0</v>
      </c>
      <c r="R38" s="45"/>
      <c r="S38" s="45">
        <f t="shared" si="7"/>
        <v>0</v>
      </c>
      <c r="T38" s="67">
        <f t="shared" si="8"/>
        <v>9</v>
      </c>
      <c r="U38" s="76">
        <f t="shared" si="9"/>
        <v>0</v>
      </c>
    </row>
    <row r="39" spans="1:21" x14ac:dyDescent="0.25">
      <c r="I39" s="55">
        <v>0</v>
      </c>
      <c r="J39" s="56">
        <v>0</v>
      </c>
      <c r="K39" s="45"/>
      <c r="L39" s="45"/>
      <c r="M39" s="61">
        <v>3</v>
      </c>
      <c r="N39" s="45"/>
      <c r="O39" s="45">
        <f t="shared" si="5"/>
        <v>0</v>
      </c>
      <c r="P39" s="66">
        <v>9</v>
      </c>
      <c r="Q39" s="76">
        <f t="shared" si="6"/>
        <v>0</v>
      </c>
      <c r="R39" s="45"/>
      <c r="S39" s="45">
        <f t="shared" si="7"/>
        <v>0</v>
      </c>
      <c r="T39" s="67">
        <f t="shared" si="8"/>
        <v>9</v>
      </c>
      <c r="U39" s="76">
        <f t="shared" si="9"/>
        <v>0</v>
      </c>
    </row>
    <row r="40" spans="1:21" x14ac:dyDescent="0.25">
      <c r="I40" s="55">
        <v>0</v>
      </c>
      <c r="J40" s="56">
        <v>0</v>
      </c>
      <c r="K40" s="45"/>
      <c r="L40" s="45"/>
      <c r="M40" s="61">
        <v>3</v>
      </c>
      <c r="N40" s="45"/>
      <c r="O40" s="45">
        <f t="shared" si="5"/>
        <v>0</v>
      </c>
      <c r="P40" s="66">
        <v>9</v>
      </c>
      <c r="Q40" s="76">
        <f t="shared" si="6"/>
        <v>0</v>
      </c>
      <c r="R40" s="45"/>
      <c r="S40" s="45">
        <f t="shared" si="7"/>
        <v>0</v>
      </c>
      <c r="T40" s="67">
        <f t="shared" si="8"/>
        <v>9</v>
      </c>
      <c r="U40" s="76">
        <f t="shared" si="9"/>
        <v>0</v>
      </c>
    </row>
    <row r="41" spans="1:21" x14ac:dyDescent="0.25">
      <c r="I41" s="55">
        <v>0</v>
      </c>
      <c r="J41" s="56">
        <v>0</v>
      </c>
      <c r="K41" s="45"/>
      <c r="L41" s="45"/>
      <c r="M41" s="61">
        <v>3</v>
      </c>
      <c r="N41" s="68"/>
      <c r="O41" s="45">
        <f t="shared" si="5"/>
        <v>0</v>
      </c>
      <c r="P41" s="66">
        <v>9</v>
      </c>
      <c r="Q41" s="76">
        <f t="shared" si="6"/>
        <v>0</v>
      </c>
      <c r="R41" s="45"/>
      <c r="S41" s="45">
        <f t="shared" si="7"/>
        <v>0</v>
      </c>
      <c r="T41" s="67">
        <f t="shared" si="8"/>
        <v>9</v>
      </c>
      <c r="U41" s="76">
        <f t="shared" si="9"/>
        <v>0</v>
      </c>
    </row>
    <row r="42" spans="1:21" x14ac:dyDescent="0.25">
      <c r="I42" s="55">
        <v>0</v>
      </c>
      <c r="J42" s="56">
        <v>0</v>
      </c>
      <c r="K42" s="45"/>
      <c r="L42" s="45"/>
      <c r="M42" s="61">
        <v>3</v>
      </c>
      <c r="N42" s="45"/>
      <c r="O42" s="45">
        <f t="shared" si="5"/>
        <v>0</v>
      </c>
      <c r="P42" s="66">
        <v>9</v>
      </c>
      <c r="Q42" s="76">
        <f t="shared" si="6"/>
        <v>0</v>
      </c>
      <c r="R42" s="45"/>
      <c r="S42" s="45">
        <f t="shared" si="7"/>
        <v>0</v>
      </c>
      <c r="T42" s="67">
        <f t="shared" si="8"/>
        <v>9</v>
      </c>
      <c r="U42" s="76">
        <f t="shared" si="9"/>
        <v>0</v>
      </c>
    </row>
    <row r="43" spans="1:21" x14ac:dyDescent="0.25">
      <c r="I43" s="55">
        <v>0</v>
      </c>
      <c r="J43" s="56">
        <v>0</v>
      </c>
      <c r="K43" s="45"/>
      <c r="L43" s="45"/>
      <c r="M43" s="61">
        <v>3</v>
      </c>
      <c r="N43" s="45"/>
      <c r="O43" s="45">
        <f t="shared" si="5"/>
        <v>0</v>
      </c>
      <c r="P43" s="66">
        <v>9</v>
      </c>
      <c r="Q43" s="76">
        <f t="shared" si="6"/>
        <v>0</v>
      </c>
      <c r="R43" s="45"/>
      <c r="S43" s="45">
        <f t="shared" si="7"/>
        <v>0</v>
      </c>
      <c r="T43" s="67">
        <f t="shared" si="8"/>
        <v>9</v>
      </c>
      <c r="U43" s="76">
        <f t="shared" si="9"/>
        <v>0</v>
      </c>
    </row>
    <row r="44" spans="1:21" x14ac:dyDescent="0.25">
      <c r="I44" s="55">
        <v>0</v>
      </c>
      <c r="J44" s="56">
        <v>0</v>
      </c>
      <c r="K44" s="45"/>
      <c r="L44" s="45"/>
      <c r="M44" s="61">
        <v>3</v>
      </c>
      <c r="N44" s="45"/>
      <c r="O44" s="45">
        <f t="shared" si="5"/>
        <v>0</v>
      </c>
      <c r="P44" s="66">
        <v>9</v>
      </c>
      <c r="Q44" s="76">
        <f t="shared" si="6"/>
        <v>0</v>
      </c>
      <c r="R44" s="45"/>
      <c r="S44" s="45">
        <f t="shared" si="7"/>
        <v>0</v>
      </c>
      <c r="T44" s="67">
        <f t="shared" si="8"/>
        <v>9</v>
      </c>
      <c r="U44" s="76">
        <f t="shared" si="9"/>
        <v>0</v>
      </c>
    </row>
    <row r="45" spans="1:21" x14ac:dyDescent="0.25">
      <c r="I45" s="55">
        <v>0</v>
      </c>
      <c r="J45" s="56">
        <v>0</v>
      </c>
      <c r="K45" s="45"/>
      <c r="L45" s="45"/>
      <c r="M45" s="61">
        <v>3</v>
      </c>
      <c r="N45" s="45"/>
      <c r="O45" s="45">
        <f t="shared" si="5"/>
        <v>0</v>
      </c>
      <c r="P45" s="66">
        <v>9</v>
      </c>
      <c r="Q45" s="76">
        <f t="shared" si="6"/>
        <v>0</v>
      </c>
      <c r="R45" s="45"/>
      <c r="S45" s="45">
        <f t="shared" si="7"/>
        <v>0</v>
      </c>
      <c r="T45" s="67">
        <f t="shared" si="8"/>
        <v>9</v>
      </c>
      <c r="U45" s="76">
        <f t="shared" si="9"/>
        <v>0</v>
      </c>
    </row>
    <row r="46" spans="1:21" x14ac:dyDescent="0.25">
      <c r="I46" s="55">
        <v>0</v>
      </c>
      <c r="J46" s="56">
        <v>0</v>
      </c>
      <c r="K46" s="45"/>
      <c r="L46" s="45"/>
      <c r="M46" s="61">
        <v>3</v>
      </c>
      <c r="N46" s="45"/>
      <c r="O46" s="45">
        <f t="shared" si="5"/>
        <v>0</v>
      </c>
      <c r="P46" s="66">
        <v>9</v>
      </c>
      <c r="Q46" s="76">
        <f t="shared" si="6"/>
        <v>0</v>
      </c>
      <c r="R46" s="45"/>
      <c r="S46" s="45">
        <f t="shared" si="7"/>
        <v>0</v>
      </c>
      <c r="T46" s="67">
        <f t="shared" si="8"/>
        <v>9</v>
      </c>
      <c r="U46" s="76">
        <f t="shared" si="9"/>
        <v>0</v>
      </c>
    </row>
    <row r="47" spans="1:21" x14ac:dyDescent="0.25">
      <c r="I47" s="55">
        <v>0</v>
      </c>
      <c r="J47" s="56">
        <v>0</v>
      </c>
      <c r="K47" s="45"/>
      <c r="L47" s="45"/>
      <c r="M47" s="61">
        <v>3</v>
      </c>
      <c r="N47" s="68"/>
      <c r="O47" s="45">
        <f t="shared" si="5"/>
        <v>0</v>
      </c>
      <c r="P47" s="66">
        <v>9</v>
      </c>
      <c r="Q47" s="76">
        <f t="shared" si="6"/>
        <v>0</v>
      </c>
      <c r="R47" s="45"/>
      <c r="S47" s="45">
        <f t="shared" si="7"/>
        <v>0</v>
      </c>
      <c r="T47" s="67">
        <f t="shared" si="8"/>
        <v>9</v>
      </c>
      <c r="U47" s="76">
        <f t="shared" si="9"/>
        <v>0</v>
      </c>
    </row>
    <row r="48" spans="1:21" x14ac:dyDescent="0.25">
      <c r="I48" s="55">
        <v>0</v>
      </c>
      <c r="J48" s="56">
        <v>0</v>
      </c>
      <c r="K48" s="45"/>
      <c r="L48" s="45"/>
      <c r="M48" s="61">
        <v>3</v>
      </c>
      <c r="N48" s="45"/>
      <c r="O48" s="45">
        <f t="shared" si="5"/>
        <v>0</v>
      </c>
      <c r="P48" s="66">
        <v>9</v>
      </c>
      <c r="Q48" s="76">
        <f t="shared" si="6"/>
        <v>0</v>
      </c>
      <c r="R48" s="45"/>
      <c r="S48" s="45">
        <f t="shared" si="7"/>
        <v>0</v>
      </c>
      <c r="T48" s="67">
        <f t="shared" si="8"/>
        <v>9</v>
      </c>
      <c r="U48" s="76">
        <f t="shared" si="9"/>
        <v>0</v>
      </c>
    </row>
    <row r="49" spans="1:21" x14ac:dyDescent="0.25">
      <c r="I49" s="55">
        <v>0</v>
      </c>
      <c r="J49" s="56">
        <v>0</v>
      </c>
      <c r="K49" s="45"/>
      <c r="L49" s="45"/>
      <c r="M49" s="61">
        <v>3</v>
      </c>
      <c r="N49" s="45"/>
      <c r="O49" s="45">
        <f t="shared" si="5"/>
        <v>0</v>
      </c>
      <c r="P49" s="66">
        <v>9</v>
      </c>
      <c r="Q49" s="76">
        <f t="shared" si="6"/>
        <v>0</v>
      </c>
      <c r="R49" s="45"/>
      <c r="S49" s="45">
        <f t="shared" si="7"/>
        <v>0</v>
      </c>
      <c r="T49" s="67">
        <f t="shared" si="8"/>
        <v>9</v>
      </c>
      <c r="U49" s="76">
        <f t="shared" si="9"/>
        <v>0</v>
      </c>
    </row>
    <row r="50" spans="1:21" x14ac:dyDescent="0.25">
      <c r="A50" s="23"/>
      <c r="I50" s="55">
        <v>0</v>
      </c>
      <c r="J50" s="56">
        <v>0</v>
      </c>
      <c r="K50" s="45"/>
      <c r="L50" s="45"/>
      <c r="M50" s="61">
        <v>3</v>
      </c>
      <c r="N50" s="45"/>
      <c r="O50" s="45">
        <f t="shared" si="5"/>
        <v>0</v>
      </c>
      <c r="P50" s="66">
        <v>9</v>
      </c>
      <c r="Q50" s="76">
        <f t="shared" si="6"/>
        <v>0</v>
      </c>
      <c r="R50" s="45"/>
      <c r="S50" s="45">
        <f t="shared" si="7"/>
        <v>0</v>
      </c>
      <c r="T50" s="67">
        <f t="shared" si="8"/>
        <v>9</v>
      </c>
      <c r="U50" s="76">
        <f t="shared" si="9"/>
        <v>0</v>
      </c>
    </row>
    <row r="51" spans="1:21" x14ac:dyDescent="0.25">
      <c r="A51" s="23"/>
      <c r="I51" s="55">
        <v>0</v>
      </c>
      <c r="J51" s="56">
        <v>0</v>
      </c>
      <c r="K51" s="45"/>
      <c r="L51" s="45"/>
      <c r="M51" s="61">
        <v>3</v>
      </c>
      <c r="N51" s="45"/>
      <c r="O51" s="45">
        <f t="shared" si="5"/>
        <v>0</v>
      </c>
      <c r="P51" s="66">
        <v>9</v>
      </c>
      <c r="Q51" s="76">
        <f t="shared" si="6"/>
        <v>0</v>
      </c>
      <c r="R51" s="45"/>
      <c r="S51" s="45">
        <f t="shared" si="7"/>
        <v>0</v>
      </c>
      <c r="T51" s="67">
        <f t="shared" si="8"/>
        <v>9</v>
      </c>
      <c r="U51" s="76">
        <f t="shared" si="9"/>
        <v>0</v>
      </c>
    </row>
    <row r="52" spans="1:21" x14ac:dyDescent="0.25">
      <c r="A52" s="23"/>
      <c r="I52" s="55">
        <v>0</v>
      </c>
      <c r="J52" s="56">
        <v>0</v>
      </c>
      <c r="K52" s="45"/>
      <c r="L52" s="45"/>
      <c r="M52" s="61">
        <v>3</v>
      </c>
      <c r="N52" s="68"/>
      <c r="O52" s="45">
        <f t="shared" si="5"/>
        <v>0</v>
      </c>
      <c r="P52" s="66">
        <v>9</v>
      </c>
      <c r="Q52" s="76">
        <f t="shared" si="6"/>
        <v>0</v>
      </c>
      <c r="R52" s="45"/>
      <c r="S52" s="45">
        <f t="shared" si="7"/>
        <v>0</v>
      </c>
      <c r="T52" s="67">
        <f t="shared" si="8"/>
        <v>9</v>
      </c>
      <c r="U52" s="76">
        <f t="shared" si="9"/>
        <v>0</v>
      </c>
    </row>
    <row r="53" spans="1:21" x14ac:dyDescent="0.25">
      <c r="I53" s="55">
        <v>0</v>
      </c>
      <c r="J53" s="56">
        <v>0</v>
      </c>
      <c r="K53" s="45"/>
      <c r="L53" s="45"/>
      <c r="M53" s="61">
        <v>3</v>
      </c>
      <c r="N53" s="45"/>
      <c r="O53" s="45">
        <f t="shared" si="5"/>
        <v>0</v>
      </c>
      <c r="P53" s="66">
        <v>9</v>
      </c>
      <c r="Q53" s="76">
        <f t="shared" si="6"/>
        <v>0</v>
      </c>
      <c r="R53" s="45"/>
      <c r="S53" s="45">
        <f t="shared" si="7"/>
        <v>0</v>
      </c>
      <c r="T53" s="67">
        <f t="shared" si="8"/>
        <v>9</v>
      </c>
      <c r="U53" s="76">
        <f t="shared" si="9"/>
        <v>0</v>
      </c>
    </row>
    <row r="54" spans="1:21" x14ac:dyDescent="0.25">
      <c r="I54" s="55">
        <v>0</v>
      </c>
      <c r="J54" s="56">
        <v>0</v>
      </c>
      <c r="K54" s="45"/>
      <c r="L54" s="45"/>
      <c r="M54" s="61">
        <v>3</v>
      </c>
      <c r="N54" s="45"/>
      <c r="O54" s="45">
        <f t="shared" si="5"/>
        <v>0</v>
      </c>
      <c r="P54" s="66">
        <v>9</v>
      </c>
      <c r="Q54" s="76">
        <f t="shared" si="6"/>
        <v>0</v>
      </c>
      <c r="R54" s="45"/>
      <c r="S54" s="45">
        <f t="shared" si="7"/>
        <v>0</v>
      </c>
      <c r="T54" s="67">
        <f t="shared" si="8"/>
        <v>9</v>
      </c>
      <c r="U54" s="76">
        <f t="shared" si="9"/>
        <v>0</v>
      </c>
    </row>
    <row r="55" spans="1:21" x14ac:dyDescent="0.25">
      <c r="I55" s="55">
        <v>0</v>
      </c>
      <c r="J55" s="56">
        <v>0</v>
      </c>
      <c r="K55" s="45"/>
      <c r="L55" s="45"/>
      <c r="M55" s="61">
        <v>3</v>
      </c>
      <c r="N55" s="45"/>
      <c r="O55" s="45">
        <f t="shared" si="5"/>
        <v>0</v>
      </c>
      <c r="P55" s="66">
        <v>9</v>
      </c>
      <c r="Q55" s="76">
        <f t="shared" si="6"/>
        <v>0</v>
      </c>
      <c r="R55" s="45"/>
      <c r="S55" s="45">
        <f t="shared" si="7"/>
        <v>0</v>
      </c>
      <c r="T55" s="67">
        <f t="shared" si="8"/>
        <v>9</v>
      </c>
      <c r="U55" s="76">
        <f t="shared" si="9"/>
        <v>0</v>
      </c>
    </row>
    <row r="56" spans="1:21" x14ac:dyDescent="0.25">
      <c r="I56" s="55">
        <v>0</v>
      </c>
      <c r="J56" s="56">
        <v>0</v>
      </c>
      <c r="K56" s="45"/>
      <c r="L56" s="45"/>
      <c r="M56" s="61">
        <v>3</v>
      </c>
      <c r="N56" s="45"/>
      <c r="O56" s="45">
        <f t="shared" si="5"/>
        <v>0</v>
      </c>
      <c r="P56" s="66">
        <v>9</v>
      </c>
      <c r="Q56" s="76">
        <f t="shared" si="6"/>
        <v>0</v>
      </c>
      <c r="R56" s="45"/>
      <c r="S56" s="45">
        <f t="shared" si="7"/>
        <v>0</v>
      </c>
      <c r="T56" s="67">
        <f t="shared" si="8"/>
        <v>9</v>
      </c>
      <c r="U56" s="76">
        <f t="shared" si="9"/>
        <v>0</v>
      </c>
    </row>
    <row r="57" spans="1:21" x14ac:dyDescent="0.25">
      <c r="A57" s="23"/>
      <c r="I57" s="55">
        <v>0</v>
      </c>
      <c r="J57" s="56">
        <v>0</v>
      </c>
      <c r="K57" s="45"/>
      <c r="L57" s="45"/>
      <c r="M57" s="61">
        <v>3</v>
      </c>
      <c r="N57" s="45"/>
      <c r="O57" s="45">
        <f t="shared" si="5"/>
        <v>0</v>
      </c>
      <c r="P57" s="66">
        <v>9</v>
      </c>
      <c r="Q57" s="76">
        <f t="shared" si="6"/>
        <v>0</v>
      </c>
      <c r="R57" s="45"/>
      <c r="S57" s="45">
        <f t="shared" si="7"/>
        <v>0</v>
      </c>
      <c r="T57" s="67">
        <f t="shared" si="8"/>
        <v>9</v>
      </c>
      <c r="U57" s="76">
        <f t="shared" si="9"/>
        <v>0</v>
      </c>
    </row>
    <row r="58" spans="1:21" x14ac:dyDescent="0.25">
      <c r="A58" s="23"/>
      <c r="I58" s="55">
        <v>0</v>
      </c>
      <c r="J58" s="56">
        <v>0</v>
      </c>
      <c r="K58" s="45"/>
      <c r="L58" s="45"/>
      <c r="M58" s="61">
        <v>3</v>
      </c>
      <c r="N58" s="68"/>
      <c r="O58" s="45">
        <f t="shared" si="5"/>
        <v>0</v>
      </c>
      <c r="P58" s="66">
        <v>9</v>
      </c>
      <c r="Q58" s="76">
        <f t="shared" si="6"/>
        <v>0</v>
      </c>
      <c r="R58" s="45"/>
      <c r="S58" s="45">
        <f t="shared" si="7"/>
        <v>0</v>
      </c>
      <c r="T58" s="67">
        <f t="shared" si="8"/>
        <v>9</v>
      </c>
      <c r="U58" s="76">
        <f t="shared" si="9"/>
        <v>0</v>
      </c>
    </row>
    <row r="59" spans="1:21" x14ac:dyDescent="0.25">
      <c r="A59" s="23"/>
      <c r="I59" s="55">
        <v>0</v>
      </c>
      <c r="J59" s="56">
        <v>0</v>
      </c>
      <c r="K59" s="45"/>
      <c r="L59" s="45"/>
      <c r="M59" s="61">
        <v>3</v>
      </c>
      <c r="N59" s="45"/>
      <c r="O59" s="45">
        <f t="shared" si="5"/>
        <v>0</v>
      </c>
      <c r="P59" s="66">
        <v>9</v>
      </c>
      <c r="Q59" s="76">
        <f t="shared" si="6"/>
        <v>0</v>
      </c>
      <c r="R59" s="45"/>
      <c r="S59" s="45">
        <f t="shared" si="7"/>
        <v>0</v>
      </c>
      <c r="T59" s="67">
        <f t="shared" si="8"/>
        <v>9</v>
      </c>
      <c r="U59" s="76">
        <f t="shared" si="9"/>
        <v>0</v>
      </c>
    </row>
    <row r="60" spans="1:21" x14ac:dyDescent="0.25">
      <c r="I60" s="55">
        <v>0</v>
      </c>
      <c r="J60" s="56">
        <v>0</v>
      </c>
      <c r="K60" s="45"/>
      <c r="L60" s="45"/>
      <c r="M60" s="61">
        <v>3</v>
      </c>
      <c r="N60" s="45"/>
      <c r="O60" s="45">
        <f t="shared" si="5"/>
        <v>0</v>
      </c>
      <c r="P60" s="66">
        <v>9</v>
      </c>
      <c r="Q60" s="76">
        <f t="shared" si="6"/>
        <v>0</v>
      </c>
      <c r="R60" s="45"/>
      <c r="S60" s="45">
        <f t="shared" si="7"/>
        <v>0</v>
      </c>
      <c r="T60" s="67">
        <f t="shared" si="8"/>
        <v>9</v>
      </c>
      <c r="U60" s="76">
        <f t="shared" si="9"/>
        <v>0</v>
      </c>
    </row>
    <row r="61" spans="1:21" x14ac:dyDescent="0.25">
      <c r="I61" s="55">
        <v>0</v>
      </c>
      <c r="J61" s="56">
        <v>0</v>
      </c>
      <c r="K61" s="45"/>
      <c r="L61" s="45"/>
      <c r="M61" s="61">
        <v>3</v>
      </c>
      <c r="N61" s="45"/>
      <c r="O61" s="45">
        <f t="shared" si="5"/>
        <v>0</v>
      </c>
      <c r="P61" s="66">
        <v>9</v>
      </c>
      <c r="Q61" s="76">
        <f t="shared" si="6"/>
        <v>0</v>
      </c>
      <c r="R61" s="45"/>
      <c r="S61" s="45">
        <f t="shared" si="7"/>
        <v>0</v>
      </c>
      <c r="T61" s="67">
        <f t="shared" si="8"/>
        <v>9</v>
      </c>
      <c r="U61" s="76">
        <f t="shared" si="9"/>
        <v>0</v>
      </c>
    </row>
    <row r="62" spans="1:21" x14ac:dyDescent="0.25">
      <c r="I62" s="55">
        <v>0</v>
      </c>
      <c r="J62" s="56">
        <v>0</v>
      </c>
      <c r="K62" s="45"/>
      <c r="L62" s="45"/>
      <c r="M62" s="61">
        <v>3</v>
      </c>
      <c r="N62" s="45"/>
      <c r="O62" s="45">
        <f t="shared" si="5"/>
        <v>0</v>
      </c>
      <c r="P62" s="66">
        <v>9</v>
      </c>
      <c r="Q62" s="76">
        <f t="shared" si="6"/>
        <v>0</v>
      </c>
      <c r="R62" s="45"/>
      <c r="S62" s="45">
        <f t="shared" si="7"/>
        <v>0</v>
      </c>
      <c r="T62" s="67">
        <f t="shared" si="8"/>
        <v>9</v>
      </c>
      <c r="U62" s="76">
        <f t="shared" si="9"/>
        <v>0</v>
      </c>
    </row>
    <row r="63" spans="1:21" x14ac:dyDescent="0.25">
      <c r="I63" s="55">
        <v>0</v>
      </c>
      <c r="J63" s="56">
        <v>0</v>
      </c>
      <c r="K63" s="45"/>
      <c r="L63" s="45"/>
      <c r="M63" s="61">
        <v>3</v>
      </c>
      <c r="N63" s="68"/>
      <c r="O63" s="45">
        <f t="shared" si="5"/>
        <v>0</v>
      </c>
      <c r="P63" s="66">
        <v>9</v>
      </c>
      <c r="Q63" s="76">
        <f t="shared" si="6"/>
        <v>0</v>
      </c>
      <c r="R63" s="45"/>
      <c r="S63" s="45">
        <f t="shared" si="7"/>
        <v>0</v>
      </c>
      <c r="T63" s="67">
        <f t="shared" si="8"/>
        <v>9</v>
      </c>
      <c r="U63" s="76">
        <f t="shared" si="9"/>
        <v>0</v>
      </c>
    </row>
    <row r="64" spans="1:21" x14ac:dyDescent="0.25">
      <c r="I64" s="55">
        <v>0</v>
      </c>
      <c r="J64" s="56">
        <v>0</v>
      </c>
      <c r="K64" s="45"/>
      <c r="L64" s="45"/>
      <c r="M64" s="61">
        <v>3</v>
      </c>
      <c r="N64" s="45"/>
      <c r="O64" s="45">
        <f t="shared" si="5"/>
        <v>0</v>
      </c>
      <c r="P64" s="66">
        <v>9</v>
      </c>
      <c r="Q64" s="76">
        <f t="shared" si="6"/>
        <v>0</v>
      </c>
      <c r="R64" s="45"/>
      <c r="S64" s="45">
        <f t="shared" si="7"/>
        <v>0</v>
      </c>
      <c r="T64" s="67">
        <f t="shared" si="8"/>
        <v>9</v>
      </c>
      <c r="U64" s="76">
        <f t="shared" si="9"/>
        <v>0</v>
      </c>
    </row>
    <row r="65" spans="9:21" x14ac:dyDescent="0.25">
      <c r="I65" s="55">
        <v>0</v>
      </c>
      <c r="J65" s="56">
        <v>0</v>
      </c>
      <c r="K65" s="45"/>
      <c r="L65" s="45"/>
      <c r="M65" s="61">
        <v>3</v>
      </c>
      <c r="N65" s="45"/>
      <c r="O65" s="45">
        <f t="shared" si="5"/>
        <v>0</v>
      </c>
      <c r="P65" s="66">
        <v>9</v>
      </c>
      <c r="Q65" s="76">
        <f t="shared" si="6"/>
        <v>0</v>
      </c>
      <c r="R65" s="45"/>
      <c r="S65" s="45">
        <f t="shared" si="7"/>
        <v>0</v>
      </c>
      <c r="T65" s="67">
        <f t="shared" si="8"/>
        <v>9</v>
      </c>
      <c r="U65" s="76">
        <f t="shared" si="9"/>
        <v>0</v>
      </c>
    </row>
    <row r="66" spans="9:21" x14ac:dyDescent="0.25">
      <c r="I66" s="55">
        <v>0</v>
      </c>
      <c r="J66" s="56">
        <v>0</v>
      </c>
      <c r="K66" s="45"/>
      <c r="L66" s="45"/>
      <c r="M66" s="61">
        <v>3</v>
      </c>
      <c r="N66" s="45"/>
      <c r="O66" s="45">
        <f t="shared" ref="O66:O76" si="10">L66+N66</f>
        <v>0</v>
      </c>
      <c r="P66" s="66">
        <v>9</v>
      </c>
      <c r="Q66" s="76">
        <f t="shared" ref="Q66:Q76" si="11">O66/P66</f>
        <v>0</v>
      </c>
      <c r="R66" s="45"/>
      <c r="S66" s="45">
        <f t="shared" ref="S66:S76" si="12">R66+L66</f>
        <v>0</v>
      </c>
      <c r="T66" s="67">
        <f t="shared" ref="T66:T76" si="13">P66</f>
        <v>9</v>
      </c>
      <c r="U66" s="76">
        <f t="shared" ref="U66:U76" si="14">S66/T66</f>
        <v>0</v>
      </c>
    </row>
    <row r="67" spans="9:21" x14ac:dyDescent="0.25">
      <c r="I67" s="55">
        <v>0</v>
      </c>
      <c r="J67" s="56">
        <v>0</v>
      </c>
      <c r="K67" s="45"/>
      <c r="L67" s="45"/>
      <c r="M67" s="61">
        <v>3</v>
      </c>
      <c r="N67" s="45"/>
      <c r="O67" s="45">
        <f t="shared" si="10"/>
        <v>0</v>
      </c>
      <c r="P67" s="66">
        <v>9</v>
      </c>
      <c r="Q67" s="76">
        <f t="shared" si="11"/>
        <v>0</v>
      </c>
      <c r="R67" s="45"/>
      <c r="S67" s="45">
        <f t="shared" si="12"/>
        <v>0</v>
      </c>
      <c r="T67" s="67">
        <f t="shared" si="13"/>
        <v>9</v>
      </c>
      <c r="U67" s="76">
        <f t="shared" si="14"/>
        <v>0</v>
      </c>
    </row>
    <row r="68" spans="9:21" x14ac:dyDescent="0.25">
      <c r="I68" s="55">
        <v>0</v>
      </c>
      <c r="J68" s="56">
        <v>0</v>
      </c>
      <c r="K68" s="45"/>
      <c r="L68" s="45"/>
      <c r="M68" s="61">
        <v>3</v>
      </c>
      <c r="N68" s="45"/>
      <c r="O68" s="45">
        <f t="shared" si="10"/>
        <v>0</v>
      </c>
      <c r="P68" s="66">
        <v>9</v>
      </c>
      <c r="Q68" s="76">
        <f t="shared" si="11"/>
        <v>0</v>
      </c>
      <c r="R68" s="45"/>
      <c r="S68" s="45">
        <f t="shared" si="12"/>
        <v>0</v>
      </c>
      <c r="T68" s="67">
        <f t="shared" si="13"/>
        <v>9</v>
      </c>
      <c r="U68" s="76">
        <f t="shared" si="14"/>
        <v>0</v>
      </c>
    </row>
    <row r="69" spans="9:21" x14ac:dyDescent="0.25">
      <c r="I69" s="55">
        <v>0</v>
      </c>
      <c r="J69" s="56">
        <v>0</v>
      </c>
      <c r="K69" s="45"/>
      <c r="L69" s="45"/>
      <c r="M69" s="61">
        <v>3</v>
      </c>
      <c r="N69" s="68"/>
      <c r="O69" s="45">
        <f t="shared" si="10"/>
        <v>0</v>
      </c>
      <c r="P69" s="66">
        <v>9</v>
      </c>
      <c r="Q69" s="76">
        <f t="shared" si="11"/>
        <v>0</v>
      </c>
      <c r="R69" s="45"/>
      <c r="S69" s="45">
        <f t="shared" si="12"/>
        <v>0</v>
      </c>
      <c r="T69" s="67">
        <f t="shared" si="13"/>
        <v>9</v>
      </c>
      <c r="U69" s="76">
        <f t="shared" si="14"/>
        <v>0</v>
      </c>
    </row>
    <row r="70" spans="9:21" x14ac:dyDescent="0.25">
      <c r="I70" s="55">
        <v>0</v>
      </c>
      <c r="J70" s="56">
        <v>0</v>
      </c>
      <c r="K70" s="45"/>
      <c r="L70" s="45"/>
      <c r="M70" s="61">
        <v>3</v>
      </c>
      <c r="N70" s="45"/>
      <c r="O70" s="45">
        <f t="shared" si="10"/>
        <v>0</v>
      </c>
      <c r="P70" s="66">
        <v>9</v>
      </c>
      <c r="Q70" s="76">
        <f t="shared" si="11"/>
        <v>0</v>
      </c>
      <c r="R70" s="45"/>
      <c r="S70" s="45">
        <f t="shared" si="12"/>
        <v>0</v>
      </c>
      <c r="T70" s="67">
        <f t="shared" si="13"/>
        <v>9</v>
      </c>
      <c r="U70" s="76">
        <f t="shared" si="14"/>
        <v>0</v>
      </c>
    </row>
    <row r="71" spans="9:21" x14ac:dyDescent="0.25">
      <c r="I71" s="55">
        <v>0</v>
      </c>
      <c r="J71" s="56">
        <v>0</v>
      </c>
      <c r="K71" s="45"/>
      <c r="L71" s="45"/>
      <c r="M71" s="61">
        <v>3</v>
      </c>
      <c r="N71" s="45"/>
      <c r="O71" s="45">
        <f t="shared" si="10"/>
        <v>0</v>
      </c>
      <c r="P71" s="66">
        <v>9</v>
      </c>
      <c r="Q71" s="76">
        <f t="shared" si="11"/>
        <v>0</v>
      </c>
      <c r="R71" s="45"/>
      <c r="S71" s="45">
        <f t="shared" si="12"/>
        <v>0</v>
      </c>
      <c r="T71" s="67">
        <f t="shared" si="13"/>
        <v>9</v>
      </c>
      <c r="U71" s="76">
        <f t="shared" si="14"/>
        <v>0</v>
      </c>
    </row>
    <row r="72" spans="9:21" x14ac:dyDescent="0.25">
      <c r="I72" s="55">
        <v>0</v>
      </c>
      <c r="J72" s="56">
        <v>0</v>
      </c>
      <c r="K72" s="45"/>
      <c r="L72" s="45"/>
      <c r="M72" s="61">
        <v>3</v>
      </c>
      <c r="N72" s="45"/>
      <c r="O72" s="45">
        <f t="shared" si="10"/>
        <v>0</v>
      </c>
      <c r="P72" s="66">
        <v>9</v>
      </c>
      <c r="Q72" s="76">
        <f t="shared" si="11"/>
        <v>0</v>
      </c>
      <c r="R72" s="45"/>
      <c r="S72" s="45">
        <f t="shared" si="12"/>
        <v>0</v>
      </c>
      <c r="T72" s="67">
        <f t="shared" si="13"/>
        <v>9</v>
      </c>
      <c r="U72" s="76">
        <f t="shared" si="14"/>
        <v>0</v>
      </c>
    </row>
    <row r="73" spans="9:21" x14ac:dyDescent="0.25">
      <c r="I73" s="55">
        <v>0</v>
      </c>
      <c r="J73" s="56">
        <v>0</v>
      </c>
      <c r="K73" s="45"/>
      <c r="L73" s="45"/>
      <c r="M73" s="61">
        <v>3</v>
      </c>
      <c r="N73" s="45"/>
      <c r="O73" s="45">
        <f t="shared" si="10"/>
        <v>0</v>
      </c>
      <c r="P73" s="66">
        <v>9</v>
      </c>
      <c r="Q73" s="76">
        <f t="shared" si="11"/>
        <v>0</v>
      </c>
      <c r="R73" s="45"/>
      <c r="S73" s="45">
        <f t="shared" si="12"/>
        <v>0</v>
      </c>
      <c r="T73" s="67">
        <f t="shared" si="13"/>
        <v>9</v>
      </c>
      <c r="U73" s="76">
        <f t="shared" si="14"/>
        <v>0</v>
      </c>
    </row>
    <row r="74" spans="9:21" x14ac:dyDescent="0.25">
      <c r="I74" s="55">
        <v>0</v>
      </c>
      <c r="J74" s="56">
        <v>0</v>
      </c>
      <c r="K74" s="45"/>
      <c r="L74" s="45"/>
      <c r="M74" s="61">
        <v>3</v>
      </c>
      <c r="N74" s="68"/>
      <c r="O74" s="45">
        <f t="shared" si="10"/>
        <v>0</v>
      </c>
      <c r="P74" s="66">
        <v>9</v>
      </c>
      <c r="Q74" s="76">
        <f t="shared" si="11"/>
        <v>0</v>
      </c>
      <c r="R74" s="45"/>
      <c r="S74" s="45">
        <f t="shared" si="12"/>
        <v>0</v>
      </c>
      <c r="T74" s="67">
        <f t="shared" si="13"/>
        <v>9</v>
      </c>
      <c r="U74" s="76">
        <f t="shared" si="14"/>
        <v>0</v>
      </c>
    </row>
    <row r="75" spans="9:21" x14ac:dyDescent="0.25">
      <c r="I75" s="55">
        <v>0</v>
      </c>
      <c r="J75" s="56">
        <v>0</v>
      </c>
      <c r="K75" s="45"/>
      <c r="L75" s="45"/>
      <c r="M75" s="61">
        <v>3</v>
      </c>
      <c r="N75" s="45"/>
      <c r="O75" s="45">
        <f t="shared" si="10"/>
        <v>0</v>
      </c>
      <c r="P75" s="66">
        <v>9</v>
      </c>
      <c r="Q75" s="76">
        <f t="shared" si="11"/>
        <v>0</v>
      </c>
      <c r="R75" s="45"/>
      <c r="S75" s="45">
        <f t="shared" si="12"/>
        <v>0</v>
      </c>
      <c r="T75" s="67">
        <f t="shared" si="13"/>
        <v>9</v>
      </c>
      <c r="U75" s="76">
        <f t="shared" si="14"/>
        <v>0</v>
      </c>
    </row>
    <row r="76" spans="9:21" x14ac:dyDescent="0.25">
      <c r="I76" s="55">
        <v>0</v>
      </c>
      <c r="J76" s="56">
        <v>0</v>
      </c>
      <c r="K76" s="45"/>
      <c r="L76" s="45"/>
      <c r="M76" s="61">
        <v>3</v>
      </c>
      <c r="N76" s="45"/>
      <c r="O76" s="45">
        <f t="shared" si="10"/>
        <v>0</v>
      </c>
      <c r="P76" s="66">
        <v>9</v>
      </c>
      <c r="Q76" s="76">
        <f t="shared" si="11"/>
        <v>0</v>
      </c>
      <c r="R76" s="45"/>
      <c r="S76" s="45">
        <f t="shared" si="12"/>
        <v>0</v>
      </c>
      <c r="T76" s="67">
        <f t="shared" si="13"/>
        <v>9</v>
      </c>
      <c r="U76" s="76">
        <f t="shared" si="14"/>
        <v>0</v>
      </c>
    </row>
  </sheetData>
  <mergeCells count="5">
    <mergeCell ref="A1:D1"/>
    <mergeCell ref="A2:A3"/>
    <mergeCell ref="B2:B3"/>
    <mergeCell ref="C2:C3"/>
    <mergeCell ref="D2:D3"/>
  </mergeCells>
  <conditionalFormatting sqref="J2:J76">
    <cfRule type="colorScale" priority="1">
      <colorScale>
        <cfvo type="min"/>
        <cfvo type="max"/>
        <color rgb="FFFCFCFF"/>
        <color rgb="FFF8696B"/>
      </colorScale>
    </cfRule>
  </conditionalFormatting>
  <conditionalFormatting sqref="I2:I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{1EF1B2DA-9543-9B15-5455-0608B434234E}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F1B2DA-9543-9B15-5455-0608B43423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I2:I76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51930-5309-49E5-A706-E55A1526C801}">
  <sheetPr>
    <tabColor rgb="FF60497A"/>
  </sheetPr>
  <dimension ref="A1:AO21"/>
  <sheetViews>
    <sheetView workbookViewId="0">
      <pane ySplit="2" topLeftCell="A3" activePane="bottomLeft" state="frozen"/>
      <selection pane="bottomLeft" activeCell="AE3" sqref="AE3"/>
    </sheetView>
  </sheetViews>
  <sheetFormatPr baseColWidth="10" defaultColWidth="10.7109375" defaultRowHeight="15" x14ac:dyDescent="0.25"/>
  <cols>
    <col min="1" max="1" width="26" customWidth="1"/>
    <col min="2" max="2" width="5.42578125" customWidth="1"/>
    <col min="3" max="3" width="4.7109375" customWidth="1"/>
    <col min="4" max="4" width="6" style="42" customWidth="1"/>
    <col min="5" max="5" width="4.140625" customWidth="1"/>
    <col min="6" max="6" width="7.42578125" customWidth="1"/>
    <col min="7" max="7" width="4.5703125" customWidth="1"/>
    <col min="8" max="14" width="5.5703125" customWidth="1"/>
    <col min="15" max="15" width="7.42578125" customWidth="1"/>
    <col min="16" max="16" width="7.85546875" customWidth="1"/>
    <col min="17" max="17" width="7.42578125" customWidth="1"/>
    <col min="18" max="18" width="5.5703125" customWidth="1"/>
    <col min="19" max="19" width="6.42578125" customWidth="1"/>
    <col min="20" max="20" width="6.85546875" customWidth="1"/>
    <col min="21" max="21" width="6.42578125" customWidth="1"/>
    <col min="22" max="22" width="7.42578125" customWidth="1"/>
    <col min="23" max="23" width="7.85546875" customWidth="1"/>
    <col min="24" max="24" width="7.42578125" customWidth="1"/>
    <col min="25" max="25" width="5.5703125" customWidth="1"/>
    <col min="26" max="26" width="6.42578125" customWidth="1"/>
    <col min="27" max="27" width="6.85546875" customWidth="1"/>
    <col min="28" max="28" width="6.42578125" customWidth="1"/>
    <col min="29" max="29" width="6.5703125" style="284" customWidth="1"/>
    <col min="30" max="30" width="7.140625" style="284" customWidth="1"/>
    <col min="31" max="32" width="7.140625" style="285" customWidth="1"/>
    <col min="33" max="34" width="9" style="284" customWidth="1"/>
    <col min="35" max="36" width="8.42578125" style="284" customWidth="1"/>
    <col min="37" max="41" width="10.7109375" style="284"/>
  </cols>
  <sheetData>
    <row r="1" spans="1:41" s="41" customFormat="1" x14ac:dyDescent="0.25">
      <c r="D1" s="43"/>
      <c r="O1" s="41" t="s">
        <v>625</v>
      </c>
      <c r="P1"/>
      <c r="Q1"/>
      <c r="R1"/>
      <c r="S1"/>
      <c r="T1"/>
      <c r="U1"/>
      <c r="V1" s="41" t="s">
        <v>626</v>
      </c>
      <c r="W1"/>
      <c r="X1"/>
      <c r="Y1"/>
      <c r="Z1"/>
      <c r="AA1"/>
      <c r="AB1"/>
      <c r="AC1" s="285"/>
      <c r="AD1" s="285"/>
      <c r="AE1" s="285"/>
      <c r="AF1" s="285"/>
      <c r="AG1" s="285"/>
      <c r="AH1" s="285"/>
      <c r="AI1" s="285"/>
      <c r="AJ1" s="285"/>
      <c r="AK1" s="285"/>
      <c r="AL1" s="285"/>
      <c r="AM1" s="285"/>
      <c r="AN1" s="285"/>
      <c r="AO1" s="285"/>
    </row>
    <row r="2" spans="1:41" x14ac:dyDescent="0.25">
      <c r="A2" s="253" t="s">
        <v>180</v>
      </c>
      <c r="B2" s="253" t="s">
        <v>632</v>
      </c>
      <c r="C2" s="254" t="s">
        <v>111</v>
      </c>
      <c r="D2" s="255" t="s">
        <v>294</v>
      </c>
      <c r="E2" s="256" t="s">
        <v>656</v>
      </c>
      <c r="F2" s="257" t="s">
        <v>119</v>
      </c>
      <c r="G2" s="258" t="s">
        <v>521</v>
      </c>
      <c r="H2" s="259" t="s">
        <v>151</v>
      </c>
      <c r="I2" s="259" t="s">
        <v>186</v>
      </c>
      <c r="J2" s="259" t="s">
        <v>187</v>
      </c>
      <c r="K2" s="259" t="s">
        <v>318</v>
      </c>
      <c r="L2" s="259" t="s">
        <v>189</v>
      </c>
      <c r="M2" s="259" t="s">
        <v>190</v>
      </c>
      <c r="N2" s="260" t="s">
        <v>191</v>
      </c>
      <c r="O2" s="34" t="s">
        <v>639</v>
      </c>
      <c r="P2" s="34" t="s">
        <v>640</v>
      </c>
      <c r="Q2" s="34" t="s">
        <v>639</v>
      </c>
      <c r="R2" s="34" t="s">
        <v>170</v>
      </c>
      <c r="S2" s="34" t="s">
        <v>641</v>
      </c>
      <c r="T2" s="34" t="s">
        <v>642</v>
      </c>
      <c r="U2" s="34" t="s">
        <v>641</v>
      </c>
      <c r="V2" s="34" t="s">
        <v>639</v>
      </c>
      <c r="W2" s="34" t="s">
        <v>640</v>
      </c>
      <c r="X2" s="34" t="s">
        <v>639</v>
      </c>
      <c r="Y2" s="34" t="s">
        <v>170</v>
      </c>
      <c r="Z2" s="34" t="s">
        <v>641</v>
      </c>
      <c r="AA2" s="34" t="s">
        <v>642</v>
      </c>
      <c r="AB2" s="34" t="s">
        <v>641</v>
      </c>
      <c r="AC2" s="308" t="s">
        <v>657</v>
      </c>
      <c r="AD2" s="309" t="s">
        <v>297</v>
      </c>
      <c r="AE2" s="300" t="s">
        <v>659</v>
      </c>
      <c r="AF2" s="301" t="s">
        <v>658</v>
      </c>
      <c r="AG2" s="300" t="s">
        <v>662</v>
      </c>
      <c r="AH2" s="301" t="s">
        <v>661</v>
      </c>
      <c r="AI2" s="298" t="s">
        <v>665</v>
      </c>
      <c r="AJ2" s="298" t="s">
        <v>664</v>
      </c>
    </row>
    <row r="3" spans="1:41" x14ac:dyDescent="0.25">
      <c r="A3" s="246" t="s">
        <v>766</v>
      </c>
      <c r="B3" s="271">
        <v>32</v>
      </c>
      <c r="C3" s="25">
        <v>85</v>
      </c>
      <c r="E3" s="272">
        <v>3</v>
      </c>
      <c r="F3" s="273">
        <v>1</v>
      </c>
      <c r="G3" s="274">
        <v>9</v>
      </c>
      <c r="H3" s="36">
        <v>0</v>
      </c>
      <c r="I3" s="36">
        <v>6</v>
      </c>
      <c r="J3" s="36">
        <v>13</v>
      </c>
      <c r="K3" s="36">
        <v>7</v>
      </c>
      <c r="L3" s="36">
        <v>12</v>
      </c>
      <c r="M3" s="36">
        <v>5</v>
      </c>
      <c r="N3" s="275">
        <v>16</v>
      </c>
      <c r="O3" s="27">
        <f t="shared" ref="O3:O21" si="0">((I3+F3+(LOG(G3)*4/3))*0.27)</f>
        <v>2.2335273033981569</v>
      </c>
      <c r="P3" s="27">
        <f t="shared" ref="P3:P21" si="1">((I3+F3+(LOG(G3)*4/3))*0.594)</f>
        <v>4.9137600674759447</v>
      </c>
      <c r="Q3" s="27">
        <f t="shared" ref="Q3:Q21" si="2">O3/2</f>
        <v>1.1167636516990784</v>
      </c>
      <c r="R3" s="27">
        <f t="shared" ref="R3:R21" si="3">((J3+F3+(LOG(G3)*4/3))*0.944)</f>
        <v>14.41707323854763</v>
      </c>
      <c r="S3" s="27">
        <f t="shared" ref="S3:S21" si="4">((L3+F3+(LOG(G3)*4/3))*0.13)</f>
        <v>1.8554020349694831</v>
      </c>
      <c r="T3" s="27">
        <f t="shared" ref="T3:T21" si="5">((M3+F3+(LOG(G3)*4/3))*0.173)+((L3+F3+(LOG(G3)*4/3))*0.12)</f>
        <v>2.9707907403542961</v>
      </c>
      <c r="U3" s="27">
        <f t="shared" ref="U3:U21" si="6">S3/2</f>
        <v>0.92770101748474154</v>
      </c>
      <c r="V3" s="27">
        <f t="shared" ref="V3:V21" si="7">((I3+F3+(LOG(G3)*4/3))*0.189)</f>
        <v>1.5634691123787099</v>
      </c>
      <c r="W3" s="27">
        <f t="shared" ref="W3:W21" si="8">((I3+F3+(LOG(G3)*4/3))*0.4)</f>
        <v>3.3089293383676401</v>
      </c>
      <c r="X3" s="27">
        <f t="shared" ref="X3:X21" si="9">V3/2</f>
        <v>0.78173455618935495</v>
      </c>
      <c r="Y3" s="27">
        <f t="shared" ref="Y3:Y21" si="10">((J3+F3+(LOG(G3)*4/3))*1)</f>
        <v>15.2723233459191</v>
      </c>
      <c r="Z3" s="27">
        <f t="shared" ref="Z3:Z21" si="11">((L3+F3+(LOG(G3)*4/3))*0.253)</f>
        <v>3.6108978065175323</v>
      </c>
      <c r="AA3" s="27">
        <f t="shared" ref="AA3:AA21" si="12">((M3+F3+(LOG(G3)*4/3))*0.21)+((L3+F3+(LOG(G3)*4/3))*0.341)</f>
        <v>6.394050163601424</v>
      </c>
      <c r="AB3" s="27">
        <f t="shared" ref="AB3:AB21" si="13">Z3/2</f>
        <v>1.8054489032587662</v>
      </c>
      <c r="AC3" s="286">
        <v>1475</v>
      </c>
      <c r="AD3" s="287">
        <v>14.1</v>
      </c>
      <c r="AE3" s="285">
        <v>850</v>
      </c>
      <c r="AF3" s="302">
        <v>700</v>
      </c>
      <c r="AG3" s="297">
        <f t="shared" ref="AG3:AG21" si="14">AC3+(AD3*16*(34-B3-((112-C3)/112)))-AE3</f>
        <v>1021.8142857142857</v>
      </c>
      <c r="AH3" s="305">
        <f t="shared" ref="AH3:AH21" si="15">AC3+(AD3*16*(36-B3-((112-C3)/112)))-AF3</f>
        <v>1623.0142857142855</v>
      </c>
      <c r="AI3" s="297">
        <f t="shared" ref="AI3:AI21" si="16">(AG3)/(34-B3+((112-C3)/112))</f>
        <v>455.94900398406378</v>
      </c>
      <c r="AJ3" s="297">
        <f t="shared" ref="AJ3:AJ21" si="17">(AH3)/(36-B3+((112-C3)/112))</f>
        <v>382.68968421052625</v>
      </c>
    </row>
    <row r="4" spans="1:41" x14ac:dyDescent="0.25">
      <c r="A4" s="246" t="s">
        <v>1553</v>
      </c>
      <c r="B4" s="187">
        <v>31</v>
      </c>
      <c r="C4" s="25">
        <v>61</v>
      </c>
      <c r="D4" s="42" t="s">
        <v>164</v>
      </c>
      <c r="E4" s="245">
        <v>1</v>
      </c>
      <c r="F4" s="247">
        <v>1</v>
      </c>
      <c r="G4" s="248">
        <v>8</v>
      </c>
      <c r="H4" s="36">
        <v>0</v>
      </c>
      <c r="I4" s="36">
        <v>5</v>
      </c>
      <c r="J4" s="36">
        <v>14</v>
      </c>
      <c r="K4" s="36">
        <v>2</v>
      </c>
      <c r="L4" s="36">
        <v>11</v>
      </c>
      <c r="M4" s="36">
        <v>9</v>
      </c>
      <c r="N4" s="249">
        <v>11</v>
      </c>
      <c r="O4" s="27">
        <f t="shared" si="0"/>
        <v>1.9451123953170999</v>
      </c>
      <c r="P4" s="27">
        <f t="shared" si="1"/>
        <v>4.2792472696976196</v>
      </c>
      <c r="Q4" s="27">
        <f t="shared" si="2"/>
        <v>0.97255619765854995</v>
      </c>
      <c r="R4" s="27">
        <f t="shared" si="3"/>
        <v>15.296689263627192</v>
      </c>
      <c r="S4" s="27">
        <f t="shared" si="4"/>
        <v>1.7165355977452703</v>
      </c>
      <c r="T4" s="27">
        <f t="shared" si="5"/>
        <v>3.5228071549181861</v>
      </c>
      <c r="U4" s="27">
        <f t="shared" si="6"/>
        <v>0.85826779887263516</v>
      </c>
      <c r="V4" s="27">
        <f t="shared" si="7"/>
        <v>1.3615786767219697</v>
      </c>
      <c r="W4" s="27">
        <f t="shared" si="8"/>
        <v>2.8816479930623702</v>
      </c>
      <c r="X4" s="27">
        <f t="shared" si="9"/>
        <v>0.68078933836098487</v>
      </c>
      <c r="Y4" s="27">
        <f t="shared" si="10"/>
        <v>16.204119982655925</v>
      </c>
      <c r="Z4" s="27">
        <f t="shared" si="11"/>
        <v>3.3406423556119491</v>
      </c>
      <c r="AA4" s="27">
        <f t="shared" si="12"/>
        <v>6.8554701104434148</v>
      </c>
      <c r="AB4" s="27">
        <f t="shared" si="13"/>
        <v>1.6703211778059746</v>
      </c>
      <c r="AC4" s="286">
        <v>2000</v>
      </c>
      <c r="AD4" s="287">
        <v>22.4</v>
      </c>
      <c r="AE4" s="285">
        <v>1550</v>
      </c>
      <c r="AF4" s="302">
        <v>550</v>
      </c>
      <c r="AG4" s="297">
        <f t="shared" si="14"/>
        <v>1362</v>
      </c>
      <c r="AH4" s="305">
        <f t="shared" si="15"/>
        <v>3078.7999999999997</v>
      </c>
      <c r="AI4" s="297">
        <f t="shared" si="16"/>
        <v>394.17054263565893</v>
      </c>
      <c r="AJ4" s="297">
        <f t="shared" si="17"/>
        <v>564.36268412438619</v>
      </c>
    </row>
    <row r="5" spans="1:41" x14ac:dyDescent="0.25">
      <c r="A5" s="246" t="s">
        <v>1554</v>
      </c>
      <c r="B5" s="271">
        <v>32</v>
      </c>
      <c r="C5" s="25">
        <v>25</v>
      </c>
      <c r="D5" s="42" t="s">
        <v>164</v>
      </c>
      <c r="E5" s="272">
        <v>0</v>
      </c>
      <c r="F5" s="273">
        <v>1</v>
      </c>
      <c r="G5" s="274">
        <v>8</v>
      </c>
      <c r="H5" s="36">
        <v>0</v>
      </c>
      <c r="I5" s="36">
        <v>9</v>
      </c>
      <c r="J5" s="36">
        <v>13</v>
      </c>
      <c r="K5" s="36">
        <v>5</v>
      </c>
      <c r="L5" s="36">
        <v>10</v>
      </c>
      <c r="M5" s="36">
        <v>7</v>
      </c>
      <c r="N5" s="275">
        <v>7</v>
      </c>
      <c r="O5" s="27">
        <f t="shared" si="0"/>
        <v>3.0251123953171</v>
      </c>
      <c r="P5" s="27">
        <f t="shared" si="1"/>
        <v>6.655247269697619</v>
      </c>
      <c r="Q5" s="27">
        <f t="shared" si="2"/>
        <v>1.51255619765855</v>
      </c>
      <c r="R5" s="27">
        <f t="shared" si="3"/>
        <v>14.352689263627193</v>
      </c>
      <c r="S5" s="27">
        <f t="shared" si="4"/>
        <v>1.5865355977452702</v>
      </c>
      <c r="T5" s="27">
        <f t="shared" si="5"/>
        <v>3.0568071549181859</v>
      </c>
      <c r="U5" s="27">
        <f t="shared" si="6"/>
        <v>0.7932677988726351</v>
      </c>
      <c r="V5" s="27">
        <f t="shared" si="7"/>
        <v>2.11757867672197</v>
      </c>
      <c r="W5" s="27">
        <f t="shared" si="8"/>
        <v>4.4816479930623698</v>
      </c>
      <c r="X5" s="27">
        <f t="shared" si="9"/>
        <v>1.058789338360985</v>
      </c>
      <c r="Y5" s="27">
        <f t="shared" si="10"/>
        <v>15.204119982655925</v>
      </c>
      <c r="Z5" s="27">
        <f t="shared" si="11"/>
        <v>3.087642355611949</v>
      </c>
      <c r="AA5" s="27">
        <f t="shared" si="12"/>
        <v>6.0944701104434147</v>
      </c>
      <c r="AB5" s="27">
        <f t="shared" si="13"/>
        <v>1.5438211778059745</v>
      </c>
      <c r="AC5" s="286">
        <v>1475</v>
      </c>
      <c r="AD5" s="287">
        <v>10.9</v>
      </c>
      <c r="AE5" s="285">
        <v>560</v>
      </c>
      <c r="AF5" s="302">
        <v>489</v>
      </c>
      <c r="AG5" s="297">
        <f t="shared" si="14"/>
        <v>1128.3285714285714</v>
      </c>
      <c r="AH5" s="305">
        <f t="shared" si="15"/>
        <v>1548.1285714285714</v>
      </c>
      <c r="AI5" s="297">
        <f t="shared" si="16"/>
        <v>406.34340836012859</v>
      </c>
      <c r="AJ5" s="297">
        <f t="shared" si="17"/>
        <v>324.09420560747662</v>
      </c>
    </row>
    <row r="6" spans="1:41" x14ac:dyDescent="0.25">
      <c r="A6" s="246" t="s">
        <v>1555</v>
      </c>
      <c r="B6" s="271">
        <v>32</v>
      </c>
      <c r="C6" s="25">
        <v>61</v>
      </c>
      <c r="D6" s="42" t="s">
        <v>164</v>
      </c>
      <c r="E6" s="272">
        <v>2</v>
      </c>
      <c r="F6" s="273">
        <v>1</v>
      </c>
      <c r="G6" s="274">
        <v>8</v>
      </c>
      <c r="H6" s="36">
        <v>0</v>
      </c>
      <c r="I6" s="36">
        <v>2</v>
      </c>
      <c r="J6" s="36">
        <v>14</v>
      </c>
      <c r="K6" s="36">
        <v>10</v>
      </c>
      <c r="L6" s="36">
        <v>13</v>
      </c>
      <c r="M6" s="36">
        <v>9</v>
      </c>
      <c r="N6" s="275">
        <v>11</v>
      </c>
      <c r="O6" s="27">
        <f t="shared" si="0"/>
        <v>1.1351123953170998</v>
      </c>
      <c r="P6" s="27">
        <f t="shared" si="1"/>
        <v>2.4972472696976191</v>
      </c>
      <c r="Q6" s="27">
        <f t="shared" si="2"/>
        <v>0.56755619765854992</v>
      </c>
      <c r="R6" s="27">
        <f t="shared" si="3"/>
        <v>15.296689263627192</v>
      </c>
      <c r="S6" s="27">
        <f t="shared" si="4"/>
        <v>1.9765355977452703</v>
      </c>
      <c r="T6" s="27">
        <f t="shared" si="5"/>
        <v>3.7628071549181858</v>
      </c>
      <c r="U6" s="27">
        <f t="shared" si="6"/>
        <v>0.98826779887263516</v>
      </c>
      <c r="V6" s="27">
        <f t="shared" si="7"/>
        <v>0.7945786767219698</v>
      </c>
      <c r="W6" s="27">
        <f t="shared" si="8"/>
        <v>1.68164799306237</v>
      </c>
      <c r="X6" s="27">
        <f t="shared" si="9"/>
        <v>0.3972893383609849</v>
      </c>
      <c r="Y6" s="27">
        <f t="shared" si="10"/>
        <v>16.204119982655925</v>
      </c>
      <c r="Z6" s="27">
        <f t="shared" si="11"/>
        <v>3.8466423556119489</v>
      </c>
      <c r="AA6" s="27">
        <f t="shared" si="12"/>
        <v>7.5374701104434152</v>
      </c>
      <c r="AB6" s="27">
        <f t="shared" si="13"/>
        <v>1.9233211778059744</v>
      </c>
      <c r="AC6" s="286">
        <v>2900</v>
      </c>
      <c r="AD6" s="287">
        <v>21.4</v>
      </c>
      <c r="AE6" s="285">
        <v>3000</v>
      </c>
      <c r="AF6" s="302">
        <v>1650</v>
      </c>
      <c r="AG6" s="297">
        <f t="shared" si="14"/>
        <v>428.88571428571413</v>
      </c>
      <c r="AH6" s="305">
        <f t="shared" si="15"/>
        <v>2463.6857142857143</v>
      </c>
      <c r="AI6" s="297">
        <f t="shared" si="16"/>
        <v>174.67345454545449</v>
      </c>
      <c r="AJ6" s="297">
        <f t="shared" si="17"/>
        <v>552.97154308617235</v>
      </c>
    </row>
    <row r="7" spans="1:41" x14ac:dyDescent="0.25">
      <c r="A7" s="246" t="s">
        <v>1556</v>
      </c>
      <c r="B7" s="187">
        <v>31</v>
      </c>
      <c r="C7" s="25">
        <v>107</v>
      </c>
      <c r="D7" s="42" t="s">
        <v>173</v>
      </c>
      <c r="E7" s="245">
        <v>2</v>
      </c>
      <c r="F7" s="247">
        <v>1</v>
      </c>
      <c r="G7" s="248">
        <v>11</v>
      </c>
      <c r="H7" s="36">
        <v>0</v>
      </c>
      <c r="I7" s="36">
        <v>3</v>
      </c>
      <c r="J7" s="36">
        <v>15</v>
      </c>
      <c r="K7" s="36">
        <v>3</v>
      </c>
      <c r="L7" s="36">
        <v>14</v>
      </c>
      <c r="M7" s="36">
        <v>9</v>
      </c>
      <c r="N7" s="249">
        <v>7</v>
      </c>
      <c r="O7" s="27">
        <f t="shared" si="0"/>
        <v>1.454901366656961</v>
      </c>
      <c r="P7" s="27">
        <f t="shared" si="1"/>
        <v>3.200783006645314</v>
      </c>
      <c r="Q7" s="27">
        <f t="shared" si="2"/>
        <v>0.72745068332848051</v>
      </c>
      <c r="R7" s="27">
        <f t="shared" si="3"/>
        <v>16.414766259719155</v>
      </c>
      <c r="S7" s="27">
        <f t="shared" si="4"/>
        <v>2.130508065427426</v>
      </c>
      <c r="T7" s="27">
        <f t="shared" si="5"/>
        <v>3.9368374090018134</v>
      </c>
      <c r="U7" s="27">
        <f t="shared" si="6"/>
        <v>1.065254032713713</v>
      </c>
      <c r="V7" s="27">
        <f t="shared" si="7"/>
        <v>1.0184309566598726</v>
      </c>
      <c r="W7" s="27">
        <f t="shared" si="8"/>
        <v>2.1554094320843866</v>
      </c>
      <c r="X7" s="27">
        <f t="shared" si="9"/>
        <v>0.5092154783299363</v>
      </c>
      <c r="Y7" s="27">
        <f t="shared" si="10"/>
        <v>17.388523580210968</v>
      </c>
      <c r="Z7" s="27">
        <f t="shared" si="11"/>
        <v>4.146296465793375</v>
      </c>
      <c r="AA7" s="27">
        <f t="shared" si="12"/>
        <v>7.9800764926962433</v>
      </c>
      <c r="AB7" s="27">
        <f t="shared" si="13"/>
        <v>2.0731482328966875</v>
      </c>
      <c r="AC7" s="286">
        <v>3600</v>
      </c>
      <c r="AD7" s="287">
        <v>37.9</v>
      </c>
      <c r="AE7" s="285">
        <v>2550</v>
      </c>
      <c r="AF7" s="302">
        <v>1600</v>
      </c>
      <c r="AG7" s="297">
        <f t="shared" si="14"/>
        <v>2842.1285714285714</v>
      </c>
      <c r="AH7" s="305">
        <f t="shared" si="15"/>
        <v>5004.9285714285716</v>
      </c>
      <c r="AI7" s="297">
        <f t="shared" si="16"/>
        <v>933.48504398826981</v>
      </c>
      <c r="AJ7" s="297">
        <f t="shared" si="17"/>
        <v>992.12743362831873</v>
      </c>
    </row>
    <row r="8" spans="1:41" x14ac:dyDescent="0.25">
      <c r="A8" s="246" t="s">
        <v>1557</v>
      </c>
      <c r="B8" s="187">
        <v>31</v>
      </c>
      <c r="C8" s="25">
        <v>80</v>
      </c>
      <c r="D8" s="42" t="s">
        <v>164</v>
      </c>
      <c r="E8" s="245">
        <v>5</v>
      </c>
      <c r="F8" s="247">
        <v>1</v>
      </c>
      <c r="G8" s="248">
        <v>8</v>
      </c>
      <c r="H8" s="36">
        <v>0</v>
      </c>
      <c r="I8" s="36">
        <v>5</v>
      </c>
      <c r="J8" s="36">
        <v>13</v>
      </c>
      <c r="K8" s="36">
        <v>3</v>
      </c>
      <c r="L8" s="36">
        <v>14</v>
      </c>
      <c r="M8" s="36">
        <v>13</v>
      </c>
      <c r="N8" s="249">
        <v>6</v>
      </c>
      <c r="O8" s="27">
        <f t="shared" si="0"/>
        <v>1.9451123953170999</v>
      </c>
      <c r="P8" s="27">
        <f t="shared" si="1"/>
        <v>4.2792472696976196</v>
      </c>
      <c r="Q8" s="27">
        <f t="shared" si="2"/>
        <v>0.97255619765854995</v>
      </c>
      <c r="R8" s="27">
        <f t="shared" si="3"/>
        <v>14.352689263627193</v>
      </c>
      <c r="S8" s="27">
        <f t="shared" si="4"/>
        <v>2.1065355977452702</v>
      </c>
      <c r="T8" s="27">
        <f t="shared" si="5"/>
        <v>4.5748071549181857</v>
      </c>
      <c r="U8" s="27">
        <f t="shared" si="6"/>
        <v>1.0532677988726351</v>
      </c>
      <c r="V8" s="27">
        <f t="shared" si="7"/>
        <v>1.3615786767219697</v>
      </c>
      <c r="W8" s="27">
        <f t="shared" si="8"/>
        <v>2.8816479930623702</v>
      </c>
      <c r="X8" s="27">
        <f t="shared" si="9"/>
        <v>0.68078933836098487</v>
      </c>
      <c r="Y8" s="27">
        <f t="shared" si="10"/>
        <v>15.204119982655925</v>
      </c>
      <c r="Z8" s="27">
        <f t="shared" si="11"/>
        <v>4.099642355611949</v>
      </c>
      <c r="AA8" s="27">
        <f t="shared" si="12"/>
        <v>8.7184701104434144</v>
      </c>
      <c r="AB8" s="27">
        <f t="shared" si="13"/>
        <v>2.0498211778059745</v>
      </c>
      <c r="AC8" s="286">
        <v>6200</v>
      </c>
      <c r="AD8" s="287">
        <v>30</v>
      </c>
      <c r="AE8" s="285">
        <v>3200</v>
      </c>
      <c r="AF8" s="302">
        <v>2650</v>
      </c>
      <c r="AG8" s="297">
        <f t="shared" si="14"/>
        <v>4302.8571428571431</v>
      </c>
      <c r="AH8" s="305">
        <f t="shared" si="15"/>
        <v>5812.8571428571431</v>
      </c>
      <c r="AI8" s="297">
        <f t="shared" si="16"/>
        <v>1309.5652173913045</v>
      </c>
      <c r="AJ8" s="297">
        <f t="shared" si="17"/>
        <v>1099.7297297297298</v>
      </c>
    </row>
    <row r="9" spans="1:41" x14ac:dyDescent="0.25">
      <c r="A9" s="246" t="s">
        <v>1558</v>
      </c>
      <c r="B9" s="187">
        <v>32</v>
      </c>
      <c r="C9" s="25">
        <v>76</v>
      </c>
      <c r="D9" s="42" t="s">
        <v>164</v>
      </c>
      <c r="E9" s="245">
        <v>0</v>
      </c>
      <c r="F9" s="247">
        <v>1</v>
      </c>
      <c r="G9" s="248">
        <v>8</v>
      </c>
      <c r="H9" s="36">
        <v>0</v>
      </c>
      <c r="I9" s="36">
        <v>2</v>
      </c>
      <c r="J9" s="36">
        <v>13</v>
      </c>
      <c r="K9" s="36">
        <v>1</v>
      </c>
      <c r="L9" s="36">
        <v>12</v>
      </c>
      <c r="M9" s="36">
        <v>9</v>
      </c>
      <c r="N9" s="249">
        <v>8</v>
      </c>
      <c r="O9" s="27">
        <f t="shared" si="0"/>
        <v>1.1351123953170998</v>
      </c>
      <c r="P9" s="27">
        <f t="shared" si="1"/>
        <v>2.4972472696976191</v>
      </c>
      <c r="Q9" s="27">
        <f t="shared" si="2"/>
        <v>0.56755619765854992</v>
      </c>
      <c r="R9" s="27">
        <f t="shared" si="3"/>
        <v>14.352689263627193</v>
      </c>
      <c r="S9" s="27">
        <f t="shared" si="4"/>
        <v>1.8465355977452702</v>
      </c>
      <c r="T9" s="27">
        <f t="shared" si="5"/>
        <v>3.6428071549181862</v>
      </c>
      <c r="U9" s="27">
        <f t="shared" si="6"/>
        <v>0.9232677988726351</v>
      </c>
      <c r="V9" s="27">
        <f t="shared" si="7"/>
        <v>0.7945786767219698</v>
      </c>
      <c r="W9" s="27">
        <f t="shared" si="8"/>
        <v>1.68164799306237</v>
      </c>
      <c r="X9" s="27">
        <f t="shared" si="9"/>
        <v>0.3972893383609849</v>
      </c>
      <c r="Y9" s="27">
        <f t="shared" si="10"/>
        <v>15.204119982655925</v>
      </c>
      <c r="Z9" s="27">
        <f t="shared" si="11"/>
        <v>3.5936423556119492</v>
      </c>
      <c r="AA9" s="27">
        <f t="shared" si="12"/>
        <v>7.1964701104434159</v>
      </c>
      <c r="AB9" s="27">
        <f t="shared" si="13"/>
        <v>1.7968211778059746</v>
      </c>
      <c r="AC9" s="286">
        <v>1550</v>
      </c>
      <c r="AD9" s="287">
        <v>15.9</v>
      </c>
      <c r="AE9" s="285">
        <v>800</v>
      </c>
      <c r="AF9" s="302">
        <v>610</v>
      </c>
      <c r="AG9" s="297">
        <f t="shared" si="14"/>
        <v>1177.0285714285715</v>
      </c>
      <c r="AH9" s="305">
        <f t="shared" si="15"/>
        <v>1875.8285714285712</v>
      </c>
      <c r="AI9" s="297">
        <f t="shared" si="16"/>
        <v>507.02769230769229</v>
      </c>
      <c r="AJ9" s="297">
        <f t="shared" si="17"/>
        <v>434.07603305785119</v>
      </c>
    </row>
    <row r="10" spans="1:41" x14ac:dyDescent="0.25">
      <c r="A10" s="246" t="s">
        <v>1559</v>
      </c>
      <c r="B10" s="187">
        <v>30</v>
      </c>
      <c r="C10" s="25">
        <v>61</v>
      </c>
      <c r="D10" s="42" t="s">
        <v>164</v>
      </c>
      <c r="E10" s="245">
        <v>3</v>
      </c>
      <c r="F10" s="247">
        <v>1</v>
      </c>
      <c r="G10" s="248">
        <v>7</v>
      </c>
      <c r="H10" s="36">
        <v>0</v>
      </c>
      <c r="I10" s="36">
        <v>2</v>
      </c>
      <c r="J10" s="36">
        <v>14</v>
      </c>
      <c r="K10" s="36">
        <v>1</v>
      </c>
      <c r="L10" s="36">
        <v>8</v>
      </c>
      <c r="M10" s="36">
        <v>7</v>
      </c>
      <c r="N10" s="249">
        <v>1</v>
      </c>
      <c r="O10" s="27">
        <f t="shared" si="0"/>
        <v>1.1142352944051324</v>
      </c>
      <c r="P10" s="27">
        <f t="shared" si="1"/>
        <v>2.4513176476912912</v>
      </c>
      <c r="Q10" s="27">
        <f t="shared" si="2"/>
        <v>0.55711764720256618</v>
      </c>
      <c r="R10" s="27">
        <f t="shared" si="3"/>
        <v>15.223696733031279</v>
      </c>
      <c r="S10" s="27">
        <f t="shared" si="4"/>
        <v>1.3164836602691379</v>
      </c>
      <c r="T10" s="27">
        <f t="shared" si="5"/>
        <v>2.7941516342989026</v>
      </c>
      <c r="U10" s="27">
        <f t="shared" si="6"/>
        <v>0.65824183013456894</v>
      </c>
      <c r="V10" s="27">
        <f t="shared" si="7"/>
        <v>0.77996470608359258</v>
      </c>
      <c r="W10" s="27">
        <f t="shared" si="8"/>
        <v>1.6507189546742702</v>
      </c>
      <c r="X10" s="27">
        <f t="shared" si="9"/>
        <v>0.38998235304179629</v>
      </c>
      <c r="Y10" s="27">
        <f t="shared" si="10"/>
        <v>16.126797386685677</v>
      </c>
      <c r="Z10" s="27">
        <f t="shared" si="11"/>
        <v>2.5620797388314758</v>
      </c>
      <c r="AA10" s="27">
        <f t="shared" si="12"/>
        <v>5.3698653600638071</v>
      </c>
      <c r="AB10" s="27">
        <f t="shared" si="13"/>
        <v>1.2810398694157379</v>
      </c>
      <c r="AC10" s="286">
        <v>1200</v>
      </c>
      <c r="AD10" s="287">
        <v>27</v>
      </c>
      <c r="AE10" s="285">
        <v>250</v>
      </c>
      <c r="AF10" s="302">
        <v>230</v>
      </c>
      <c r="AG10" s="297">
        <f t="shared" si="14"/>
        <v>2481.2857142857142</v>
      </c>
      <c r="AH10" s="305">
        <f t="shared" si="15"/>
        <v>3365.2857142857142</v>
      </c>
      <c r="AI10" s="297">
        <f t="shared" si="16"/>
        <v>556.92184368737469</v>
      </c>
      <c r="AJ10" s="297">
        <f t="shared" si="17"/>
        <v>521.3167358229598</v>
      </c>
    </row>
    <row r="11" spans="1:41" x14ac:dyDescent="0.25">
      <c r="A11" s="246" t="s">
        <v>1560</v>
      </c>
      <c r="B11" s="187">
        <v>29</v>
      </c>
      <c r="C11" s="25">
        <v>94</v>
      </c>
      <c r="D11" s="42" t="s">
        <v>164</v>
      </c>
      <c r="E11" s="245">
        <v>2</v>
      </c>
      <c r="F11" s="247">
        <v>1</v>
      </c>
      <c r="G11" s="248">
        <v>7</v>
      </c>
      <c r="H11" s="36">
        <v>0</v>
      </c>
      <c r="I11" s="36">
        <v>5</v>
      </c>
      <c r="J11" s="36">
        <v>13</v>
      </c>
      <c r="K11" s="36">
        <v>2</v>
      </c>
      <c r="L11" s="36">
        <v>9</v>
      </c>
      <c r="M11" s="36">
        <v>8</v>
      </c>
      <c r="N11" s="249">
        <v>0</v>
      </c>
      <c r="O11" s="27">
        <f t="shared" si="0"/>
        <v>1.9242352944051324</v>
      </c>
      <c r="P11" s="27">
        <f t="shared" si="1"/>
        <v>4.2333176476912913</v>
      </c>
      <c r="Q11" s="27">
        <f t="shared" si="2"/>
        <v>0.96211764720256621</v>
      </c>
      <c r="R11" s="27">
        <f t="shared" si="3"/>
        <v>14.279696733031276</v>
      </c>
      <c r="S11" s="27">
        <f t="shared" si="4"/>
        <v>1.4464836602691378</v>
      </c>
      <c r="T11" s="27">
        <f t="shared" si="5"/>
        <v>3.0871516342989027</v>
      </c>
      <c r="U11" s="27">
        <f t="shared" si="6"/>
        <v>0.72324183013456889</v>
      </c>
      <c r="V11" s="27">
        <f t="shared" si="7"/>
        <v>1.3469647060835925</v>
      </c>
      <c r="W11" s="27">
        <f t="shared" si="8"/>
        <v>2.8507189546742704</v>
      </c>
      <c r="X11" s="27">
        <f t="shared" si="9"/>
        <v>0.67348235304179627</v>
      </c>
      <c r="Y11" s="27">
        <f t="shared" si="10"/>
        <v>15.126797386685675</v>
      </c>
      <c r="Z11" s="27">
        <f t="shared" si="11"/>
        <v>2.8150797388314759</v>
      </c>
      <c r="AA11" s="27">
        <f t="shared" si="12"/>
        <v>5.9208653600638073</v>
      </c>
      <c r="AB11" s="27">
        <f t="shared" si="13"/>
        <v>1.4075398694157379</v>
      </c>
      <c r="AC11" s="286">
        <v>2000</v>
      </c>
      <c r="AD11" s="287">
        <v>22</v>
      </c>
      <c r="AE11" s="285">
        <v>430</v>
      </c>
      <c r="AF11" s="302">
        <v>300</v>
      </c>
      <c r="AG11" s="297">
        <f t="shared" si="14"/>
        <v>3273.4285714285716</v>
      </c>
      <c r="AH11" s="305">
        <f t="shared" si="15"/>
        <v>4107.4285714285716</v>
      </c>
      <c r="AI11" s="297">
        <f t="shared" si="16"/>
        <v>634.29757785467132</v>
      </c>
      <c r="AJ11" s="297">
        <f t="shared" si="17"/>
        <v>573.60598503740653</v>
      </c>
    </row>
    <row r="12" spans="1:41" x14ac:dyDescent="0.25">
      <c r="A12" s="246"/>
      <c r="B12" s="187"/>
      <c r="C12" s="25"/>
      <c r="E12" s="245"/>
      <c r="F12" s="247"/>
      <c r="G12" s="248"/>
      <c r="H12" s="36"/>
      <c r="I12" s="36"/>
      <c r="J12" s="36"/>
      <c r="K12" s="36"/>
      <c r="L12" s="36"/>
      <c r="M12" s="36"/>
      <c r="N12" s="249"/>
      <c r="O12" s="27" t="e">
        <f t="shared" si="0"/>
        <v>#NUM!</v>
      </c>
      <c r="P12" s="27" t="e">
        <f t="shared" si="1"/>
        <v>#NUM!</v>
      </c>
      <c r="Q12" s="27" t="e">
        <f t="shared" si="2"/>
        <v>#NUM!</v>
      </c>
      <c r="R12" s="27" t="e">
        <f t="shared" si="3"/>
        <v>#NUM!</v>
      </c>
      <c r="S12" s="27" t="e">
        <f t="shared" si="4"/>
        <v>#NUM!</v>
      </c>
      <c r="T12" s="27" t="e">
        <f t="shared" si="5"/>
        <v>#NUM!</v>
      </c>
      <c r="U12" s="27" t="e">
        <f t="shared" si="6"/>
        <v>#NUM!</v>
      </c>
      <c r="V12" s="27" t="e">
        <f t="shared" si="7"/>
        <v>#NUM!</v>
      </c>
      <c r="W12" s="27" t="e">
        <f t="shared" si="8"/>
        <v>#NUM!</v>
      </c>
      <c r="X12" s="27" t="e">
        <f t="shared" si="9"/>
        <v>#NUM!</v>
      </c>
      <c r="Y12" s="27" t="e">
        <f t="shared" si="10"/>
        <v>#NUM!</v>
      </c>
      <c r="Z12" s="27" t="e">
        <f t="shared" si="11"/>
        <v>#NUM!</v>
      </c>
      <c r="AA12" s="27" t="e">
        <f t="shared" si="12"/>
        <v>#NUM!</v>
      </c>
      <c r="AB12" s="27" t="e">
        <f t="shared" si="13"/>
        <v>#NUM!</v>
      </c>
      <c r="AC12" s="286"/>
      <c r="AD12" s="287"/>
      <c r="AF12" s="302"/>
      <c r="AG12" s="297">
        <f t="shared" si="14"/>
        <v>0</v>
      </c>
      <c r="AH12" s="305">
        <f t="shared" si="15"/>
        <v>0</v>
      </c>
      <c r="AI12" s="297">
        <f t="shared" si="16"/>
        <v>0</v>
      </c>
      <c r="AJ12" s="297">
        <f t="shared" si="17"/>
        <v>0</v>
      </c>
    </row>
    <row r="13" spans="1:41" x14ac:dyDescent="0.25">
      <c r="A13" s="246"/>
      <c r="B13" s="187"/>
      <c r="C13" s="25"/>
      <c r="E13" s="245"/>
      <c r="F13" s="247"/>
      <c r="G13" s="248"/>
      <c r="H13" s="36"/>
      <c r="I13" s="36"/>
      <c r="J13" s="36"/>
      <c r="K13" s="36"/>
      <c r="L13" s="36"/>
      <c r="M13" s="36"/>
      <c r="N13" s="249"/>
      <c r="O13" s="27" t="e">
        <f t="shared" si="0"/>
        <v>#NUM!</v>
      </c>
      <c r="P13" s="27" t="e">
        <f t="shared" si="1"/>
        <v>#NUM!</v>
      </c>
      <c r="Q13" s="27" t="e">
        <f t="shared" si="2"/>
        <v>#NUM!</v>
      </c>
      <c r="R13" s="27" t="e">
        <f t="shared" si="3"/>
        <v>#NUM!</v>
      </c>
      <c r="S13" s="27" t="e">
        <f t="shared" si="4"/>
        <v>#NUM!</v>
      </c>
      <c r="T13" s="27" t="e">
        <f t="shared" si="5"/>
        <v>#NUM!</v>
      </c>
      <c r="U13" s="27" t="e">
        <f t="shared" si="6"/>
        <v>#NUM!</v>
      </c>
      <c r="V13" s="27" t="e">
        <f t="shared" si="7"/>
        <v>#NUM!</v>
      </c>
      <c r="W13" s="27" t="e">
        <f t="shared" si="8"/>
        <v>#NUM!</v>
      </c>
      <c r="X13" s="27" t="e">
        <f t="shared" si="9"/>
        <v>#NUM!</v>
      </c>
      <c r="Y13" s="27" t="e">
        <f t="shared" si="10"/>
        <v>#NUM!</v>
      </c>
      <c r="Z13" s="27" t="e">
        <f t="shared" si="11"/>
        <v>#NUM!</v>
      </c>
      <c r="AA13" s="27" t="e">
        <f t="shared" si="12"/>
        <v>#NUM!</v>
      </c>
      <c r="AB13" s="27" t="e">
        <f t="shared" si="13"/>
        <v>#NUM!</v>
      </c>
      <c r="AC13" s="286"/>
      <c r="AD13" s="287"/>
      <c r="AF13" s="302"/>
      <c r="AG13" s="297">
        <f t="shared" si="14"/>
        <v>0</v>
      </c>
      <c r="AH13" s="305">
        <f t="shared" si="15"/>
        <v>0</v>
      </c>
      <c r="AI13" s="297">
        <f t="shared" si="16"/>
        <v>0</v>
      </c>
      <c r="AJ13" s="297">
        <f t="shared" si="17"/>
        <v>0</v>
      </c>
    </row>
    <row r="14" spans="1:41" x14ac:dyDescent="0.25">
      <c r="A14" s="246"/>
      <c r="B14" s="187"/>
      <c r="C14" s="25"/>
      <c r="E14" s="245"/>
      <c r="F14" s="247"/>
      <c r="G14" s="248"/>
      <c r="H14" s="36"/>
      <c r="I14" s="36"/>
      <c r="J14" s="36"/>
      <c r="K14" s="36"/>
      <c r="L14" s="36"/>
      <c r="M14" s="36"/>
      <c r="N14" s="249"/>
      <c r="O14" s="27" t="e">
        <f t="shared" si="0"/>
        <v>#NUM!</v>
      </c>
      <c r="P14" s="27" t="e">
        <f t="shared" si="1"/>
        <v>#NUM!</v>
      </c>
      <c r="Q14" s="27" t="e">
        <f t="shared" si="2"/>
        <v>#NUM!</v>
      </c>
      <c r="R14" s="27" t="e">
        <f t="shared" si="3"/>
        <v>#NUM!</v>
      </c>
      <c r="S14" s="27" t="e">
        <f t="shared" si="4"/>
        <v>#NUM!</v>
      </c>
      <c r="T14" s="27" t="e">
        <f t="shared" si="5"/>
        <v>#NUM!</v>
      </c>
      <c r="U14" s="27" t="e">
        <f t="shared" si="6"/>
        <v>#NUM!</v>
      </c>
      <c r="V14" s="27" t="e">
        <f t="shared" si="7"/>
        <v>#NUM!</v>
      </c>
      <c r="W14" s="27" t="e">
        <f t="shared" si="8"/>
        <v>#NUM!</v>
      </c>
      <c r="X14" s="27" t="e">
        <f t="shared" si="9"/>
        <v>#NUM!</v>
      </c>
      <c r="Y14" s="27" t="e">
        <f t="shared" si="10"/>
        <v>#NUM!</v>
      </c>
      <c r="Z14" s="27" t="e">
        <f t="shared" si="11"/>
        <v>#NUM!</v>
      </c>
      <c r="AA14" s="27" t="e">
        <f t="shared" si="12"/>
        <v>#NUM!</v>
      </c>
      <c r="AB14" s="27" t="e">
        <f t="shared" si="13"/>
        <v>#NUM!</v>
      </c>
      <c r="AC14" s="286"/>
      <c r="AD14" s="287"/>
      <c r="AF14" s="302"/>
      <c r="AG14" s="297">
        <f t="shared" si="14"/>
        <v>0</v>
      </c>
      <c r="AH14" s="305">
        <f t="shared" si="15"/>
        <v>0</v>
      </c>
      <c r="AI14" s="297">
        <f t="shared" si="16"/>
        <v>0</v>
      </c>
      <c r="AJ14" s="297">
        <f t="shared" si="17"/>
        <v>0</v>
      </c>
    </row>
    <row r="15" spans="1:41" x14ac:dyDescent="0.25">
      <c r="A15" s="246"/>
      <c r="B15" s="187"/>
      <c r="C15" s="25"/>
      <c r="E15" s="245"/>
      <c r="F15" s="247"/>
      <c r="G15" s="248"/>
      <c r="H15" s="36"/>
      <c r="I15" s="36"/>
      <c r="J15" s="36"/>
      <c r="K15" s="36"/>
      <c r="L15" s="36"/>
      <c r="M15" s="36"/>
      <c r="N15" s="249"/>
      <c r="O15" s="27" t="e">
        <f t="shared" si="0"/>
        <v>#NUM!</v>
      </c>
      <c r="P15" s="27" t="e">
        <f t="shared" si="1"/>
        <v>#NUM!</v>
      </c>
      <c r="Q15" s="27" t="e">
        <f t="shared" si="2"/>
        <v>#NUM!</v>
      </c>
      <c r="R15" s="27" t="e">
        <f t="shared" si="3"/>
        <v>#NUM!</v>
      </c>
      <c r="S15" s="27" t="e">
        <f t="shared" si="4"/>
        <v>#NUM!</v>
      </c>
      <c r="T15" s="27" t="e">
        <f t="shared" si="5"/>
        <v>#NUM!</v>
      </c>
      <c r="U15" s="27" t="e">
        <f t="shared" si="6"/>
        <v>#NUM!</v>
      </c>
      <c r="V15" s="27" t="e">
        <f t="shared" si="7"/>
        <v>#NUM!</v>
      </c>
      <c r="W15" s="27" t="e">
        <f t="shared" si="8"/>
        <v>#NUM!</v>
      </c>
      <c r="X15" s="27" t="e">
        <f t="shared" si="9"/>
        <v>#NUM!</v>
      </c>
      <c r="Y15" s="27" t="e">
        <f t="shared" si="10"/>
        <v>#NUM!</v>
      </c>
      <c r="Z15" s="27" t="e">
        <f t="shared" si="11"/>
        <v>#NUM!</v>
      </c>
      <c r="AA15" s="27" t="e">
        <f t="shared" si="12"/>
        <v>#NUM!</v>
      </c>
      <c r="AB15" s="27" t="e">
        <f t="shared" si="13"/>
        <v>#NUM!</v>
      </c>
      <c r="AC15" s="310"/>
      <c r="AD15" s="287"/>
      <c r="AF15" s="302"/>
      <c r="AG15" s="297">
        <f t="shared" si="14"/>
        <v>0</v>
      </c>
      <c r="AH15" s="305">
        <f t="shared" si="15"/>
        <v>0</v>
      </c>
      <c r="AI15" s="297">
        <f t="shared" si="16"/>
        <v>0</v>
      </c>
      <c r="AJ15" s="297">
        <f t="shared" si="17"/>
        <v>0</v>
      </c>
      <c r="AK15" s="299"/>
      <c r="AL15" s="299"/>
    </row>
    <row r="16" spans="1:41" x14ac:dyDescent="0.25">
      <c r="A16" s="246"/>
      <c r="B16" s="187"/>
      <c r="C16" s="25"/>
      <c r="E16" s="245"/>
      <c r="F16" s="247"/>
      <c r="G16" s="248"/>
      <c r="H16" s="36"/>
      <c r="I16" s="36"/>
      <c r="J16" s="36"/>
      <c r="K16" s="36"/>
      <c r="L16" s="36"/>
      <c r="M16" s="36"/>
      <c r="N16" s="249"/>
      <c r="O16" s="27" t="e">
        <f t="shared" si="0"/>
        <v>#NUM!</v>
      </c>
      <c r="P16" s="27" t="e">
        <f t="shared" si="1"/>
        <v>#NUM!</v>
      </c>
      <c r="Q16" s="27" t="e">
        <f t="shared" si="2"/>
        <v>#NUM!</v>
      </c>
      <c r="R16" s="27" t="e">
        <f t="shared" si="3"/>
        <v>#NUM!</v>
      </c>
      <c r="S16" s="27" t="e">
        <f t="shared" si="4"/>
        <v>#NUM!</v>
      </c>
      <c r="T16" s="27" t="e">
        <f t="shared" si="5"/>
        <v>#NUM!</v>
      </c>
      <c r="U16" s="27" t="e">
        <f t="shared" si="6"/>
        <v>#NUM!</v>
      </c>
      <c r="V16" s="27" t="e">
        <f t="shared" si="7"/>
        <v>#NUM!</v>
      </c>
      <c r="W16" s="27" t="e">
        <f t="shared" si="8"/>
        <v>#NUM!</v>
      </c>
      <c r="X16" s="27" t="e">
        <f t="shared" si="9"/>
        <v>#NUM!</v>
      </c>
      <c r="Y16" s="27" t="e">
        <f t="shared" si="10"/>
        <v>#NUM!</v>
      </c>
      <c r="Z16" s="27" t="e">
        <f t="shared" si="11"/>
        <v>#NUM!</v>
      </c>
      <c r="AA16" s="27" t="e">
        <f t="shared" si="12"/>
        <v>#NUM!</v>
      </c>
      <c r="AB16" s="27" t="e">
        <f t="shared" si="13"/>
        <v>#NUM!</v>
      </c>
      <c r="AC16" s="286"/>
      <c r="AD16" s="287"/>
      <c r="AF16" s="302"/>
      <c r="AG16" s="297">
        <f t="shared" si="14"/>
        <v>0</v>
      </c>
      <c r="AH16" s="305">
        <f t="shared" si="15"/>
        <v>0</v>
      </c>
      <c r="AI16" s="297">
        <f t="shared" si="16"/>
        <v>0</v>
      </c>
      <c r="AJ16" s="297">
        <f t="shared" si="17"/>
        <v>0</v>
      </c>
    </row>
    <row r="17" spans="1:36" x14ac:dyDescent="0.25">
      <c r="A17" s="246"/>
      <c r="B17" s="187"/>
      <c r="C17" s="25"/>
      <c r="E17" s="245"/>
      <c r="F17" s="247"/>
      <c r="G17" s="248"/>
      <c r="H17" s="36"/>
      <c r="I17" s="36"/>
      <c r="J17" s="36"/>
      <c r="K17" s="36"/>
      <c r="L17" s="36"/>
      <c r="M17" s="36"/>
      <c r="N17" s="249"/>
      <c r="O17" s="27" t="e">
        <f t="shared" si="0"/>
        <v>#NUM!</v>
      </c>
      <c r="P17" s="27" t="e">
        <f t="shared" si="1"/>
        <v>#NUM!</v>
      </c>
      <c r="Q17" s="27" t="e">
        <f t="shared" si="2"/>
        <v>#NUM!</v>
      </c>
      <c r="R17" s="27" t="e">
        <f t="shared" si="3"/>
        <v>#NUM!</v>
      </c>
      <c r="S17" s="27" t="e">
        <f t="shared" si="4"/>
        <v>#NUM!</v>
      </c>
      <c r="T17" s="27" t="e">
        <f t="shared" si="5"/>
        <v>#NUM!</v>
      </c>
      <c r="U17" s="27" t="e">
        <f t="shared" si="6"/>
        <v>#NUM!</v>
      </c>
      <c r="V17" s="27" t="e">
        <f t="shared" si="7"/>
        <v>#NUM!</v>
      </c>
      <c r="W17" s="27" t="e">
        <f t="shared" si="8"/>
        <v>#NUM!</v>
      </c>
      <c r="X17" s="27" t="e">
        <f t="shared" si="9"/>
        <v>#NUM!</v>
      </c>
      <c r="Y17" s="27" t="e">
        <f t="shared" si="10"/>
        <v>#NUM!</v>
      </c>
      <c r="Z17" s="27" t="e">
        <f t="shared" si="11"/>
        <v>#NUM!</v>
      </c>
      <c r="AA17" s="27" t="e">
        <f t="shared" si="12"/>
        <v>#NUM!</v>
      </c>
      <c r="AB17" s="27" t="e">
        <f t="shared" si="13"/>
        <v>#NUM!</v>
      </c>
      <c r="AC17" s="310"/>
      <c r="AD17" s="287"/>
      <c r="AF17" s="302"/>
      <c r="AG17" s="297">
        <f t="shared" si="14"/>
        <v>0</v>
      </c>
      <c r="AH17" s="305">
        <f t="shared" si="15"/>
        <v>0</v>
      </c>
      <c r="AI17" s="297">
        <f t="shared" si="16"/>
        <v>0</v>
      </c>
      <c r="AJ17" s="297">
        <f t="shared" si="17"/>
        <v>0</v>
      </c>
    </row>
    <row r="18" spans="1:36" x14ac:dyDescent="0.25">
      <c r="A18" s="246"/>
      <c r="B18" s="187"/>
      <c r="C18" s="25"/>
      <c r="E18" s="245"/>
      <c r="F18" s="247"/>
      <c r="G18" s="248"/>
      <c r="H18" s="36"/>
      <c r="I18" s="36"/>
      <c r="J18" s="36"/>
      <c r="K18" s="36"/>
      <c r="L18" s="36"/>
      <c r="M18" s="36"/>
      <c r="N18" s="249"/>
      <c r="O18" s="27" t="e">
        <f t="shared" si="0"/>
        <v>#NUM!</v>
      </c>
      <c r="P18" s="27" t="e">
        <f t="shared" si="1"/>
        <v>#NUM!</v>
      </c>
      <c r="Q18" s="27" t="e">
        <f t="shared" si="2"/>
        <v>#NUM!</v>
      </c>
      <c r="R18" s="27" t="e">
        <f t="shared" si="3"/>
        <v>#NUM!</v>
      </c>
      <c r="S18" s="27" t="e">
        <f t="shared" si="4"/>
        <v>#NUM!</v>
      </c>
      <c r="T18" s="27" t="e">
        <f t="shared" si="5"/>
        <v>#NUM!</v>
      </c>
      <c r="U18" s="27" t="e">
        <f t="shared" si="6"/>
        <v>#NUM!</v>
      </c>
      <c r="V18" s="27" t="e">
        <f t="shared" si="7"/>
        <v>#NUM!</v>
      </c>
      <c r="W18" s="27" t="e">
        <f t="shared" si="8"/>
        <v>#NUM!</v>
      </c>
      <c r="X18" s="27" t="e">
        <f t="shared" si="9"/>
        <v>#NUM!</v>
      </c>
      <c r="Y18" s="27" t="e">
        <f t="shared" si="10"/>
        <v>#NUM!</v>
      </c>
      <c r="Z18" s="27" t="e">
        <f t="shared" si="11"/>
        <v>#NUM!</v>
      </c>
      <c r="AA18" s="27" t="e">
        <f t="shared" si="12"/>
        <v>#NUM!</v>
      </c>
      <c r="AB18" s="27" t="e">
        <f t="shared" si="13"/>
        <v>#NUM!</v>
      </c>
      <c r="AC18" s="286"/>
      <c r="AD18" s="287"/>
      <c r="AF18" s="302"/>
      <c r="AG18" s="297">
        <f t="shared" si="14"/>
        <v>0</v>
      </c>
      <c r="AH18" s="305">
        <f t="shared" si="15"/>
        <v>0</v>
      </c>
      <c r="AI18" s="297">
        <f t="shared" si="16"/>
        <v>0</v>
      </c>
      <c r="AJ18" s="297">
        <f t="shared" si="17"/>
        <v>0</v>
      </c>
    </row>
    <row r="19" spans="1:36" x14ac:dyDescent="0.25">
      <c r="A19" s="246"/>
      <c r="B19" s="187"/>
      <c r="C19" s="25"/>
      <c r="E19" s="245"/>
      <c r="F19" s="247"/>
      <c r="G19" s="248"/>
      <c r="H19" s="36"/>
      <c r="I19" s="36"/>
      <c r="J19" s="36"/>
      <c r="K19" s="36"/>
      <c r="L19" s="36"/>
      <c r="M19" s="36"/>
      <c r="N19" s="249"/>
      <c r="O19" s="27" t="e">
        <f t="shared" si="0"/>
        <v>#NUM!</v>
      </c>
      <c r="P19" s="27" t="e">
        <f t="shared" si="1"/>
        <v>#NUM!</v>
      </c>
      <c r="Q19" s="27" t="e">
        <f t="shared" si="2"/>
        <v>#NUM!</v>
      </c>
      <c r="R19" s="27" t="e">
        <f t="shared" si="3"/>
        <v>#NUM!</v>
      </c>
      <c r="S19" s="27" t="e">
        <f t="shared" si="4"/>
        <v>#NUM!</v>
      </c>
      <c r="T19" s="27" t="e">
        <f t="shared" si="5"/>
        <v>#NUM!</v>
      </c>
      <c r="U19" s="27" t="e">
        <f t="shared" si="6"/>
        <v>#NUM!</v>
      </c>
      <c r="V19" s="27" t="e">
        <f t="shared" si="7"/>
        <v>#NUM!</v>
      </c>
      <c r="W19" s="27" t="e">
        <f t="shared" si="8"/>
        <v>#NUM!</v>
      </c>
      <c r="X19" s="27" t="e">
        <f t="shared" si="9"/>
        <v>#NUM!</v>
      </c>
      <c r="Y19" s="27" t="e">
        <f t="shared" si="10"/>
        <v>#NUM!</v>
      </c>
      <c r="Z19" s="27" t="e">
        <f t="shared" si="11"/>
        <v>#NUM!</v>
      </c>
      <c r="AA19" s="27" t="e">
        <f t="shared" si="12"/>
        <v>#NUM!</v>
      </c>
      <c r="AB19" s="27" t="e">
        <f t="shared" si="13"/>
        <v>#NUM!</v>
      </c>
      <c r="AC19" s="286"/>
      <c r="AD19" s="287"/>
      <c r="AF19" s="302"/>
      <c r="AG19" s="297">
        <f t="shared" si="14"/>
        <v>0</v>
      </c>
      <c r="AH19" s="305">
        <f t="shared" si="15"/>
        <v>0</v>
      </c>
      <c r="AI19" s="297">
        <f t="shared" si="16"/>
        <v>0</v>
      </c>
      <c r="AJ19" s="297">
        <f t="shared" si="17"/>
        <v>0</v>
      </c>
    </row>
    <row r="20" spans="1:36" x14ac:dyDescent="0.25">
      <c r="A20" s="246"/>
      <c r="B20" s="187"/>
      <c r="C20" s="25"/>
      <c r="E20" s="245"/>
      <c r="F20" s="247"/>
      <c r="G20" s="248"/>
      <c r="H20" s="36"/>
      <c r="I20" s="36"/>
      <c r="J20" s="36"/>
      <c r="K20" s="36"/>
      <c r="L20" s="36"/>
      <c r="M20" s="36"/>
      <c r="N20" s="249"/>
      <c r="O20" s="27" t="e">
        <f t="shared" si="0"/>
        <v>#NUM!</v>
      </c>
      <c r="P20" s="27" t="e">
        <f t="shared" si="1"/>
        <v>#NUM!</v>
      </c>
      <c r="Q20" s="27" t="e">
        <f t="shared" si="2"/>
        <v>#NUM!</v>
      </c>
      <c r="R20" s="27" t="e">
        <f t="shared" si="3"/>
        <v>#NUM!</v>
      </c>
      <c r="S20" s="27" t="e">
        <f t="shared" si="4"/>
        <v>#NUM!</v>
      </c>
      <c r="T20" s="27" t="e">
        <f t="shared" si="5"/>
        <v>#NUM!</v>
      </c>
      <c r="U20" s="27" t="e">
        <f t="shared" si="6"/>
        <v>#NUM!</v>
      </c>
      <c r="V20" s="27" t="e">
        <f t="shared" si="7"/>
        <v>#NUM!</v>
      </c>
      <c r="W20" s="27" t="e">
        <f t="shared" si="8"/>
        <v>#NUM!</v>
      </c>
      <c r="X20" s="27" t="e">
        <f t="shared" si="9"/>
        <v>#NUM!</v>
      </c>
      <c r="Y20" s="27" t="e">
        <f t="shared" si="10"/>
        <v>#NUM!</v>
      </c>
      <c r="Z20" s="27" t="e">
        <f t="shared" si="11"/>
        <v>#NUM!</v>
      </c>
      <c r="AA20" s="27" t="e">
        <f t="shared" si="12"/>
        <v>#NUM!</v>
      </c>
      <c r="AB20" s="27" t="e">
        <f t="shared" si="13"/>
        <v>#NUM!</v>
      </c>
      <c r="AC20" s="286"/>
      <c r="AD20" s="287"/>
      <c r="AF20" s="302"/>
      <c r="AG20" s="297">
        <f t="shared" si="14"/>
        <v>0</v>
      </c>
      <c r="AH20" s="305">
        <f t="shared" si="15"/>
        <v>0</v>
      </c>
      <c r="AI20" s="297">
        <f t="shared" si="16"/>
        <v>0</v>
      </c>
      <c r="AJ20" s="297">
        <f t="shared" si="17"/>
        <v>0</v>
      </c>
    </row>
    <row r="21" spans="1:36" x14ac:dyDescent="0.25">
      <c r="A21" s="246"/>
      <c r="B21" s="187"/>
      <c r="C21" s="25"/>
      <c r="E21" s="245"/>
      <c r="F21" s="247"/>
      <c r="G21" s="248"/>
      <c r="H21" s="36"/>
      <c r="I21" s="36"/>
      <c r="J21" s="36"/>
      <c r="K21" s="36"/>
      <c r="L21" s="36"/>
      <c r="M21" s="36"/>
      <c r="N21" s="249"/>
      <c r="O21" s="27" t="e">
        <f t="shared" si="0"/>
        <v>#NUM!</v>
      </c>
      <c r="P21" s="27" t="e">
        <f t="shared" si="1"/>
        <v>#NUM!</v>
      </c>
      <c r="Q21" s="27" t="e">
        <f t="shared" si="2"/>
        <v>#NUM!</v>
      </c>
      <c r="R21" s="27" t="e">
        <f t="shared" si="3"/>
        <v>#NUM!</v>
      </c>
      <c r="S21" s="27" t="e">
        <f t="shared" si="4"/>
        <v>#NUM!</v>
      </c>
      <c r="T21" s="27" t="e">
        <f t="shared" si="5"/>
        <v>#NUM!</v>
      </c>
      <c r="U21" s="27" t="e">
        <f t="shared" si="6"/>
        <v>#NUM!</v>
      </c>
      <c r="V21" s="27" t="e">
        <f t="shared" si="7"/>
        <v>#NUM!</v>
      </c>
      <c r="W21" s="27" t="e">
        <f t="shared" si="8"/>
        <v>#NUM!</v>
      </c>
      <c r="X21" s="27" t="e">
        <f t="shared" si="9"/>
        <v>#NUM!</v>
      </c>
      <c r="Y21" s="27" t="e">
        <f t="shared" si="10"/>
        <v>#NUM!</v>
      </c>
      <c r="Z21" s="27" t="e">
        <f t="shared" si="11"/>
        <v>#NUM!</v>
      </c>
      <c r="AA21" s="27" t="e">
        <f t="shared" si="12"/>
        <v>#NUM!</v>
      </c>
      <c r="AB21" s="27" t="e">
        <f t="shared" si="13"/>
        <v>#NUM!</v>
      </c>
      <c r="AC21" s="311"/>
      <c r="AD21" s="312"/>
      <c r="AE21" s="303"/>
      <c r="AF21" s="304"/>
      <c r="AG21" s="306">
        <f t="shared" si="14"/>
        <v>0</v>
      </c>
      <c r="AH21" s="307">
        <f t="shared" si="15"/>
        <v>0</v>
      </c>
      <c r="AI21" s="297">
        <f t="shared" si="16"/>
        <v>0</v>
      </c>
      <c r="AJ21" s="297">
        <f t="shared" si="17"/>
        <v>0</v>
      </c>
    </row>
  </sheetData>
  <conditionalFormatting sqref="G3:G21">
    <cfRule type="cellIs" dxfId="6" priority="5" operator="greaterThan">
      <formula>7</formula>
    </cfRule>
  </conditionalFormatting>
  <conditionalFormatting sqref="O3:AB21">
    <cfRule type="cellIs" dxfId="5" priority="4" operator="greaterThan">
      <formula>12.5</formula>
    </cfRule>
  </conditionalFormatting>
  <conditionalFormatting sqref="H3:N21">
    <cfRule type="colorScale" priority="244">
      <colorScale>
        <cfvo type="min"/>
        <cfvo type="max"/>
        <color rgb="FFFCFCFF"/>
        <color rgb="FFF8696B"/>
      </colorScale>
    </cfRule>
  </conditionalFormatting>
  <conditionalFormatting sqref="S3:U21 Z3:AB21">
    <cfRule type="colorScale" priority="245">
      <colorScale>
        <cfvo type="min"/>
        <cfvo type="max"/>
        <color rgb="FFFCFCFF"/>
        <color rgb="FF63BE7B"/>
      </colorScale>
    </cfRule>
  </conditionalFormatting>
  <conditionalFormatting sqref="O3:Q21 V3:X21">
    <cfRule type="colorScale" priority="247">
      <colorScale>
        <cfvo type="min"/>
        <cfvo type="max"/>
        <color rgb="FFFCFCFF"/>
        <color rgb="FFF8696B"/>
      </colorScale>
    </cfRule>
  </conditionalFormatting>
  <conditionalFormatting sqref="R3:R21 Y3:Y21">
    <cfRule type="colorScale" priority="2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3:AJ21">
    <cfRule type="dataBar" priority="2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{1B909588-D67C-40E7-BE9F-48276713F4F4}</x14:id>
        </ext>
      </extLst>
    </cfRule>
  </conditionalFormatting>
  <conditionalFormatting sqref="AG3:AH21">
    <cfRule type="dataBar" priority="2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{6B1DA2F3-496B-49E1-A19A-EAED362318BD}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909588-D67C-40E7-BE9F-48276713F4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AI3:AJ21</xm:sqref>
        </x14:conditionalFormatting>
        <x14:conditionalFormatting xmlns:xm="http://schemas.microsoft.com/office/excel/2006/main">
          <x14:cfRule type="dataBar" id="{6B1DA2F3-496B-49E1-A19A-EAED362318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AG3:AH21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0497A"/>
  </sheetPr>
  <dimension ref="A1:AM24"/>
  <sheetViews>
    <sheetView workbookViewId="0">
      <pane ySplit="2" topLeftCell="A3" activePane="bottomLeft" state="frozen"/>
      <selection pane="bottomLeft" activeCell="A9" sqref="A9"/>
    </sheetView>
  </sheetViews>
  <sheetFormatPr baseColWidth="10" defaultColWidth="10.7109375" defaultRowHeight="15" x14ac:dyDescent="0.25"/>
  <cols>
    <col min="1" max="1" width="26" customWidth="1"/>
    <col min="2" max="2" width="5.42578125" customWidth="1"/>
    <col min="3" max="3" width="4.7109375" customWidth="1"/>
    <col min="4" max="4" width="6" style="42" customWidth="1"/>
    <col min="5" max="5" width="4.140625" customWidth="1"/>
    <col min="6" max="6" width="7.42578125" customWidth="1"/>
    <col min="7" max="7" width="4.5703125" customWidth="1"/>
    <col min="8" max="14" width="5.5703125" customWidth="1"/>
    <col min="15" max="15" width="5.140625" customWidth="1"/>
    <col min="16" max="16" width="6.42578125" customWidth="1"/>
    <col min="17" max="17" width="6.85546875" customWidth="1"/>
    <col min="18" max="18" width="6.42578125" customWidth="1"/>
    <col min="19" max="19" width="5.140625" customWidth="1"/>
    <col min="20" max="20" width="6.42578125" customWidth="1"/>
    <col min="21" max="21" width="6.85546875" customWidth="1"/>
    <col min="22" max="22" width="6.42578125" customWidth="1"/>
    <col min="23" max="23" width="5.140625" customWidth="1"/>
    <col min="24" max="24" width="6.42578125" customWidth="1"/>
    <col min="25" max="25" width="6.85546875" customWidth="1"/>
    <col min="26" max="26" width="6.42578125" customWidth="1"/>
    <col min="27" max="27" width="6.5703125" customWidth="1"/>
    <col min="28" max="28" width="7.140625" customWidth="1"/>
    <col min="29" max="31" width="7.140625" style="41" customWidth="1"/>
    <col min="32" max="34" width="9" customWidth="1"/>
    <col min="35" max="37" width="8.42578125" customWidth="1"/>
  </cols>
  <sheetData>
    <row r="1" spans="1:37" s="41" customFormat="1" x14ac:dyDescent="0.25">
      <c r="D1" s="43"/>
      <c r="O1" s="41" t="s">
        <v>655</v>
      </c>
      <c r="S1" s="41" t="s">
        <v>631</v>
      </c>
      <c r="W1" s="41" t="s">
        <v>175</v>
      </c>
    </row>
    <row r="2" spans="1:37" x14ac:dyDescent="0.25">
      <c r="A2" s="253" t="s">
        <v>180</v>
      </c>
      <c r="B2" s="253" t="s">
        <v>632</v>
      </c>
      <c r="C2" s="254" t="s">
        <v>111</v>
      </c>
      <c r="D2" s="255" t="s">
        <v>294</v>
      </c>
      <c r="E2" s="256" t="s">
        <v>656</v>
      </c>
      <c r="F2" s="257" t="s">
        <v>119</v>
      </c>
      <c r="G2" s="258" t="s">
        <v>521</v>
      </c>
      <c r="H2" s="259" t="s">
        <v>151</v>
      </c>
      <c r="I2" s="259" t="s">
        <v>186</v>
      </c>
      <c r="J2" s="259" t="s">
        <v>187</v>
      </c>
      <c r="K2" s="259" t="s">
        <v>318</v>
      </c>
      <c r="L2" s="259" t="s">
        <v>189</v>
      </c>
      <c r="M2" s="259" t="s">
        <v>190</v>
      </c>
      <c r="N2" s="260" t="s">
        <v>191</v>
      </c>
      <c r="O2" s="261" t="s">
        <v>170</v>
      </c>
      <c r="P2" s="261" t="s">
        <v>641</v>
      </c>
      <c r="Q2" s="261" t="s">
        <v>642</v>
      </c>
      <c r="R2" s="262" t="s">
        <v>641</v>
      </c>
      <c r="S2" s="261" t="s">
        <v>170</v>
      </c>
      <c r="T2" s="261" t="s">
        <v>641</v>
      </c>
      <c r="U2" s="261" t="s">
        <v>642</v>
      </c>
      <c r="V2" s="262" t="s">
        <v>641</v>
      </c>
      <c r="W2" s="263" t="s">
        <v>170</v>
      </c>
      <c r="X2" s="263" t="s">
        <v>641</v>
      </c>
      <c r="Y2" s="263" t="s">
        <v>642</v>
      </c>
      <c r="Z2" s="264" t="s">
        <v>641</v>
      </c>
      <c r="AA2" s="263" t="s">
        <v>657</v>
      </c>
      <c r="AB2" s="264" t="s">
        <v>297</v>
      </c>
      <c r="AC2" s="263" t="s">
        <v>658</v>
      </c>
      <c r="AD2" s="263" t="s">
        <v>659</v>
      </c>
      <c r="AE2" s="264" t="s">
        <v>660</v>
      </c>
      <c r="AF2" s="263" t="s">
        <v>661</v>
      </c>
      <c r="AG2" s="263" t="s">
        <v>662</v>
      </c>
      <c r="AH2" s="264" t="s">
        <v>663</v>
      </c>
      <c r="AI2" s="263" t="s">
        <v>664</v>
      </c>
      <c r="AJ2" s="263" t="s">
        <v>665</v>
      </c>
      <c r="AK2" s="264" t="s">
        <v>666</v>
      </c>
    </row>
    <row r="3" spans="1:37" x14ac:dyDescent="0.25">
      <c r="A3" s="282" t="s">
        <v>737</v>
      </c>
      <c r="B3" s="271">
        <v>28</v>
      </c>
      <c r="C3" s="25">
        <v>58</v>
      </c>
      <c r="D3" s="42" t="s">
        <v>164</v>
      </c>
      <c r="E3" s="272">
        <v>2</v>
      </c>
      <c r="F3" s="273">
        <v>1</v>
      </c>
      <c r="G3" s="274">
        <v>13</v>
      </c>
      <c r="H3" s="36">
        <v>0</v>
      </c>
      <c r="I3" s="36">
        <v>1</v>
      </c>
      <c r="J3" s="36">
        <v>9</v>
      </c>
      <c r="K3" s="36">
        <v>14</v>
      </c>
      <c r="L3" s="36">
        <v>11</v>
      </c>
      <c r="M3" s="36">
        <v>11</v>
      </c>
      <c r="N3" s="275">
        <v>8</v>
      </c>
      <c r="O3" s="27">
        <f t="shared" ref="O3:O24" si="0">((J3+F3+(LOG(G3)*4/3))*0.15)</f>
        <v>1.7227886704613673</v>
      </c>
      <c r="P3" s="27">
        <f t="shared" ref="P3:P24" si="1">((M3+F3+(LOG(G3)*4/3))*0.552)+((K3+F3+(LOG(G3)*4/3))*0.576)+((L3+F3+(LOG(G3)*4/3))*0.195)</f>
        <v>19.568996073469261</v>
      </c>
      <c r="Q3" s="27">
        <f t="shared" ref="Q3:Q24" si="2">((M3+F3+(LOG(G3)*4/3))*0.607)+((L3+F3+(LOG(G3)*4/3))*0.248)</f>
        <v>11.529895421629794</v>
      </c>
      <c r="R3" s="276">
        <f t="shared" ref="R3:R24" si="3">((M3+F3+(LOG(G3)*4/3))*0.223)+((K3+F3+(LOG(G3)*4/3))*0)+((L3+F3+(LOG(G3)*4/3))*0)</f>
        <v>3.0072124900858994</v>
      </c>
      <c r="S3" s="27">
        <f t="shared" ref="S3:S24" si="4">((J3+F3+(LOG(G3)*4/3))*0.406)</f>
        <v>4.6630146680487679</v>
      </c>
      <c r="T3" s="27">
        <f t="shared" ref="T3:T24" si="5">IF(D3="TEC",((K3+F3+(LOG(G3)*4/3))*0.15)+((L3+F3+(LOG(G3)*4/3))*0.324)+((M3+F3+(LOG(G3)*4/3))*0.127),((K3+F3+(LOG(G3)*4/3))*0.144)+((L3+F3+(LOG(G3)*4/3))*0.25)+((M3+F3+(LOG(G3)*4/3))*0.127))</f>
        <v>7.4578193154024834</v>
      </c>
      <c r="U3" s="27">
        <f t="shared" ref="U3:U24" si="6">IF(D3="TEC",((L3+F3+(LOG(G3)*4/3))*0.543)+((M3+F3+(LOG(G3)*4/3))*0.583),((L3+F3+(LOG(G3)*4/3))*0.543)+((M3+F3+(LOG(G3)*4/3))*0.583))</f>
        <v>15.184400286263331</v>
      </c>
      <c r="V3" s="276">
        <f t="shared" ref="V3:V24" si="7">T3</f>
        <v>7.4578193154024834</v>
      </c>
      <c r="W3" s="27">
        <f t="shared" ref="W3:W24" si="8">((J3+F3+(LOG(G3)*4/3))*0.25)</f>
        <v>2.8713144507689456</v>
      </c>
      <c r="X3" s="27">
        <f t="shared" ref="X3:X24" si="9">((M3+F3+(LOG(G3)*4/3))*0.26)+((K3+F3+(LOG(G3)*4/3))*0.221)+((L3+F3+(LOG(G3)*4/3))*0.142)</f>
        <v>9.0643156113162124</v>
      </c>
      <c r="Y3" s="27">
        <f t="shared" ref="Y3:Y24" si="10">((M3+F3+(LOG(G3)*4/3))*1)+((L3+F3+(LOG(G3)*4/3))*0.369)</f>
        <v>18.461317932410747</v>
      </c>
      <c r="Z3" s="276">
        <f t="shared" ref="Z3:Z24" si="11">X3</f>
        <v>9.0643156113162124</v>
      </c>
      <c r="AA3">
        <v>6325</v>
      </c>
      <c r="AB3" s="277">
        <v>20.8</v>
      </c>
      <c r="AC3" s="41">
        <v>3000</v>
      </c>
      <c r="AD3" s="41">
        <v>4000</v>
      </c>
      <c r="AE3" s="251">
        <v>4900</v>
      </c>
      <c r="AF3" s="25">
        <f t="shared" ref="AF3:AF24" si="12">AA3+(AB3*16*(36-B3-((112-C3)/112)))-AC3</f>
        <v>5826.942857142858</v>
      </c>
      <c r="AG3" s="25">
        <f t="shared" ref="AG3:AG24" si="13">AA3+(AB3*16*(34-B3-((112-C3)/112)))-AD3</f>
        <v>4161.3428571428576</v>
      </c>
      <c r="AH3" s="252">
        <f t="shared" ref="AH3:AH24" si="14">AA3+(AB3*16*(32-B3-((112-C3)/112)))-AE3</f>
        <v>2595.7428571428572</v>
      </c>
      <c r="AI3" s="25">
        <f t="shared" ref="AI3:AI24" si="15">(AF3)/(36-B3+((112-C3)/112))</f>
        <v>686.96589473684219</v>
      </c>
      <c r="AJ3" s="25">
        <f t="shared" ref="AJ3:AJ24" si="16">(AG3)/(34-B3+((112-C3)/112))</f>
        <v>641.97024793388437</v>
      </c>
      <c r="AK3" s="252">
        <f t="shared" ref="AK3:AK24" si="17">(AH3)/(32-B3+((112-C3)/112))</f>
        <v>579.12988047808767</v>
      </c>
    </row>
    <row r="4" spans="1:37" x14ac:dyDescent="0.25">
      <c r="A4" s="282" t="s">
        <v>770</v>
      </c>
      <c r="B4" s="187">
        <v>28</v>
      </c>
      <c r="C4" s="25">
        <v>23</v>
      </c>
      <c r="E4" s="245">
        <v>1</v>
      </c>
      <c r="F4" s="247">
        <v>1</v>
      </c>
      <c r="G4" s="248">
        <v>6</v>
      </c>
      <c r="H4" s="36">
        <v>0</v>
      </c>
      <c r="I4" s="36">
        <v>4</v>
      </c>
      <c r="J4" s="36">
        <v>2</v>
      </c>
      <c r="K4" s="36">
        <v>9</v>
      </c>
      <c r="L4" s="36">
        <v>14</v>
      </c>
      <c r="M4" s="36">
        <v>14</v>
      </c>
      <c r="N4" s="249">
        <v>1</v>
      </c>
      <c r="O4" s="27">
        <f>((J4+F4+(LOG(G4)*4/3))*0.15)</f>
        <v>0.60563025007672877</v>
      </c>
      <c r="P4" s="27">
        <f>((M4+F4+(LOG(G4)*4/3))*0.552)+((K4+F4+(LOG(G4)*4/3))*0.576)+((L4+F4+(LOG(G4)*4/3))*0.195)</f>
        <v>18.33765880567675</v>
      </c>
      <c r="Q4" s="27">
        <f>((M4+F4+(LOG(G4)*4/3))*0.607)+((L4+F4+(LOG(G4)*4/3))*0.248)</f>
        <v>13.712092425437355</v>
      </c>
      <c r="R4" s="250">
        <f>((M4+F4+(LOG(G4)*4/3))*0.223)+((K4+F4+(LOG(G4)*4/3))*0)+((L4+F4+(LOG(G4)*4/3))*0)</f>
        <v>3.5763703051140703</v>
      </c>
      <c r="S4" s="27">
        <f>((J4+F4+(LOG(G4)*4/3))*0.406)</f>
        <v>1.6392392102076794</v>
      </c>
      <c r="T4" s="27">
        <f>IF(D4="TEC",((K4+F4+(LOG(G4)*4/3))*0.15)+((L4+F4+(LOG(G4)*4/3))*0.324)+((M4+F4+(LOG(G4)*4/3))*0.127),((K4+F4+(LOG(G4)*4/3))*0.144)+((L4+F4+(LOG(G4)*4/3))*0.25)+((M4+F4+(LOG(G4)*4/3))*0.127))</f>
        <v>7.6355557352665038</v>
      </c>
      <c r="U4" s="27">
        <f>IF(D4="TEC",((L4+F4+(LOG(G4)*4/3))*0.543)+((M4+F4+(LOG(G4)*4/3))*0.583),((L4+F4+(LOG(G4)*4/3))*0.543)+((M4+F4+(LOG(G4)*4/3))*0.583))</f>
        <v>18.058264410575976</v>
      </c>
      <c r="V4" s="250">
        <f>T4</f>
        <v>7.6355557352665038</v>
      </c>
      <c r="W4" s="27">
        <f>((J4+F4+(LOG(G4)*4/3))*0.25)</f>
        <v>1.0093837501278813</v>
      </c>
      <c r="X4" s="27">
        <f>((M4+F4+(LOG(G4)*4/3))*0.26)+((K4+F4+(LOG(G4)*4/3))*0.221)+((L4+F4+(LOG(G4)*4/3))*0.142)</f>
        <v>8.886384305318682</v>
      </c>
      <c r="Y4" s="27">
        <f>((M4+F4+(LOG(G4)*4/3))*1)+((L4+F4+(LOG(G4)*4/3))*0.369)</f>
        <v>21.955385415700277</v>
      </c>
      <c r="Z4" s="250">
        <f>X4</f>
        <v>8.886384305318682</v>
      </c>
      <c r="AA4">
        <v>7500</v>
      </c>
      <c r="AB4" s="188">
        <v>26.3</v>
      </c>
      <c r="AE4" s="251"/>
      <c r="AF4" s="25">
        <f>AA4+(AB4*16*(36-B4-((112-C4)/112)))-AC4</f>
        <v>10532.014285714286</v>
      </c>
      <c r="AG4" s="25">
        <f>AA4+(AB4*16*(34-B4-((112-C4)/112)))-AD4</f>
        <v>9690.414285714287</v>
      </c>
      <c r="AH4" s="252">
        <f>AA4+(AB4*16*(32-B4-((112-C4)/112)))-AE4</f>
        <v>8848.8142857142848</v>
      </c>
      <c r="AI4" s="25">
        <f>(AF4)/(36-B4+((112-C4)/112))</f>
        <v>1197.5488324873095</v>
      </c>
      <c r="AJ4" s="25">
        <f>(AG4)/(34-B4+((112-C4)/112))</f>
        <v>1426.1844940867284</v>
      </c>
      <c r="AK4" s="252">
        <f>(AH4)/(32-B4+((112-C4)/112))</f>
        <v>1845.5627560521414</v>
      </c>
    </row>
    <row r="5" spans="1:37" x14ac:dyDescent="0.25">
      <c r="A5" s="282" t="s">
        <v>682</v>
      </c>
      <c r="B5" s="271">
        <v>28</v>
      </c>
      <c r="C5" s="25">
        <v>14</v>
      </c>
      <c r="D5" s="42" t="s">
        <v>164</v>
      </c>
      <c r="E5" s="272">
        <v>1</v>
      </c>
      <c r="F5" s="273">
        <v>1</v>
      </c>
      <c r="G5" s="274">
        <v>6</v>
      </c>
      <c r="H5" s="36">
        <v>0</v>
      </c>
      <c r="I5" s="36">
        <v>4</v>
      </c>
      <c r="J5" s="36">
        <v>8</v>
      </c>
      <c r="K5" s="36">
        <v>11</v>
      </c>
      <c r="L5" s="36">
        <v>12</v>
      </c>
      <c r="M5" s="36">
        <v>14</v>
      </c>
      <c r="N5" s="275">
        <v>12</v>
      </c>
      <c r="O5" s="27">
        <f>((J5+F5+(LOG(G5)*4/3))*0.15)</f>
        <v>1.5056302500767287</v>
      </c>
      <c r="P5" s="27">
        <f>((M5+F5+(LOG(G5)*4/3))*0.552)+((K5+F5+(LOG(G5)*4/3))*0.576)+((L5+F5+(LOG(G5)*4/3))*0.195)</f>
        <v>19.099658805676746</v>
      </c>
      <c r="Q5" s="27">
        <f>((M5+F5+(LOG(G5)*4/3))*0.607)+((L5+F5+(LOG(G5)*4/3))*0.248)</f>
        <v>13.216092425437354</v>
      </c>
      <c r="R5" s="276">
        <f>((M5+F5+(LOG(G5)*4/3))*0.223)+((K5+F5+(LOG(G5)*4/3))*0)+((L5+F5+(LOG(G5)*4/3))*0)</f>
        <v>3.5763703051140703</v>
      </c>
      <c r="S5" s="27">
        <f>((J5+F5+(LOG(G5)*4/3))*0.406)</f>
        <v>4.0752392102076795</v>
      </c>
      <c r="T5" s="27">
        <f>IF(D5="TEC",((K5+F5+(LOG(G5)*4/3))*0.15)+((L5+F5+(LOG(G5)*4/3))*0.324)+((M5+F5+(LOG(G5)*4/3))*0.127),((K5+F5+(LOG(G5)*4/3))*0.144)+((L5+F5+(LOG(G5)*4/3))*0.25)+((M5+F5+(LOG(G5)*4/3))*0.127))</f>
        <v>7.423555735266504</v>
      </c>
      <c r="U5" s="27">
        <f>IF(D5="TEC",((L5+F5+(LOG(G5)*4/3))*0.543)+((M5+F5+(LOG(G5)*4/3))*0.583),((L5+F5+(LOG(G5)*4/3))*0.543)+((M5+F5+(LOG(G5)*4/3))*0.583))</f>
        <v>16.972264410575978</v>
      </c>
      <c r="V5" s="276">
        <f>T5</f>
        <v>7.423555735266504</v>
      </c>
      <c r="W5" s="27">
        <f>((J5+F5+(LOG(G5)*4/3))*0.25)</f>
        <v>2.5093837501278813</v>
      </c>
      <c r="X5" s="27">
        <f>((M5+F5+(LOG(G5)*4/3))*0.26)+((K5+F5+(LOG(G5)*4/3))*0.221)+((L5+F5+(LOG(G5)*4/3))*0.142)</f>
        <v>9.0443843053186797</v>
      </c>
      <c r="Y5" s="27">
        <f>((M5+F5+(LOG(G5)*4/3))*1)+((L5+F5+(LOG(G5)*4/3))*0.369)</f>
        <v>21.217385415700278</v>
      </c>
      <c r="Z5" s="276">
        <f>X5</f>
        <v>9.0443843053186797</v>
      </c>
      <c r="AB5" s="277"/>
      <c r="AE5" s="278"/>
      <c r="AF5" s="25">
        <f>AA5+(AB5*16*(36-B5-((112-C5)/112)))-AC5</f>
        <v>0</v>
      </c>
      <c r="AG5" s="25">
        <f>AA5+(AB5*16*(34-B5-((112-C5)/112)))-AD5</f>
        <v>0</v>
      </c>
      <c r="AH5" s="279">
        <f>AA5+(AB5*16*(32-B5-((112-C5)/112)))-AE5</f>
        <v>0</v>
      </c>
      <c r="AI5" s="25">
        <f>(AF5)/(36-B5+((112-C5)/112))</f>
        <v>0</v>
      </c>
      <c r="AJ5" s="25">
        <f>(AG5)/(34-B5+((112-C5)/112))</f>
        <v>0</v>
      </c>
      <c r="AK5" s="279">
        <f>(AH5)/(32-B5+((112-C5)/112))</f>
        <v>0</v>
      </c>
    </row>
    <row r="6" spans="1:37" x14ac:dyDescent="0.25">
      <c r="A6" s="246" t="s">
        <v>767</v>
      </c>
      <c r="B6" s="271">
        <v>29</v>
      </c>
      <c r="C6" s="25">
        <v>4</v>
      </c>
      <c r="D6" s="42" t="s">
        <v>173</v>
      </c>
      <c r="E6" s="272">
        <v>5</v>
      </c>
      <c r="F6" s="273">
        <v>1</v>
      </c>
      <c r="G6" s="274">
        <v>8</v>
      </c>
      <c r="H6" s="36">
        <v>0</v>
      </c>
      <c r="I6" s="36">
        <v>5</v>
      </c>
      <c r="J6" s="36">
        <v>2</v>
      </c>
      <c r="K6" s="36">
        <v>9</v>
      </c>
      <c r="L6" s="36">
        <v>12</v>
      </c>
      <c r="M6" s="36">
        <v>15</v>
      </c>
      <c r="N6" s="275">
        <v>0</v>
      </c>
      <c r="O6" s="27">
        <f t="shared" si="0"/>
        <v>0.63061799739838875</v>
      </c>
      <c r="P6" s="27">
        <f t="shared" si="1"/>
        <v>18.720050737053789</v>
      </c>
      <c r="Q6" s="27">
        <f t="shared" si="2"/>
        <v>13.965522585170815</v>
      </c>
      <c r="R6" s="276">
        <f t="shared" si="3"/>
        <v>3.8365187561322713</v>
      </c>
      <c r="S6" s="27">
        <f t="shared" si="4"/>
        <v>1.7068727129583057</v>
      </c>
      <c r="T6" s="27">
        <f t="shared" si="5"/>
        <v>7.3493465109637377</v>
      </c>
      <c r="U6" s="27">
        <f t="shared" si="6"/>
        <v>17.742839100470569</v>
      </c>
      <c r="V6" s="276">
        <f t="shared" si="7"/>
        <v>7.3493465109637377</v>
      </c>
      <c r="W6" s="27">
        <f t="shared" si="8"/>
        <v>1.0510299956639813</v>
      </c>
      <c r="X6" s="27">
        <f t="shared" si="9"/>
        <v>8.9661667491946417</v>
      </c>
      <c r="Y6" s="27">
        <f t="shared" si="10"/>
        <v>22.44544025625596</v>
      </c>
      <c r="Z6" s="276">
        <f t="shared" si="11"/>
        <v>8.9661667491946417</v>
      </c>
      <c r="AA6">
        <v>5600</v>
      </c>
      <c r="AB6" s="277">
        <v>42</v>
      </c>
      <c r="AC6" s="41">
        <v>2500</v>
      </c>
      <c r="AD6" s="41">
        <v>3300</v>
      </c>
      <c r="AE6" s="278">
        <v>5000</v>
      </c>
      <c r="AF6" s="25">
        <f t="shared" si="12"/>
        <v>7156</v>
      </c>
      <c r="AG6" s="25">
        <f t="shared" si="13"/>
        <v>5012</v>
      </c>
      <c r="AH6" s="279">
        <f t="shared" si="14"/>
        <v>1968</v>
      </c>
      <c r="AI6" s="25">
        <f t="shared" si="15"/>
        <v>898.51121076233187</v>
      </c>
      <c r="AJ6" s="25">
        <f t="shared" si="16"/>
        <v>840.33532934131733</v>
      </c>
      <c r="AK6" s="252">
        <f t="shared" si="17"/>
        <v>496.43243243243239</v>
      </c>
    </row>
    <row r="7" spans="1:37" x14ac:dyDescent="0.25">
      <c r="A7" s="246" t="s">
        <v>768</v>
      </c>
      <c r="B7" s="271">
        <v>28</v>
      </c>
      <c r="C7" s="25">
        <v>106</v>
      </c>
      <c r="D7" s="42" t="s">
        <v>173</v>
      </c>
      <c r="E7" s="272">
        <v>3</v>
      </c>
      <c r="F7" s="273">
        <v>1</v>
      </c>
      <c r="G7" s="274">
        <v>7</v>
      </c>
      <c r="H7" s="36">
        <v>0</v>
      </c>
      <c r="I7" s="36">
        <v>3</v>
      </c>
      <c r="J7" s="36">
        <v>6</v>
      </c>
      <c r="K7" s="36">
        <v>10</v>
      </c>
      <c r="L7" s="36">
        <v>9</v>
      </c>
      <c r="M7" s="36">
        <v>13</v>
      </c>
      <c r="N7" s="275">
        <v>11</v>
      </c>
      <c r="O7" s="27">
        <f t="shared" si="0"/>
        <v>1.2190196080028513</v>
      </c>
      <c r="P7" s="27">
        <f t="shared" si="1"/>
        <v>17.504752942585149</v>
      </c>
      <c r="Q7" s="27">
        <f t="shared" si="2"/>
        <v>11.941411765616252</v>
      </c>
      <c r="R7" s="276">
        <f t="shared" si="3"/>
        <v>3.3732758172309056</v>
      </c>
      <c r="S7" s="27">
        <f t="shared" si="4"/>
        <v>3.2994797389943842</v>
      </c>
      <c r="T7" s="27">
        <f t="shared" si="5"/>
        <v>6.4490614384632359</v>
      </c>
      <c r="U7" s="27">
        <f t="shared" si="6"/>
        <v>14.86077385740807</v>
      </c>
      <c r="V7" s="276">
        <f t="shared" si="7"/>
        <v>6.4490614384632359</v>
      </c>
      <c r="W7" s="27">
        <f t="shared" si="8"/>
        <v>2.0316993466714188</v>
      </c>
      <c r="X7" s="27">
        <f t="shared" si="9"/>
        <v>8.192994771905175</v>
      </c>
      <c r="Y7" s="27">
        <f t="shared" si="10"/>
        <v>19.232585622372689</v>
      </c>
      <c r="Z7" s="276">
        <f t="shared" si="11"/>
        <v>8.192994771905175</v>
      </c>
      <c r="AA7">
        <v>5400</v>
      </c>
      <c r="AB7" s="277">
        <v>21.2</v>
      </c>
      <c r="AE7" s="278">
        <v>3000</v>
      </c>
      <c r="AF7" s="25"/>
      <c r="AG7" s="25"/>
      <c r="AH7" s="279">
        <f t="shared" si="14"/>
        <v>3738.6285714285714</v>
      </c>
      <c r="AI7" s="25"/>
      <c r="AJ7" s="25"/>
      <c r="AK7" s="279">
        <f t="shared" si="17"/>
        <v>922.30484581497785</v>
      </c>
    </row>
    <row r="8" spans="1:37" x14ac:dyDescent="0.25">
      <c r="A8" s="246" t="s">
        <v>769</v>
      </c>
      <c r="B8" s="271">
        <v>27</v>
      </c>
      <c r="C8" s="25">
        <v>46</v>
      </c>
      <c r="D8" s="42" t="s">
        <v>164</v>
      </c>
      <c r="E8" s="272">
        <v>3</v>
      </c>
      <c r="F8" s="273">
        <v>1</v>
      </c>
      <c r="G8" s="274">
        <v>7</v>
      </c>
      <c r="H8" s="36">
        <v>0</v>
      </c>
      <c r="I8" s="36">
        <v>2</v>
      </c>
      <c r="J8" s="36">
        <v>12</v>
      </c>
      <c r="K8" s="36">
        <v>12</v>
      </c>
      <c r="L8" s="36">
        <v>8</v>
      </c>
      <c r="M8" s="36">
        <v>12</v>
      </c>
      <c r="N8" s="275">
        <v>2</v>
      </c>
      <c r="O8" s="27">
        <f t="shared" si="0"/>
        <v>2.1190196080028514</v>
      </c>
      <c r="P8" s="27">
        <f t="shared" si="1"/>
        <v>17.909752942585147</v>
      </c>
      <c r="Q8" s="27">
        <f t="shared" si="2"/>
        <v>11.086411765616253</v>
      </c>
      <c r="R8" s="276">
        <f t="shared" si="3"/>
        <v>3.1502758172309058</v>
      </c>
      <c r="S8" s="27">
        <f t="shared" si="4"/>
        <v>5.7354797389943846</v>
      </c>
      <c r="T8" s="27">
        <f t="shared" si="5"/>
        <v>6.3600614384632363</v>
      </c>
      <c r="U8" s="27">
        <f t="shared" si="6"/>
        <v>13.734773857408069</v>
      </c>
      <c r="V8" s="276">
        <f t="shared" si="7"/>
        <v>6.3600614384632363</v>
      </c>
      <c r="W8" s="27">
        <f t="shared" si="8"/>
        <v>3.5316993466714188</v>
      </c>
      <c r="X8" s="27">
        <f t="shared" si="9"/>
        <v>8.2329947719051759</v>
      </c>
      <c r="Y8" s="27">
        <f t="shared" si="10"/>
        <v>17.863585622372689</v>
      </c>
      <c r="Z8" s="276">
        <f t="shared" si="11"/>
        <v>8.2329947719051759</v>
      </c>
      <c r="AA8">
        <v>5100</v>
      </c>
      <c r="AB8" s="277">
        <v>22.3</v>
      </c>
      <c r="AE8" s="278"/>
      <c r="AF8" s="25"/>
      <c r="AG8" s="25"/>
      <c r="AH8" s="279"/>
      <c r="AI8" s="25"/>
      <c r="AJ8" s="25"/>
      <c r="AK8" s="279"/>
    </row>
    <row r="9" spans="1:37" x14ac:dyDescent="0.25">
      <c r="A9" s="246"/>
      <c r="B9" s="271">
        <v>25</v>
      </c>
      <c r="C9" s="25">
        <v>86</v>
      </c>
      <c r="D9" s="42" t="s">
        <v>173</v>
      </c>
      <c r="E9" s="272">
        <v>6</v>
      </c>
      <c r="F9" s="273">
        <v>1</v>
      </c>
      <c r="G9" s="274">
        <v>4</v>
      </c>
      <c r="H9" s="36">
        <v>0</v>
      </c>
      <c r="I9" s="36">
        <v>2</v>
      </c>
      <c r="J9" s="36">
        <v>9</v>
      </c>
      <c r="K9" s="36">
        <v>9</v>
      </c>
      <c r="L9" s="36">
        <v>8</v>
      </c>
      <c r="M9" s="36">
        <v>12</v>
      </c>
      <c r="N9" s="275">
        <v>2</v>
      </c>
      <c r="O9" s="27">
        <f t="shared" si="0"/>
        <v>1.6204119982655925</v>
      </c>
      <c r="P9" s="27">
        <f t="shared" si="1"/>
        <v>15.753033824702527</v>
      </c>
      <c r="Q9" s="27">
        <f t="shared" si="2"/>
        <v>10.809348390113877</v>
      </c>
      <c r="R9" s="276">
        <f t="shared" si="3"/>
        <v>3.0780125040881812</v>
      </c>
      <c r="S9" s="27">
        <f t="shared" si="4"/>
        <v>4.3859151419722044</v>
      </c>
      <c r="T9" s="27">
        <f t="shared" si="5"/>
        <v>5.7592310073091575</v>
      </c>
      <c r="U9" s="27">
        <f t="shared" si="6"/>
        <v>13.369892733647049</v>
      </c>
      <c r="V9" s="276">
        <f t="shared" si="7"/>
        <v>5.7592310073091575</v>
      </c>
      <c r="W9" s="27">
        <f t="shared" si="8"/>
        <v>2.7006866637759877</v>
      </c>
      <c r="X9" s="27">
        <f t="shared" si="9"/>
        <v>7.3681111661297614</v>
      </c>
      <c r="Y9" s="27">
        <f t="shared" si="10"/>
        <v>17.419960170837307</v>
      </c>
      <c r="Z9" s="276">
        <f t="shared" si="11"/>
        <v>7.3681111661297614</v>
      </c>
      <c r="AA9">
        <v>6600</v>
      </c>
      <c r="AB9" s="277">
        <v>11.8</v>
      </c>
      <c r="AC9" s="41">
        <v>900</v>
      </c>
      <c r="AD9" s="41">
        <v>1800</v>
      </c>
      <c r="AE9" s="278">
        <v>1820</v>
      </c>
      <c r="AF9" s="25">
        <f t="shared" si="12"/>
        <v>7732.971428571429</v>
      </c>
      <c r="AG9" s="25">
        <f t="shared" si="13"/>
        <v>6455.3714285714286</v>
      </c>
      <c r="AH9" s="279">
        <f t="shared" si="14"/>
        <v>6057.7714285714283</v>
      </c>
      <c r="AI9" s="25">
        <f t="shared" si="15"/>
        <v>688.46804451510332</v>
      </c>
      <c r="AJ9" s="25">
        <f t="shared" si="16"/>
        <v>699.22785299806571</v>
      </c>
      <c r="AK9" s="279">
        <f t="shared" si="17"/>
        <v>837.61777777777775</v>
      </c>
    </row>
    <row r="10" spans="1:37" x14ac:dyDescent="0.25">
      <c r="A10" s="246"/>
      <c r="B10" s="187">
        <v>23</v>
      </c>
      <c r="C10" s="25">
        <v>77</v>
      </c>
      <c r="D10" s="42" t="s">
        <v>161</v>
      </c>
      <c r="E10" s="245">
        <v>4</v>
      </c>
      <c r="F10" s="247">
        <v>1</v>
      </c>
      <c r="G10" s="248">
        <v>4</v>
      </c>
      <c r="H10" s="36">
        <v>0</v>
      </c>
      <c r="I10" s="36">
        <v>3</v>
      </c>
      <c r="J10" s="36">
        <v>5</v>
      </c>
      <c r="K10" s="36">
        <v>5</v>
      </c>
      <c r="L10" s="36">
        <v>13</v>
      </c>
      <c r="M10" s="36">
        <v>14</v>
      </c>
      <c r="N10" s="249">
        <v>4</v>
      </c>
      <c r="O10" s="27">
        <f t="shared" si="0"/>
        <v>1.0204119982655924</v>
      </c>
      <c r="P10" s="27">
        <f t="shared" si="1"/>
        <v>15.528033824702527</v>
      </c>
      <c r="Q10" s="27">
        <f t="shared" si="2"/>
        <v>13.263348390113878</v>
      </c>
      <c r="R10" s="250">
        <f t="shared" si="3"/>
        <v>3.5240125040881809</v>
      </c>
      <c r="S10" s="27">
        <f t="shared" si="4"/>
        <v>2.7619151419722039</v>
      </c>
      <c r="T10" s="27">
        <f t="shared" si="5"/>
        <v>6.6872310073091583</v>
      </c>
      <c r="U10" s="27">
        <f t="shared" si="6"/>
        <v>17.250892733647049</v>
      </c>
      <c r="V10" s="250">
        <f t="shared" si="7"/>
        <v>6.6872310073091583</v>
      </c>
      <c r="W10" s="27">
        <f t="shared" si="8"/>
        <v>1.7006866637759874</v>
      </c>
      <c r="X10" s="27">
        <f t="shared" si="9"/>
        <v>7.7141111661297606</v>
      </c>
      <c r="Y10" s="27">
        <f t="shared" si="10"/>
        <v>21.264960170837309</v>
      </c>
      <c r="Z10" s="250">
        <f t="shared" si="11"/>
        <v>7.7141111661297606</v>
      </c>
      <c r="AA10">
        <v>8762</v>
      </c>
      <c r="AB10" s="188">
        <v>29.3</v>
      </c>
      <c r="AC10" s="41">
        <v>1500</v>
      </c>
      <c r="AD10" s="41">
        <v>3500</v>
      </c>
      <c r="AE10" s="251">
        <v>5000</v>
      </c>
      <c r="AF10" s="25">
        <f t="shared" si="12"/>
        <v>13209.900000000001</v>
      </c>
      <c r="AG10" s="25">
        <f t="shared" si="13"/>
        <v>10272.299999999999</v>
      </c>
      <c r="AH10" s="252">
        <f t="shared" si="14"/>
        <v>7834.7000000000007</v>
      </c>
      <c r="AI10" s="25">
        <f t="shared" si="15"/>
        <v>992.29295774647903</v>
      </c>
      <c r="AJ10" s="25">
        <f t="shared" si="16"/>
        <v>908.04861878453028</v>
      </c>
      <c r="AK10" s="252">
        <f t="shared" si="17"/>
        <v>841.31006711409407</v>
      </c>
    </row>
    <row r="11" spans="1:37" x14ac:dyDescent="0.25">
      <c r="A11" s="246"/>
      <c r="B11" s="187">
        <v>25</v>
      </c>
      <c r="C11" s="25">
        <v>4</v>
      </c>
      <c r="D11" s="42" t="s">
        <v>164</v>
      </c>
      <c r="E11" s="245">
        <v>2</v>
      </c>
      <c r="F11" s="247">
        <v>1</v>
      </c>
      <c r="G11" s="248">
        <v>7</v>
      </c>
      <c r="H11" s="36">
        <v>0</v>
      </c>
      <c r="I11" s="36">
        <v>4</v>
      </c>
      <c r="J11" s="36">
        <v>11</v>
      </c>
      <c r="K11" s="36">
        <v>2</v>
      </c>
      <c r="L11" s="36">
        <v>11</v>
      </c>
      <c r="M11" s="36">
        <v>13</v>
      </c>
      <c r="N11" s="249">
        <v>5</v>
      </c>
      <c r="O11" s="27">
        <f t="shared" si="0"/>
        <v>1.9690196080028513</v>
      </c>
      <c r="P11" s="27">
        <f t="shared" si="1"/>
        <v>13.286752942585149</v>
      </c>
      <c r="Q11" s="27">
        <f t="shared" si="2"/>
        <v>12.437411765616252</v>
      </c>
      <c r="R11" s="250">
        <f t="shared" si="3"/>
        <v>3.3732758172309056</v>
      </c>
      <c r="S11" s="27">
        <f t="shared" si="4"/>
        <v>5.3294797389943849</v>
      </c>
      <c r="T11" s="27">
        <f t="shared" si="5"/>
        <v>5.7970614384632366</v>
      </c>
      <c r="U11" s="27">
        <f t="shared" si="6"/>
        <v>15.94677385740807</v>
      </c>
      <c r="V11" s="250">
        <f t="shared" si="7"/>
        <v>5.7970614384632366</v>
      </c>
      <c r="W11" s="27">
        <f t="shared" si="8"/>
        <v>3.2816993466714188</v>
      </c>
      <c r="X11" s="27">
        <f t="shared" si="9"/>
        <v>6.7089947719051759</v>
      </c>
      <c r="Y11" s="27">
        <f t="shared" si="10"/>
        <v>19.970585622372688</v>
      </c>
      <c r="Z11" s="250">
        <f t="shared" si="11"/>
        <v>6.7089947719051759</v>
      </c>
      <c r="AA11">
        <v>8100</v>
      </c>
      <c r="AB11" s="188">
        <v>22.4</v>
      </c>
      <c r="AC11" s="41">
        <v>2000</v>
      </c>
      <c r="AD11" s="41">
        <v>3000</v>
      </c>
      <c r="AE11" s="251">
        <v>3500</v>
      </c>
      <c r="AF11" s="25">
        <f t="shared" si="12"/>
        <v>9696.7999999999993</v>
      </c>
      <c r="AG11" s="25">
        <f t="shared" si="13"/>
        <v>7980</v>
      </c>
      <c r="AH11" s="252">
        <f t="shared" si="14"/>
        <v>6763.2000000000007</v>
      </c>
      <c r="AI11" s="25">
        <f t="shared" si="15"/>
        <v>810.47880597014921</v>
      </c>
      <c r="AJ11" s="25">
        <f t="shared" si="16"/>
        <v>800.86021505376345</v>
      </c>
      <c r="AK11" s="252">
        <f t="shared" si="17"/>
        <v>849.19103139013464</v>
      </c>
    </row>
    <row r="12" spans="1:37" x14ac:dyDescent="0.25">
      <c r="A12" s="246"/>
      <c r="B12" s="187">
        <v>27</v>
      </c>
      <c r="C12" s="25">
        <v>36</v>
      </c>
      <c r="D12" s="42" t="s">
        <v>164</v>
      </c>
      <c r="E12" s="245">
        <v>6</v>
      </c>
      <c r="F12" s="247">
        <v>1</v>
      </c>
      <c r="G12" s="248">
        <v>5</v>
      </c>
      <c r="H12" s="36">
        <v>0</v>
      </c>
      <c r="I12" s="36">
        <v>4</v>
      </c>
      <c r="J12" s="36">
        <v>6</v>
      </c>
      <c r="K12" s="36">
        <v>7</v>
      </c>
      <c r="L12" s="36">
        <v>9</v>
      </c>
      <c r="M12" s="36">
        <v>14</v>
      </c>
      <c r="N12" s="249">
        <v>4</v>
      </c>
      <c r="O12" s="27">
        <f t="shared" si="0"/>
        <v>1.1897940008672037</v>
      </c>
      <c r="P12" s="27">
        <f t="shared" si="1"/>
        <v>16.070983087648735</v>
      </c>
      <c r="Q12" s="27">
        <f t="shared" si="2"/>
        <v>12.381825804943061</v>
      </c>
      <c r="R12" s="250">
        <f t="shared" si="3"/>
        <v>3.5528270812892426</v>
      </c>
      <c r="S12" s="27">
        <f t="shared" si="4"/>
        <v>3.2203757623472318</v>
      </c>
      <c r="T12" s="27">
        <f t="shared" si="5"/>
        <v>6.0425511630120869</v>
      </c>
      <c r="U12" s="27">
        <f t="shared" si="6"/>
        <v>15.224386966509808</v>
      </c>
      <c r="V12" s="250">
        <f t="shared" si="7"/>
        <v>6.0425511630120869</v>
      </c>
      <c r="W12" s="27">
        <f t="shared" si="8"/>
        <v>1.9829900014453397</v>
      </c>
      <c r="X12" s="27">
        <f t="shared" si="9"/>
        <v>7.6686110836017853</v>
      </c>
      <c r="Y12" s="27">
        <f t="shared" si="10"/>
        <v>19.96585324791468</v>
      </c>
      <c r="Z12" s="250">
        <f t="shared" si="11"/>
        <v>7.6686110836017853</v>
      </c>
      <c r="AA12">
        <v>6000</v>
      </c>
      <c r="AB12" s="188">
        <v>27.3</v>
      </c>
      <c r="AC12" s="41">
        <v>1400</v>
      </c>
      <c r="AD12" s="41">
        <v>1800</v>
      </c>
      <c r="AE12" s="251">
        <v>3000</v>
      </c>
      <c r="AF12" s="25">
        <f t="shared" si="12"/>
        <v>8234.7999999999993</v>
      </c>
      <c r="AG12" s="25">
        <f t="shared" si="13"/>
        <v>6961.2000000000007</v>
      </c>
      <c r="AH12" s="252">
        <f t="shared" si="14"/>
        <v>4887.6000000000004</v>
      </c>
      <c r="AI12" s="25">
        <f t="shared" si="15"/>
        <v>850.82804428044267</v>
      </c>
      <c r="AJ12" s="25">
        <f t="shared" si="16"/>
        <v>906.5748837209303</v>
      </c>
      <c r="AK12" s="252">
        <f t="shared" si="17"/>
        <v>860.70943396226414</v>
      </c>
    </row>
    <row r="13" spans="1:37" x14ac:dyDescent="0.25">
      <c r="A13" s="246"/>
      <c r="B13" s="187">
        <v>27</v>
      </c>
      <c r="C13" s="25">
        <v>10</v>
      </c>
      <c r="D13" s="42" t="s">
        <v>164</v>
      </c>
      <c r="E13" s="245">
        <v>3</v>
      </c>
      <c r="F13" s="247">
        <v>1</v>
      </c>
      <c r="G13" s="248">
        <v>5</v>
      </c>
      <c r="H13" s="36">
        <v>0</v>
      </c>
      <c r="I13" s="36">
        <v>1</v>
      </c>
      <c r="J13" s="36">
        <v>4</v>
      </c>
      <c r="K13" s="36">
        <v>2</v>
      </c>
      <c r="L13" s="36">
        <v>14</v>
      </c>
      <c r="M13" s="36">
        <v>13</v>
      </c>
      <c r="N13" s="249">
        <v>2</v>
      </c>
      <c r="O13" s="27">
        <f t="shared" si="0"/>
        <v>0.88979400086720373</v>
      </c>
      <c r="P13" s="27">
        <f t="shared" si="1"/>
        <v>13.613983087648737</v>
      </c>
      <c r="Q13" s="27">
        <f t="shared" si="2"/>
        <v>13.014825804943062</v>
      </c>
      <c r="R13" s="250">
        <f t="shared" si="3"/>
        <v>3.3298270812892428</v>
      </c>
      <c r="S13" s="27">
        <f t="shared" si="4"/>
        <v>2.4083757623472319</v>
      </c>
      <c r="T13" s="27">
        <f t="shared" si="5"/>
        <v>6.4455511630120874</v>
      </c>
      <c r="U13" s="27">
        <f t="shared" si="6"/>
        <v>17.35638696650981</v>
      </c>
      <c r="V13" s="250">
        <f t="shared" si="7"/>
        <v>6.4455511630120874</v>
      </c>
      <c r="W13" s="27">
        <f t="shared" si="8"/>
        <v>1.4829900014453397</v>
      </c>
      <c r="X13" s="27">
        <f t="shared" si="9"/>
        <v>7.013611083601786</v>
      </c>
      <c r="Y13" s="27">
        <f t="shared" si="10"/>
        <v>20.810853247914679</v>
      </c>
      <c r="Z13" s="250">
        <f t="shared" si="11"/>
        <v>7.013611083601786</v>
      </c>
      <c r="AA13">
        <v>5500</v>
      </c>
      <c r="AB13" s="188">
        <v>23.2</v>
      </c>
      <c r="AC13" s="41">
        <v>1200</v>
      </c>
      <c r="AD13" s="41">
        <v>1500</v>
      </c>
      <c r="AE13" s="251">
        <v>1900</v>
      </c>
      <c r="AF13" s="25">
        <f t="shared" si="12"/>
        <v>7302.7428571428572</v>
      </c>
      <c r="AG13" s="25">
        <f t="shared" si="13"/>
        <v>6260.3428571428576</v>
      </c>
      <c r="AH13" s="252">
        <f t="shared" si="14"/>
        <v>5117.9428571428571</v>
      </c>
      <c r="AI13" s="25">
        <f t="shared" si="15"/>
        <v>736.85333333333324</v>
      </c>
      <c r="AJ13" s="25">
        <f t="shared" si="16"/>
        <v>791.37516930022582</v>
      </c>
      <c r="AK13" s="252">
        <f t="shared" si="17"/>
        <v>865.87552870090633</v>
      </c>
    </row>
    <row r="14" spans="1:37" x14ac:dyDescent="0.25">
      <c r="A14" s="246"/>
      <c r="B14" s="187">
        <v>29</v>
      </c>
      <c r="C14" s="25">
        <v>20</v>
      </c>
      <c r="D14" s="42" t="s">
        <v>161</v>
      </c>
      <c r="E14" s="245">
        <v>5</v>
      </c>
      <c r="F14" s="247">
        <v>1</v>
      </c>
      <c r="G14" s="248">
        <v>7</v>
      </c>
      <c r="H14" s="36">
        <v>0</v>
      </c>
      <c r="I14" s="36">
        <v>4</v>
      </c>
      <c r="J14" s="36">
        <v>2</v>
      </c>
      <c r="K14" s="36">
        <v>2</v>
      </c>
      <c r="L14" s="36">
        <v>16</v>
      </c>
      <c r="M14" s="36">
        <v>12</v>
      </c>
      <c r="N14" s="249">
        <v>16</v>
      </c>
      <c r="O14" s="27">
        <f t="shared" si="0"/>
        <v>0.61901960800285127</v>
      </c>
      <c r="P14" s="27">
        <f t="shared" si="1"/>
        <v>13.709752942585149</v>
      </c>
      <c r="Q14" s="27">
        <f t="shared" si="2"/>
        <v>13.070411765616253</v>
      </c>
      <c r="R14" s="250">
        <f t="shared" si="3"/>
        <v>3.1502758172309058</v>
      </c>
      <c r="S14" s="27">
        <f t="shared" si="4"/>
        <v>1.6754797389943843</v>
      </c>
      <c r="T14" s="27">
        <f t="shared" si="5"/>
        <v>6.9200614384632368</v>
      </c>
      <c r="U14" s="27">
        <f t="shared" si="6"/>
        <v>18.078773857408073</v>
      </c>
      <c r="V14" s="250">
        <f t="shared" si="7"/>
        <v>6.9200614384632368</v>
      </c>
      <c r="W14" s="27">
        <f t="shared" si="8"/>
        <v>1.0316993466714188</v>
      </c>
      <c r="X14" s="27">
        <f t="shared" si="9"/>
        <v>7.1589947719051761</v>
      </c>
      <c r="Y14" s="27">
        <f t="shared" si="10"/>
        <v>20.815585622372691</v>
      </c>
      <c r="Z14" s="250">
        <f t="shared" si="11"/>
        <v>7.1589947719051761</v>
      </c>
      <c r="AA14">
        <v>3290</v>
      </c>
      <c r="AB14" s="188">
        <v>36.1</v>
      </c>
      <c r="AC14" s="41">
        <v>850</v>
      </c>
      <c r="AD14" s="41">
        <v>950</v>
      </c>
      <c r="AE14" s="251">
        <v>1200</v>
      </c>
      <c r="AF14" s="25">
        <f t="shared" si="12"/>
        <v>6008.7428571428572</v>
      </c>
      <c r="AG14" s="25">
        <f t="shared" si="13"/>
        <v>4753.5428571428574</v>
      </c>
      <c r="AH14" s="252">
        <f t="shared" si="14"/>
        <v>3348.3428571428576</v>
      </c>
      <c r="AI14" s="25">
        <f t="shared" si="15"/>
        <v>768.24109589041097</v>
      </c>
      <c r="AJ14" s="25">
        <f t="shared" si="16"/>
        <v>816.55950920245402</v>
      </c>
      <c r="AK14" s="252">
        <f t="shared" si="17"/>
        <v>876.20186915887871</v>
      </c>
    </row>
    <row r="15" spans="1:37" x14ac:dyDescent="0.25">
      <c r="A15" s="246"/>
      <c r="B15" s="187">
        <v>27</v>
      </c>
      <c r="C15" s="25">
        <v>103</v>
      </c>
      <c r="D15" s="42" t="s">
        <v>173</v>
      </c>
      <c r="E15" s="245">
        <v>3</v>
      </c>
      <c r="F15" s="247">
        <v>1</v>
      </c>
      <c r="G15" s="248">
        <v>6</v>
      </c>
      <c r="H15" s="36">
        <v>0</v>
      </c>
      <c r="I15" s="36">
        <v>4</v>
      </c>
      <c r="J15" s="36">
        <v>9</v>
      </c>
      <c r="K15" s="36">
        <v>1</v>
      </c>
      <c r="L15" s="36">
        <v>14</v>
      </c>
      <c r="M15" s="36">
        <v>12</v>
      </c>
      <c r="N15" s="249">
        <v>1</v>
      </c>
      <c r="O15" s="27">
        <f t="shared" si="0"/>
        <v>1.6556302500767288</v>
      </c>
      <c r="P15" s="27">
        <f t="shared" si="1"/>
        <v>12.62565880567675</v>
      </c>
      <c r="Q15" s="27">
        <f t="shared" si="2"/>
        <v>12.498092425437354</v>
      </c>
      <c r="R15" s="250">
        <f t="shared" si="3"/>
        <v>3.1303703051140701</v>
      </c>
      <c r="S15" s="27">
        <f t="shared" si="4"/>
        <v>4.4812392102076792</v>
      </c>
      <c r="T15" s="27">
        <f t="shared" si="5"/>
        <v>6.229555735266505</v>
      </c>
      <c r="U15" s="27">
        <f t="shared" si="6"/>
        <v>16.892264410575976</v>
      </c>
      <c r="V15" s="250">
        <f t="shared" si="7"/>
        <v>6.229555735266505</v>
      </c>
      <c r="W15" s="27">
        <f t="shared" si="8"/>
        <v>2.7593837501278813</v>
      </c>
      <c r="X15" s="27">
        <f t="shared" si="9"/>
        <v>6.5983843053186799</v>
      </c>
      <c r="Y15" s="27">
        <f t="shared" si="10"/>
        <v>19.955385415700277</v>
      </c>
      <c r="Z15" s="250">
        <f t="shared" si="11"/>
        <v>6.5983843053186799</v>
      </c>
      <c r="AA15">
        <v>5280</v>
      </c>
      <c r="AB15" s="188">
        <v>17.5</v>
      </c>
      <c r="AC15" s="41">
        <v>880</v>
      </c>
      <c r="AD15" s="41">
        <v>1100</v>
      </c>
      <c r="AE15" s="251">
        <v>2200</v>
      </c>
      <c r="AF15" s="25">
        <f t="shared" si="12"/>
        <v>6897.5</v>
      </c>
      <c r="AG15" s="25">
        <f t="shared" si="13"/>
        <v>6117.5</v>
      </c>
      <c r="AH15" s="252">
        <f t="shared" si="14"/>
        <v>4457.5</v>
      </c>
      <c r="AI15" s="25">
        <f t="shared" si="15"/>
        <v>759.60668633235014</v>
      </c>
      <c r="AJ15" s="25">
        <f t="shared" si="16"/>
        <v>864.01008827238331</v>
      </c>
      <c r="AK15" s="252">
        <f t="shared" si="17"/>
        <v>877.39894551845339</v>
      </c>
    </row>
    <row r="16" spans="1:37" x14ac:dyDescent="0.25">
      <c r="A16" s="280"/>
      <c r="B16" s="187">
        <v>27</v>
      </c>
      <c r="C16" s="25">
        <v>47</v>
      </c>
      <c r="D16" s="42" t="s">
        <v>164</v>
      </c>
      <c r="E16" s="245">
        <v>3</v>
      </c>
      <c r="F16" s="247">
        <v>1</v>
      </c>
      <c r="G16" s="248">
        <v>7</v>
      </c>
      <c r="H16" s="36">
        <v>0</v>
      </c>
      <c r="I16" s="36">
        <v>5</v>
      </c>
      <c r="J16" s="36">
        <v>5</v>
      </c>
      <c r="K16" s="36">
        <v>7</v>
      </c>
      <c r="L16" s="36">
        <v>11</v>
      </c>
      <c r="M16" s="36">
        <v>13</v>
      </c>
      <c r="N16" s="249">
        <v>8</v>
      </c>
      <c r="O16" s="27">
        <f t="shared" si="0"/>
        <v>1.0690196080028513</v>
      </c>
      <c r="P16" s="27">
        <f t="shared" si="1"/>
        <v>16.166752942585148</v>
      </c>
      <c r="Q16" s="27">
        <f t="shared" si="2"/>
        <v>12.437411765616252</v>
      </c>
      <c r="R16" s="250">
        <f t="shared" si="3"/>
        <v>3.3732758172309056</v>
      </c>
      <c r="S16" s="27">
        <f t="shared" si="4"/>
        <v>2.8934797389943845</v>
      </c>
      <c r="T16" s="27">
        <f t="shared" si="5"/>
        <v>6.5170614384632373</v>
      </c>
      <c r="U16" s="27">
        <f t="shared" si="6"/>
        <v>15.94677385740807</v>
      </c>
      <c r="V16" s="250">
        <f t="shared" si="7"/>
        <v>6.5170614384632373</v>
      </c>
      <c r="W16" s="27">
        <f t="shared" si="8"/>
        <v>1.7816993466714188</v>
      </c>
      <c r="X16" s="27">
        <f t="shared" si="9"/>
        <v>7.8139947719051754</v>
      </c>
      <c r="Y16" s="27">
        <f t="shared" si="10"/>
        <v>19.970585622372688</v>
      </c>
      <c r="Z16" s="250">
        <f t="shared" si="11"/>
        <v>7.8139947719051754</v>
      </c>
      <c r="AA16">
        <v>5400</v>
      </c>
      <c r="AB16" s="188">
        <v>24.7</v>
      </c>
      <c r="AC16" s="41">
        <v>950</v>
      </c>
      <c r="AD16" s="41">
        <v>1600</v>
      </c>
      <c r="AE16" s="251">
        <v>2250</v>
      </c>
      <c r="AF16" s="25">
        <f t="shared" si="12"/>
        <v>7777.442857142858</v>
      </c>
      <c r="AG16" s="25">
        <f t="shared" si="13"/>
        <v>6337.0428571428565</v>
      </c>
      <c r="AH16" s="252">
        <f t="shared" si="14"/>
        <v>4896.6428571428569</v>
      </c>
      <c r="AI16" s="25">
        <f t="shared" si="15"/>
        <v>811.81136999068042</v>
      </c>
      <c r="AJ16" s="25">
        <f t="shared" si="16"/>
        <v>835.98209658421661</v>
      </c>
      <c r="AK16" s="252">
        <f t="shared" si="17"/>
        <v>877.47839999999985</v>
      </c>
    </row>
    <row r="17" spans="1:39" x14ac:dyDescent="0.25">
      <c r="A17" s="246"/>
      <c r="B17" s="187">
        <v>23</v>
      </c>
      <c r="C17" s="25">
        <v>59</v>
      </c>
      <c r="D17" s="42" t="s">
        <v>161</v>
      </c>
      <c r="E17" s="245">
        <v>4</v>
      </c>
      <c r="F17" s="247">
        <v>1</v>
      </c>
      <c r="G17" s="248">
        <v>1</v>
      </c>
      <c r="H17" s="36">
        <v>0</v>
      </c>
      <c r="I17" s="36">
        <v>2</v>
      </c>
      <c r="J17" s="36">
        <v>6</v>
      </c>
      <c r="K17" s="36">
        <v>3</v>
      </c>
      <c r="L17" s="36">
        <v>11</v>
      </c>
      <c r="M17" s="36">
        <v>14</v>
      </c>
      <c r="N17" s="249">
        <v>8</v>
      </c>
      <c r="O17" s="27">
        <f t="shared" si="0"/>
        <v>1.05</v>
      </c>
      <c r="P17" s="27">
        <f t="shared" si="1"/>
        <v>12.924000000000001</v>
      </c>
      <c r="Q17" s="27">
        <f t="shared" si="2"/>
        <v>12.081</v>
      </c>
      <c r="R17" s="250">
        <f t="shared" si="3"/>
        <v>3.3450000000000002</v>
      </c>
      <c r="S17" s="27">
        <f t="shared" si="4"/>
        <v>2.8420000000000001</v>
      </c>
      <c r="T17" s="27">
        <f t="shared" si="5"/>
        <v>5.4809999999999999</v>
      </c>
      <c r="U17" s="27">
        <f t="shared" si="6"/>
        <v>15.260999999999999</v>
      </c>
      <c r="V17" s="250">
        <f t="shared" si="7"/>
        <v>5.4809999999999999</v>
      </c>
      <c r="W17" s="27">
        <f t="shared" si="8"/>
        <v>1.75</v>
      </c>
      <c r="X17" s="27">
        <f t="shared" si="9"/>
        <v>6.4880000000000004</v>
      </c>
      <c r="Y17" s="27">
        <f t="shared" si="10"/>
        <v>19.428000000000001</v>
      </c>
      <c r="Z17" s="250">
        <f t="shared" si="11"/>
        <v>6.4880000000000004</v>
      </c>
      <c r="AA17">
        <v>7250</v>
      </c>
      <c r="AB17" s="188">
        <v>26.1</v>
      </c>
      <c r="AC17" s="41">
        <v>1300</v>
      </c>
      <c r="AD17" s="41">
        <v>1600</v>
      </c>
      <c r="AE17" s="251">
        <v>2000</v>
      </c>
      <c r="AF17" s="25">
        <f t="shared" si="12"/>
        <v>11181.185714285715</v>
      </c>
      <c r="AG17" s="25">
        <f t="shared" si="13"/>
        <v>10045.985714285714</v>
      </c>
      <c r="AH17" s="252">
        <f t="shared" si="14"/>
        <v>8810.7857142857138</v>
      </c>
      <c r="AI17" s="25">
        <f t="shared" si="15"/>
        <v>829.88257123923131</v>
      </c>
      <c r="AJ17" s="25">
        <f t="shared" si="16"/>
        <v>875.60342412451359</v>
      </c>
      <c r="AK17" s="252">
        <f t="shared" si="17"/>
        <v>930.07351555136654</v>
      </c>
    </row>
    <row r="18" spans="1:39" x14ac:dyDescent="0.25">
      <c r="A18" s="246"/>
      <c r="B18" s="187">
        <v>28</v>
      </c>
      <c r="C18" s="25">
        <v>63</v>
      </c>
      <c r="D18" s="42" t="s">
        <v>164</v>
      </c>
      <c r="E18" s="245">
        <v>3</v>
      </c>
      <c r="F18" s="247">
        <v>1</v>
      </c>
      <c r="G18" s="248">
        <v>7</v>
      </c>
      <c r="H18" s="36">
        <v>0</v>
      </c>
      <c r="I18" s="36">
        <v>3</v>
      </c>
      <c r="J18" s="36">
        <v>7</v>
      </c>
      <c r="K18" s="36">
        <v>7</v>
      </c>
      <c r="L18" s="36">
        <v>13</v>
      </c>
      <c r="M18" s="36">
        <v>13</v>
      </c>
      <c r="N18" s="249">
        <v>0</v>
      </c>
      <c r="O18" s="27">
        <f t="shared" si="0"/>
        <v>1.3690196080028512</v>
      </c>
      <c r="P18" s="27">
        <f t="shared" si="1"/>
        <v>16.556752942585149</v>
      </c>
      <c r="Q18" s="27">
        <f t="shared" si="2"/>
        <v>12.933411765616253</v>
      </c>
      <c r="R18" s="250">
        <f t="shared" si="3"/>
        <v>3.3732758172309056</v>
      </c>
      <c r="S18" s="27">
        <f t="shared" si="4"/>
        <v>3.7054797389943843</v>
      </c>
      <c r="T18" s="27">
        <f t="shared" si="5"/>
        <v>7.0170614384632373</v>
      </c>
      <c r="U18" s="27">
        <f t="shared" si="6"/>
        <v>17.03277385740807</v>
      </c>
      <c r="V18" s="250">
        <f t="shared" si="7"/>
        <v>7.0170614384632373</v>
      </c>
      <c r="W18" s="27">
        <f t="shared" si="8"/>
        <v>2.2816993466714188</v>
      </c>
      <c r="X18" s="27">
        <f t="shared" si="9"/>
        <v>8.0979947719051744</v>
      </c>
      <c r="Y18" s="27">
        <f t="shared" si="10"/>
        <v>20.708585622372688</v>
      </c>
      <c r="Z18" s="250">
        <f t="shared" si="11"/>
        <v>8.0979947719051744</v>
      </c>
      <c r="AA18" s="281">
        <v>5800</v>
      </c>
      <c r="AB18" s="188">
        <v>26.7</v>
      </c>
      <c r="AC18" s="41">
        <v>1500</v>
      </c>
      <c r="AD18" s="41">
        <v>2100</v>
      </c>
      <c r="AE18" s="251">
        <v>2700</v>
      </c>
      <c r="AF18" s="25">
        <f t="shared" si="12"/>
        <v>7530.7000000000007</v>
      </c>
      <c r="AG18" s="25">
        <f t="shared" si="13"/>
        <v>6076.2999999999993</v>
      </c>
      <c r="AH18" s="252">
        <f t="shared" si="14"/>
        <v>4621.8999999999996</v>
      </c>
      <c r="AI18" s="25">
        <f t="shared" si="15"/>
        <v>892.52740740740751</v>
      </c>
      <c r="AJ18" s="25">
        <f t="shared" si="16"/>
        <v>943.89126213592226</v>
      </c>
      <c r="AK18" s="252">
        <f t="shared" si="17"/>
        <v>1041.5549295774647</v>
      </c>
      <c r="AL18" s="194"/>
      <c r="AM18" s="194"/>
    </row>
    <row r="19" spans="1:39" x14ac:dyDescent="0.25">
      <c r="A19" s="246"/>
      <c r="B19" s="187">
        <v>27</v>
      </c>
      <c r="C19" s="25">
        <v>38</v>
      </c>
      <c r="D19" s="42" t="s">
        <v>161</v>
      </c>
      <c r="E19" s="245">
        <v>2</v>
      </c>
      <c r="F19" s="247">
        <v>1</v>
      </c>
      <c r="G19" s="248">
        <v>6</v>
      </c>
      <c r="H19" s="36">
        <v>0</v>
      </c>
      <c r="I19" s="36">
        <v>3</v>
      </c>
      <c r="J19" s="36">
        <v>14</v>
      </c>
      <c r="K19" s="36">
        <v>9</v>
      </c>
      <c r="L19" s="36">
        <v>2</v>
      </c>
      <c r="M19" s="36">
        <v>13</v>
      </c>
      <c r="N19" s="249">
        <v>15</v>
      </c>
      <c r="O19" s="27">
        <f t="shared" si="0"/>
        <v>2.4056302500767286</v>
      </c>
      <c r="P19" s="27">
        <f t="shared" si="1"/>
        <v>15.44565880567675</v>
      </c>
      <c r="Q19" s="27">
        <f t="shared" si="2"/>
        <v>10.129092425437353</v>
      </c>
      <c r="R19" s="250">
        <f t="shared" si="3"/>
        <v>3.35337030511407</v>
      </c>
      <c r="S19" s="27">
        <f t="shared" si="4"/>
        <v>6.5112392102076795</v>
      </c>
      <c r="T19" s="27">
        <f t="shared" si="5"/>
        <v>4.508555735266504</v>
      </c>
      <c r="U19" s="27">
        <f t="shared" si="6"/>
        <v>10.959264410575978</v>
      </c>
      <c r="V19" s="250">
        <f t="shared" si="7"/>
        <v>4.508555735266504</v>
      </c>
      <c r="W19" s="27">
        <f t="shared" si="8"/>
        <v>4.0093837501278813</v>
      </c>
      <c r="X19" s="27">
        <f t="shared" si="9"/>
        <v>6.9223843053186807</v>
      </c>
      <c r="Y19" s="27">
        <f t="shared" si="10"/>
        <v>16.527385415700277</v>
      </c>
      <c r="Z19" s="250">
        <f t="shared" si="11"/>
        <v>6.9223843053186807</v>
      </c>
      <c r="AA19">
        <v>6000</v>
      </c>
      <c r="AB19" s="188">
        <f>32.8*1.2</f>
        <v>39.359999999999992</v>
      </c>
      <c r="AC19" s="41">
        <v>500</v>
      </c>
      <c r="AD19" s="41">
        <v>1400</v>
      </c>
      <c r="AE19" s="251">
        <v>2400</v>
      </c>
      <c r="AF19" s="25">
        <f t="shared" si="12"/>
        <v>10751.74857142857</v>
      </c>
      <c r="AG19" s="25">
        <f t="shared" si="13"/>
        <v>8592.2285714285717</v>
      </c>
      <c r="AH19" s="252">
        <f t="shared" si="14"/>
        <v>6332.7085714285713</v>
      </c>
      <c r="AI19" s="25">
        <f t="shared" si="15"/>
        <v>1112.9351571164509</v>
      </c>
      <c r="AJ19" s="25">
        <f t="shared" si="16"/>
        <v>1121.5962703962705</v>
      </c>
      <c r="AK19" s="252">
        <f t="shared" si="17"/>
        <v>1118.7119242902208</v>
      </c>
    </row>
    <row r="20" spans="1:39" x14ac:dyDescent="0.25">
      <c r="A20" s="246"/>
      <c r="B20" s="187">
        <v>26</v>
      </c>
      <c r="C20" s="25">
        <v>100</v>
      </c>
      <c r="D20" s="42" t="s">
        <v>164</v>
      </c>
      <c r="E20" s="245">
        <v>3</v>
      </c>
      <c r="F20" s="247">
        <v>1</v>
      </c>
      <c r="G20" s="248">
        <v>6</v>
      </c>
      <c r="H20" s="36">
        <v>1</v>
      </c>
      <c r="I20" s="36">
        <v>4</v>
      </c>
      <c r="J20" s="36">
        <v>7</v>
      </c>
      <c r="K20" s="36">
        <v>7</v>
      </c>
      <c r="L20" s="36">
        <v>10</v>
      </c>
      <c r="M20" s="36">
        <v>14</v>
      </c>
      <c r="N20" s="249">
        <v>1</v>
      </c>
      <c r="O20" s="27">
        <f t="shared" si="0"/>
        <v>1.3556302500767288</v>
      </c>
      <c r="P20" s="27">
        <f t="shared" si="1"/>
        <v>16.405658805676747</v>
      </c>
      <c r="Q20" s="27">
        <f t="shared" si="2"/>
        <v>12.720092425437354</v>
      </c>
      <c r="R20" s="250">
        <f t="shared" si="3"/>
        <v>3.5763703051140703</v>
      </c>
      <c r="S20" s="27">
        <f t="shared" si="4"/>
        <v>3.6692392102076794</v>
      </c>
      <c r="T20" s="27">
        <f t="shared" si="5"/>
        <v>6.3475557352665035</v>
      </c>
      <c r="U20" s="27">
        <f t="shared" si="6"/>
        <v>15.886264410575976</v>
      </c>
      <c r="V20" s="250">
        <f t="shared" si="7"/>
        <v>6.3475557352665035</v>
      </c>
      <c r="W20" s="27">
        <f t="shared" si="8"/>
        <v>2.2593837501278813</v>
      </c>
      <c r="X20" s="27">
        <f t="shared" si="9"/>
        <v>7.8763843053186804</v>
      </c>
      <c r="Y20" s="27">
        <f t="shared" si="10"/>
        <v>20.479385415700278</v>
      </c>
      <c r="Z20" s="250">
        <f t="shared" si="11"/>
        <v>7.8763843053186804</v>
      </c>
      <c r="AA20" s="281">
        <v>7100</v>
      </c>
      <c r="AB20" s="188">
        <v>29</v>
      </c>
      <c r="AC20" s="41">
        <v>1900</v>
      </c>
      <c r="AD20" s="41">
        <v>2300</v>
      </c>
      <c r="AE20" s="251">
        <v>3000</v>
      </c>
      <c r="AF20" s="25">
        <f t="shared" si="12"/>
        <v>9790.2857142857138</v>
      </c>
      <c r="AG20" s="25">
        <f t="shared" si="13"/>
        <v>8462.2857142857138</v>
      </c>
      <c r="AH20" s="252">
        <f t="shared" si="14"/>
        <v>6834.2857142857138</v>
      </c>
      <c r="AI20" s="25">
        <f t="shared" si="15"/>
        <v>968.65017667844518</v>
      </c>
      <c r="AJ20" s="25">
        <f t="shared" si="16"/>
        <v>1043.8061674008809</v>
      </c>
      <c r="AK20" s="252">
        <f t="shared" si="17"/>
        <v>1119.0643274853801</v>
      </c>
    </row>
    <row r="21" spans="1:39" x14ac:dyDescent="0.25">
      <c r="A21" s="246"/>
      <c r="B21" s="187">
        <v>29</v>
      </c>
      <c r="C21" s="25">
        <v>83</v>
      </c>
      <c r="D21" s="42" t="s">
        <v>164</v>
      </c>
      <c r="E21" s="245">
        <v>3</v>
      </c>
      <c r="F21" s="247">
        <v>1</v>
      </c>
      <c r="G21" s="248">
        <v>7</v>
      </c>
      <c r="H21" s="36">
        <v>0</v>
      </c>
      <c r="I21" s="36">
        <v>1</v>
      </c>
      <c r="J21" s="36">
        <v>13</v>
      </c>
      <c r="K21" s="36">
        <v>6</v>
      </c>
      <c r="L21" s="36">
        <v>12</v>
      </c>
      <c r="M21" s="36">
        <v>12</v>
      </c>
      <c r="N21" s="249">
        <v>13</v>
      </c>
      <c r="O21" s="27">
        <f t="shared" si="0"/>
        <v>2.2690196080028513</v>
      </c>
      <c r="P21" s="27">
        <f t="shared" si="1"/>
        <v>15.233752942585149</v>
      </c>
      <c r="Q21" s="27">
        <f t="shared" si="2"/>
        <v>12.078411765616252</v>
      </c>
      <c r="R21" s="250">
        <f t="shared" si="3"/>
        <v>3.1502758172309058</v>
      </c>
      <c r="S21" s="27">
        <f t="shared" si="4"/>
        <v>6.1414797389943843</v>
      </c>
      <c r="T21" s="27">
        <f t="shared" si="5"/>
        <v>6.4960614384632365</v>
      </c>
      <c r="U21" s="27">
        <f t="shared" si="6"/>
        <v>15.906773857408069</v>
      </c>
      <c r="V21" s="250">
        <f t="shared" si="7"/>
        <v>6.4960614384632365</v>
      </c>
      <c r="W21" s="27">
        <f t="shared" si="8"/>
        <v>3.7816993466714188</v>
      </c>
      <c r="X21" s="27">
        <f t="shared" si="9"/>
        <v>7.474994771905175</v>
      </c>
      <c r="Y21" s="27">
        <f t="shared" si="10"/>
        <v>19.339585622372688</v>
      </c>
      <c r="Z21" s="250">
        <f t="shared" si="11"/>
        <v>7.474994771905175</v>
      </c>
      <c r="AA21">
        <v>7100</v>
      </c>
      <c r="AB21" s="188">
        <v>23.9</v>
      </c>
      <c r="AC21" s="41">
        <v>1650</v>
      </c>
      <c r="AD21" s="41">
        <v>2700</v>
      </c>
      <c r="AE21" s="251">
        <v>4000</v>
      </c>
      <c r="AF21" s="25">
        <f t="shared" si="12"/>
        <v>8027.7857142857138</v>
      </c>
      <c r="AG21" s="25">
        <f t="shared" si="13"/>
        <v>6212.9857142857145</v>
      </c>
      <c r="AH21" s="252">
        <f t="shared" si="14"/>
        <v>4148.1857142857143</v>
      </c>
      <c r="AI21" s="25">
        <f t="shared" si="15"/>
        <v>1105.9188191881919</v>
      </c>
      <c r="AJ21" s="25">
        <f t="shared" si="16"/>
        <v>1181.416638370119</v>
      </c>
      <c r="AK21" s="252">
        <f t="shared" si="17"/>
        <v>1272.8679452054794</v>
      </c>
    </row>
    <row r="22" spans="1:39" x14ac:dyDescent="0.25">
      <c r="A22" s="246"/>
      <c r="B22" s="187">
        <v>28</v>
      </c>
      <c r="C22" s="25">
        <v>77</v>
      </c>
      <c r="D22" s="42" t="s">
        <v>164</v>
      </c>
      <c r="E22" s="245">
        <v>4</v>
      </c>
      <c r="F22" s="247">
        <v>1</v>
      </c>
      <c r="G22" s="248">
        <v>9</v>
      </c>
      <c r="H22" s="36">
        <v>0</v>
      </c>
      <c r="I22" s="36">
        <v>4</v>
      </c>
      <c r="J22" s="36">
        <v>9</v>
      </c>
      <c r="K22" s="36">
        <v>14</v>
      </c>
      <c r="L22" s="36">
        <v>13</v>
      </c>
      <c r="M22" s="36">
        <v>13</v>
      </c>
      <c r="N22" s="249">
        <v>2</v>
      </c>
      <c r="O22" s="27">
        <f t="shared" si="0"/>
        <v>1.690848501887865</v>
      </c>
      <c r="P22" s="27">
        <f t="shared" si="1"/>
        <v>20.781283786650967</v>
      </c>
      <c r="Q22" s="27">
        <f t="shared" si="2"/>
        <v>13.057836460760829</v>
      </c>
      <c r="R22" s="250">
        <f t="shared" si="3"/>
        <v>3.4057281061399594</v>
      </c>
      <c r="S22" s="27">
        <f t="shared" si="4"/>
        <v>4.5765632784431549</v>
      </c>
      <c r="T22" s="27">
        <f t="shared" si="5"/>
        <v>8.1008804632238505</v>
      </c>
      <c r="U22" s="27">
        <f t="shared" si="6"/>
        <v>17.196636087504906</v>
      </c>
      <c r="V22" s="250">
        <f t="shared" si="7"/>
        <v>8.1008804632238505</v>
      </c>
      <c r="W22" s="27">
        <f t="shared" si="8"/>
        <v>2.8180808364797749</v>
      </c>
      <c r="X22" s="27">
        <f t="shared" si="9"/>
        <v>9.7356574445075985</v>
      </c>
      <c r="Y22" s="27">
        <f t="shared" si="10"/>
        <v>20.907810660563246</v>
      </c>
      <c r="Z22" s="250">
        <f t="shared" si="11"/>
        <v>9.7356574445075985</v>
      </c>
      <c r="AA22">
        <v>9900</v>
      </c>
      <c r="AB22" s="188">
        <f>23.2*1.2</f>
        <v>27.84</v>
      </c>
      <c r="AC22" s="41">
        <v>2500</v>
      </c>
      <c r="AD22" s="41">
        <v>4500</v>
      </c>
      <c r="AE22" s="251">
        <v>6000</v>
      </c>
      <c r="AF22" s="25">
        <f t="shared" si="12"/>
        <v>10824.32</v>
      </c>
      <c r="AG22" s="25">
        <f t="shared" si="13"/>
        <v>7933.4400000000005</v>
      </c>
      <c r="AH22" s="252">
        <f t="shared" si="14"/>
        <v>5542.5599999999995</v>
      </c>
      <c r="AI22" s="25">
        <f t="shared" si="15"/>
        <v>1302.1738345864662</v>
      </c>
      <c r="AJ22" s="25">
        <f t="shared" si="16"/>
        <v>1256.7825742574257</v>
      </c>
      <c r="AK22" s="252">
        <f t="shared" si="17"/>
        <v>1285.2313043478259</v>
      </c>
    </row>
    <row r="23" spans="1:39" x14ac:dyDescent="0.25">
      <c r="A23" s="246"/>
      <c r="B23" s="187">
        <v>29</v>
      </c>
      <c r="C23" s="25">
        <v>67</v>
      </c>
      <c r="D23" s="42" t="s">
        <v>164</v>
      </c>
      <c r="E23" s="245">
        <v>2</v>
      </c>
      <c r="F23" s="247">
        <v>1</v>
      </c>
      <c r="G23" s="248">
        <v>7</v>
      </c>
      <c r="H23" s="36">
        <v>0</v>
      </c>
      <c r="I23" s="36">
        <v>3</v>
      </c>
      <c r="J23" s="36">
        <v>4</v>
      </c>
      <c r="K23" s="36">
        <v>9</v>
      </c>
      <c r="L23" s="36">
        <v>12</v>
      </c>
      <c r="M23" s="36">
        <v>14</v>
      </c>
      <c r="N23" s="249">
        <v>9</v>
      </c>
      <c r="O23" s="27">
        <f t="shared" si="0"/>
        <v>0.91901960800285121</v>
      </c>
      <c r="P23" s="27">
        <f t="shared" si="1"/>
        <v>18.065752942585149</v>
      </c>
      <c r="Q23" s="27">
        <f t="shared" si="2"/>
        <v>13.292411765616253</v>
      </c>
      <c r="R23" s="250">
        <f t="shared" si="3"/>
        <v>3.5962758172309059</v>
      </c>
      <c r="S23" s="27">
        <f t="shared" si="4"/>
        <v>2.4874797389943843</v>
      </c>
      <c r="T23" s="27">
        <f t="shared" si="5"/>
        <v>7.1820614384632364</v>
      </c>
      <c r="U23" s="27">
        <f t="shared" si="6"/>
        <v>17.072773857408073</v>
      </c>
      <c r="V23" s="250">
        <f t="shared" si="7"/>
        <v>7.1820614384632364</v>
      </c>
      <c r="W23" s="27">
        <f t="shared" si="8"/>
        <v>1.5316993466714188</v>
      </c>
      <c r="X23" s="27">
        <f t="shared" si="9"/>
        <v>8.6579947719051766</v>
      </c>
      <c r="Y23" s="27">
        <f t="shared" si="10"/>
        <v>21.339585622372692</v>
      </c>
      <c r="Z23" s="250">
        <f t="shared" si="11"/>
        <v>8.6579947719051766</v>
      </c>
      <c r="AA23">
        <v>6250</v>
      </c>
      <c r="AB23" s="188">
        <v>26.3</v>
      </c>
      <c r="AC23" s="41">
        <v>2000</v>
      </c>
      <c r="AD23" s="41">
        <v>2700</v>
      </c>
      <c r="AE23" s="251">
        <v>2900</v>
      </c>
      <c r="AF23" s="25">
        <f t="shared" si="12"/>
        <v>7026.528571428571</v>
      </c>
      <c r="AG23" s="25">
        <f t="shared" si="13"/>
        <v>5484.9285714285716</v>
      </c>
      <c r="AH23" s="252">
        <f t="shared" si="14"/>
        <v>4443.3285714285712</v>
      </c>
      <c r="AI23" s="25">
        <f t="shared" si="15"/>
        <v>949.30180940892637</v>
      </c>
      <c r="AJ23" s="25">
        <f t="shared" si="16"/>
        <v>1015.3917355371901</v>
      </c>
      <c r="AK23" s="252">
        <f t="shared" si="17"/>
        <v>1306.1753280839894</v>
      </c>
    </row>
    <row r="24" spans="1:39" x14ac:dyDescent="0.25">
      <c r="A24" s="246"/>
      <c r="B24" s="187">
        <v>26</v>
      </c>
      <c r="C24" s="25">
        <v>92</v>
      </c>
      <c r="D24" s="42" t="s">
        <v>164</v>
      </c>
      <c r="E24" s="245">
        <v>3</v>
      </c>
      <c r="F24" s="247">
        <v>1</v>
      </c>
      <c r="G24" s="248">
        <v>5</v>
      </c>
      <c r="H24" s="36">
        <v>0</v>
      </c>
      <c r="I24" s="36">
        <v>4</v>
      </c>
      <c r="J24" s="36">
        <v>3</v>
      </c>
      <c r="K24" s="36">
        <v>3</v>
      </c>
      <c r="L24" s="36">
        <v>14</v>
      </c>
      <c r="M24" s="36">
        <v>14</v>
      </c>
      <c r="N24" s="249">
        <v>3</v>
      </c>
      <c r="O24" s="27">
        <f t="shared" si="0"/>
        <v>0.73979400086720382</v>
      </c>
      <c r="P24" s="27">
        <f t="shared" si="1"/>
        <v>14.741983087648737</v>
      </c>
      <c r="Q24" s="27">
        <f t="shared" si="2"/>
        <v>13.621825804943061</v>
      </c>
      <c r="R24" s="250">
        <f t="shared" si="3"/>
        <v>3.5528270812892426</v>
      </c>
      <c r="S24" s="27">
        <f t="shared" si="4"/>
        <v>2.0023757623472318</v>
      </c>
      <c r="T24" s="27">
        <f t="shared" si="5"/>
        <v>6.7165511630120882</v>
      </c>
      <c r="U24" s="27">
        <f t="shared" si="6"/>
        <v>17.939386966509808</v>
      </c>
      <c r="V24" s="250">
        <f t="shared" si="7"/>
        <v>6.7165511630120882</v>
      </c>
      <c r="W24" s="27">
        <f t="shared" si="8"/>
        <v>1.2329900014453397</v>
      </c>
      <c r="X24" s="27">
        <f t="shared" si="9"/>
        <v>7.4946110836017859</v>
      </c>
      <c r="Y24" s="27">
        <f t="shared" si="10"/>
        <v>21.810853247914679</v>
      </c>
      <c r="Z24" s="250">
        <f t="shared" si="11"/>
        <v>7.4946110836017859</v>
      </c>
      <c r="AA24">
        <v>6450</v>
      </c>
      <c r="AB24" s="188">
        <v>35.4</v>
      </c>
      <c r="AC24" s="41">
        <v>2800</v>
      </c>
      <c r="AD24" s="41">
        <v>1800</v>
      </c>
      <c r="AE24" s="251">
        <v>1600</v>
      </c>
      <c r="AF24" s="25">
        <f t="shared" si="12"/>
        <v>9212.8571428571413</v>
      </c>
      <c r="AG24" s="25">
        <f t="shared" si="13"/>
        <v>9080.057142857142</v>
      </c>
      <c r="AH24" s="252">
        <f t="shared" si="14"/>
        <v>8147.2571428571428</v>
      </c>
      <c r="AI24" s="25">
        <f t="shared" si="15"/>
        <v>905.12280701754366</v>
      </c>
      <c r="AJ24" s="25">
        <f t="shared" si="16"/>
        <v>1110.2253275109169</v>
      </c>
      <c r="AK24" s="252">
        <f t="shared" si="17"/>
        <v>1318.6312138728324</v>
      </c>
    </row>
  </sheetData>
  <conditionalFormatting sqref="G3:G24">
    <cfRule type="cellIs" dxfId="4" priority="5" operator="greaterThan">
      <formula>7</formula>
    </cfRule>
  </conditionalFormatting>
  <conditionalFormatting sqref="O3:O24 S3:S24 W3:W24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24 R3:R24 T3:T24 V3:V24 X3:X24 Z3:Z2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24 U3:U24 Y3:Y24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K24">
    <cfRule type="dataBar" priority="1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{28A81B4F-259D-2CCF-6D33-4969E3D99304}</x14:id>
        </ext>
      </extLst>
    </cfRule>
  </conditionalFormatting>
  <conditionalFormatting sqref="H3:N24">
    <cfRule type="colorScale" priority="140">
      <colorScale>
        <cfvo type="min"/>
        <cfvo type="max"/>
        <color rgb="FFFCFCFF"/>
        <color rgb="FFF8696B"/>
      </colorScale>
    </cfRule>
  </conditionalFormatting>
  <conditionalFormatting sqref="AF3:AH24">
    <cfRule type="dataBar" priority="1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{263A7C2C-1B85-A9F9-06C2-3B0D80D9B26D}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A81B4F-259D-2CCF-6D33-4969E3D993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AI3:AK24</xm:sqref>
        </x14:conditionalFormatting>
        <x14:conditionalFormatting xmlns:xm="http://schemas.microsoft.com/office/excel/2006/main">
          <x14:cfRule type="dataBar" id="{263A7C2C-1B85-A9F9-06C2-3B0D80D9B2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AF3:AH24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60497A"/>
  </sheetPr>
  <dimension ref="A1:V10"/>
  <sheetViews>
    <sheetView workbookViewId="0">
      <selection activeCell="G36" sqref="G36"/>
    </sheetView>
  </sheetViews>
  <sheetFormatPr baseColWidth="10" defaultColWidth="10.7109375" defaultRowHeight="15" x14ac:dyDescent="0.25"/>
  <cols>
    <col min="1" max="1" width="25.28515625" customWidth="1"/>
    <col min="2" max="2" width="5.42578125" customWidth="1"/>
    <col min="3" max="3" width="4.7109375" customWidth="1"/>
    <col min="4" max="4" width="4.42578125" customWidth="1"/>
    <col min="5" max="5" width="13" customWidth="1"/>
    <col min="6" max="6" width="7.42578125" customWidth="1"/>
    <col min="7" max="7" width="12" customWidth="1"/>
    <col min="8" max="8" width="3.5703125" customWidth="1"/>
    <col min="9" max="10" width="5.5703125" customWidth="1"/>
    <col min="11" max="13" width="4.5703125" customWidth="1"/>
    <col min="14" max="14" width="5.140625" customWidth="1"/>
    <col min="15" max="15" width="5.5703125" customWidth="1"/>
    <col min="16" max="16" width="7.7109375" customWidth="1"/>
    <col min="17" max="17" width="7.85546875" customWidth="1"/>
    <col min="18" max="18" width="5.7109375" customWidth="1"/>
    <col min="19" max="19" width="5.28515625" customWidth="1"/>
    <col min="20" max="20" width="5.42578125" customWidth="1"/>
    <col min="21" max="21" width="4.28515625" customWidth="1"/>
  </cols>
  <sheetData>
    <row r="1" spans="1:22" x14ac:dyDescent="0.25">
      <c r="A1" s="23"/>
      <c r="D1" s="42"/>
      <c r="P1" t="s">
        <v>620</v>
      </c>
    </row>
    <row r="2" spans="1:22" x14ac:dyDescent="0.25">
      <c r="A2" s="31" t="s">
        <v>180</v>
      </c>
      <c r="B2" s="31" t="s">
        <v>632</v>
      </c>
      <c r="C2" s="31" t="s">
        <v>111</v>
      </c>
      <c r="D2" s="51" t="s">
        <v>294</v>
      </c>
      <c r="E2" s="31" t="s">
        <v>657</v>
      </c>
      <c r="F2" s="40" t="s">
        <v>119</v>
      </c>
      <c r="G2" s="39" t="s">
        <v>297</v>
      </c>
      <c r="H2" s="32" t="s">
        <v>521</v>
      </c>
      <c r="I2" s="32" t="s">
        <v>151</v>
      </c>
      <c r="J2" s="32" t="s">
        <v>186</v>
      </c>
      <c r="K2" s="32" t="s">
        <v>187</v>
      </c>
      <c r="L2" s="32" t="s">
        <v>318</v>
      </c>
      <c r="M2" s="32" t="s">
        <v>189</v>
      </c>
      <c r="N2" s="32" t="s">
        <v>190</v>
      </c>
      <c r="O2" s="32" t="s">
        <v>191</v>
      </c>
      <c r="P2" s="34" t="s">
        <v>639</v>
      </c>
      <c r="Q2" s="34" t="s">
        <v>640</v>
      </c>
      <c r="R2" s="32" t="s">
        <v>667</v>
      </c>
      <c r="S2" s="32" t="s">
        <v>668</v>
      </c>
      <c r="T2" s="32" t="s">
        <v>669</v>
      </c>
      <c r="U2" s="32" t="s">
        <v>670</v>
      </c>
      <c r="V2" s="32" t="s">
        <v>388</v>
      </c>
    </row>
    <row r="3" spans="1:22" x14ac:dyDescent="0.25">
      <c r="A3" t="str">
        <f>PLANTILLA!D4</f>
        <v>Cosme Fonteboa</v>
      </c>
      <c r="B3">
        <v>22</v>
      </c>
      <c r="C3" s="25">
        <v>89</v>
      </c>
      <c r="D3" s="42"/>
      <c r="E3" s="45">
        <v>9700000</v>
      </c>
      <c r="F3" s="104">
        <f ca="1">PLANTILLA!N4</f>
        <v>1</v>
      </c>
      <c r="G3" s="191">
        <f>PLANTILLA!V4</f>
        <v>30180</v>
      </c>
      <c r="H3" s="29">
        <f>PLANTILLA!I4</f>
        <v>11.2</v>
      </c>
      <c r="I3" s="36">
        <f>PLANTILLA!X4</f>
        <v>15</v>
      </c>
      <c r="J3" s="36">
        <f>PLANTILLA!Y4</f>
        <v>13.214285714285714</v>
      </c>
      <c r="K3" s="36">
        <f>PLANTILLA!Z4</f>
        <v>0</v>
      </c>
      <c r="L3" s="36">
        <f>PLANTILLA!AA4</f>
        <v>2</v>
      </c>
      <c r="M3" s="36">
        <f>PLANTILLA!AB4</f>
        <v>1</v>
      </c>
      <c r="N3" s="36">
        <f>PLANTILLA!AC4</f>
        <v>1</v>
      </c>
      <c r="O3" s="36">
        <f>PLANTILLA!AD4</f>
        <v>17</v>
      </c>
      <c r="P3" s="27">
        <f t="shared" ref="P3:P10" ca="1" si="0">((I3+F3+(LOG(H3)*4/3))*0.597)+((J3+F3+(LOG(H3)*4/3))*0.276)</f>
        <v>14.696432635530948</v>
      </c>
      <c r="Q3" s="27">
        <f t="shared" ref="Q3:Q10" ca="1" si="1">((I3+F3+(LOG(H3)*4/3))*0.866)+((J3+F3+(LOG(H3)*4/3))*0.425)</f>
        <v>21.703125384927702</v>
      </c>
      <c r="R3">
        <v>51.5</v>
      </c>
      <c r="S3">
        <v>45</v>
      </c>
      <c r="T3">
        <v>0</v>
      </c>
      <c r="U3">
        <v>-1</v>
      </c>
      <c r="V3" s="42">
        <f t="shared" ref="V3:V10" si="2">U3+T3+S3+R3</f>
        <v>95.5</v>
      </c>
    </row>
    <row r="4" spans="1:22" x14ac:dyDescent="0.25">
      <c r="A4" t="str">
        <f>PLANTILLA!D5</f>
        <v>Nicolae Hornet</v>
      </c>
      <c r="B4">
        <v>23</v>
      </c>
      <c r="C4" s="25">
        <v>2</v>
      </c>
      <c r="D4" s="42"/>
      <c r="E4" s="45"/>
      <c r="F4" s="104">
        <f ca="1">PLANTILLA!N5</f>
        <v>1</v>
      </c>
      <c r="G4" s="191">
        <f>PLANTILLA!V5</f>
        <v>1130</v>
      </c>
      <c r="H4" s="29">
        <f>PLANTILLA!I5</f>
        <v>2.2999999999999998</v>
      </c>
      <c r="I4" s="36">
        <f>PLANTILLA!X5</f>
        <v>6</v>
      </c>
      <c r="J4" s="36">
        <f>PLANTILLA!Y5</f>
        <v>6</v>
      </c>
      <c r="K4" s="36">
        <f>PLANTILLA!Z5</f>
        <v>0</v>
      </c>
      <c r="L4" s="36">
        <f>PLANTILLA!AA5</f>
        <v>3</v>
      </c>
      <c r="M4" s="36">
        <f>PLANTILLA!AB5</f>
        <v>1</v>
      </c>
      <c r="N4" s="36">
        <f>PLANTILLA!AC5</f>
        <v>1</v>
      </c>
      <c r="O4" s="36">
        <f>PLANTILLA!AD5</f>
        <v>5</v>
      </c>
      <c r="P4" s="27">
        <f t="shared" ca="1" si="0"/>
        <v>6.532051201124478</v>
      </c>
      <c r="Q4" s="27">
        <f t="shared" ca="1" si="1"/>
        <v>9.6596541817316179</v>
      </c>
      <c r="R4">
        <v>7.5</v>
      </c>
      <c r="S4">
        <v>9</v>
      </c>
      <c r="T4">
        <v>0</v>
      </c>
      <c r="U4">
        <v>-1</v>
      </c>
      <c r="V4" s="42">
        <f t="shared" si="2"/>
        <v>15.5</v>
      </c>
    </row>
    <row r="5" spans="1:22" x14ac:dyDescent="0.25">
      <c r="A5" t="s">
        <v>671</v>
      </c>
      <c r="B5">
        <v>23</v>
      </c>
      <c r="C5">
        <v>96</v>
      </c>
      <c r="E5" s="45">
        <v>8000000</v>
      </c>
      <c r="F5" s="104">
        <f t="shared" ref="F5:F10" ca="1" si="3">$F$3</f>
        <v>1</v>
      </c>
      <c r="G5" s="191">
        <f>(31720+655)*1.032</f>
        <v>33411</v>
      </c>
      <c r="H5" s="29">
        <v>3.5</v>
      </c>
      <c r="I5" s="36">
        <v>16</v>
      </c>
      <c r="J5" s="36">
        <v>9</v>
      </c>
      <c r="K5" s="36">
        <v>0</v>
      </c>
      <c r="L5" s="36">
        <v>0</v>
      </c>
      <c r="M5" s="36">
        <v>0</v>
      </c>
      <c r="N5" s="36">
        <v>0</v>
      </c>
      <c r="O5" s="36">
        <v>11</v>
      </c>
      <c r="P5" s="27">
        <f t="shared" ca="1" si="0"/>
        <v>13.542295203623722</v>
      </c>
      <c r="Q5" s="27">
        <f t="shared" ca="1" si="1"/>
        <v>19.908522460341608</v>
      </c>
      <c r="R5">
        <v>61.5</v>
      </c>
      <c r="S5">
        <v>30</v>
      </c>
      <c r="T5">
        <v>0</v>
      </c>
      <c r="U5">
        <v>10</v>
      </c>
      <c r="V5" s="42">
        <f t="shared" si="2"/>
        <v>101.5</v>
      </c>
    </row>
    <row r="6" spans="1:22" x14ac:dyDescent="0.25">
      <c r="A6" t="s">
        <v>672</v>
      </c>
      <c r="B6">
        <v>23</v>
      </c>
      <c r="C6">
        <v>53</v>
      </c>
      <c r="E6" s="45">
        <v>9282257</v>
      </c>
      <c r="F6" s="104">
        <f t="shared" ca="1" si="3"/>
        <v>1</v>
      </c>
      <c r="G6" s="191"/>
      <c r="H6" s="29">
        <v>4.7</v>
      </c>
      <c r="I6" s="36">
        <v>16</v>
      </c>
      <c r="J6" s="36">
        <v>4</v>
      </c>
      <c r="K6" s="36">
        <v>0</v>
      </c>
      <c r="L6" s="36">
        <v>0</v>
      </c>
      <c r="M6" s="36">
        <v>0</v>
      </c>
      <c r="N6" s="36">
        <v>0</v>
      </c>
      <c r="O6" s="36">
        <v>13</v>
      </c>
      <c r="P6" s="27">
        <f t="shared" ca="1" si="0"/>
        <v>12.311321906637176</v>
      </c>
      <c r="Q6" s="27">
        <f t="shared" ca="1" si="1"/>
        <v>18.003904446126683</v>
      </c>
      <c r="R6">
        <v>61.5</v>
      </c>
      <c r="S6">
        <v>6</v>
      </c>
      <c r="T6">
        <v>0</v>
      </c>
      <c r="U6">
        <v>14</v>
      </c>
      <c r="V6" s="42">
        <f t="shared" si="2"/>
        <v>81.5</v>
      </c>
    </row>
    <row r="7" spans="1:22" x14ac:dyDescent="0.25">
      <c r="A7" t="s">
        <v>673</v>
      </c>
      <c r="B7">
        <v>23</v>
      </c>
      <c r="C7">
        <v>18</v>
      </c>
      <c r="D7" t="s">
        <v>161</v>
      </c>
      <c r="E7" s="45">
        <v>9000000</v>
      </c>
      <c r="F7" s="104">
        <f t="shared" ca="1" si="3"/>
        <v>1</v>
      </c>
      <c r="G7" s="191">
        <f>(18290+2045+125+145)*1.012</f>
        <v>20852.260000000002</v>
      </c>
      <c r="H7" s="29">
        <v>5.0999999999999996</v>
      </c>
      <c r="I7" s="36">
        <v>14</v>
      </c>
      <c r="J7" s="36">
        <v>11</v>
      </c>
      <c r="K7" s="36">
        <v>0</v>
      </c>
      <c r="L7" s="36">
        <v>5</v>
      </c>
      <c r="M7" s="36">
        <v>6</v>
      </c>
      <c r="N7" s="36">
        <v>0</v>
      </c>
      <c r="O7" s="36">
        <v>4</v>
      </c>
      <c r="P7" s="27">
        <f t="shared" ca="1" si="0"/>
        <v>13.090611684977999</v>
      </c>
      <c r="Q7" s="27">
        <f t="shared" ca="1" si="1"/>
        <v>19.307964129789916</v>
      </c>
      <c r="R7">
        <v>43.5</v>
      </c>
      <c r="S7">
        <v>46</v>
      </c>
      <c r="T7">
        <v>10</v>
      </c>
      <c r="U7">
        <v>2</v>
      </c>
      <c r="V7" s="42">
        <f t="shared" si="2"/>
        <v>101.5</v>
      </c>
    </row>
    <row r="8" spans="1:22" x14ac:dyDescent="0.25">
      <c r="A8" t="s">
        <v>674</v>
      </c>
      <c r="B8">
        <v>23</v>
      </c>
      <c r="C8">
        <v>14</v>
      </c>
      <c r="E8" s="45">
        <v>10250000</v>
      </c>
      <c r="F8" s="104">
        <f t="shared" ca="1" si="3"/>
        <v>1</v>
      </c>
      <c r="G8" s="191"/>
      <c r="H8" s="29">
        <v>4.3</v>
      </c>
      <c r="I8" s="36">
        <v>19</v>
      </c>
      <c r="J8" s="36">
        <v>5</v>
      </c>
      <c r="K8" s="36">
        <v>0</v>
      </c>
      <c r="L8" s="36">
        <v>0</v>
      </c>
      <c r="M8" s="36">
        <v>0</v>
      </c>
      <c r="N8" s="36">
        <v>0</v>
      </c>
      <c r="O8" s="36">
        <v>2</v>
      </c>
      <c r="P8" s="27">
        <f t="shared" ca="1" si="0"/>
        <v>14.333357282294639</v>
      </c>
      <c r="Q8" s="27">
        <f t="shared" ca="1" si="1"/>
        <v>20.960410368204329</v>
      </c>
      <c r="R8">
        <v>106</v>
      </c>
      <c r="S8">
        <v>10</v>
      </c>
      <c r="T8">
        <v>0</v>
      </c>
      <c r="U8">
        <v>0</v>
      </c>
      <c r="V8" s="42">
        <f t="shared" si="2"/>
        <v>116</v>
      </c>
    </row>
    <row r="9" spans="1:22" x14ac:dyDescent="0.25">
      <c r="B9">
        <v>20</v>
      </c>
      <c r="C9">
        <v>25</v>
      </c>
      <c r="E9" s="45"/>
      <c r="F9" s="104">
        <f t="shared" ca="1" si="3"/>
        <v>1</v>
      </c>
      <c r="G9" s="191"/>
      <c r="H9" s="29">
        <v>1.3</v>
      </c>
      <c r="I9" s="36">
        <v>7</v>
      </c>
      <c r="J9" s="36">
        <v>4</v>
      </c>
      <c r="K9" s="36">
        <v>0</v>
      </c>
      <c r="L9" s="36">
        <v>0</v>
      </c>
      <c r="M9" s="36">
        <v>0</v>
      </c>
      <c r="N9" s="36">
        <v>0</v>
      </c>
      <c r="O9" s="36">
        <v>12</v>
      </c>
      <c r="P9" s="27">
        <f t="shared" ca="1" si="0"/>
        <v>6.288630062085157</v>
      </c>
      <c r="Q9" s="27">
        <f t="shared" ca="1" si="1"/>
        <v>9.2491344904375019</v>
      </c>
      <c r="R9">
        <v>7.5</v>
      </c>
      <c r="S9">
        <v>9</v>
      </c>
      <c r="T9">
        <v>0</v>
      </c>
      <c r="U9">
        <v>-1</v>
      </c>
      <c r="V9" s="42">
        <f t="shared" si="2"/>
        <v>15.5</v>
      </c>
    </row>
    <row r="10" spans="1:22" x14ac:dyDescent="0.25">
      <c r="B10">
        <v>21</v>
      </c>
      <c r="C10">
        <v>82</v>
      </c>
      <c r="E10" s="45"/>
      <c r="F10" s="104">
        <f t="shared" ca="1" si="3"/>
        <v>1</v>
      </c>
      <c r="G10" s="191"/>
      <c r="H10" s="29">
        <v>2.6</v>
      </c>
      <c r="I10" s="36">
        <v>8</v>
      </c>
      <c r="J10" s="36">
        <v>6</v>
      </c>
      <c r="K10" s="36">
        <v>2</v>
      </c>
      <c r="L10" s="36">
        <v>3</v>
      </c>
      <c r="M10" s="36">
        <v>5</v>
      </c>
      <c r="N10" s="36">
        <v>2</v>
      </c>
      <c r="O10" s="36">
        <v>12</v>
      </c>
      <c r="P10" s="27">
        <f t="shared" ca="1" si="0"/>
        <v>7.7880289770380315</v>
      </c>
      <c r="Q10" s="27">
        <f t="shared" ca="1" si="1"/>
        <v>11.483307456307099</v>
      </c>
      <c r="R10">
        <v>7.5</v>
      </c>
      <c r="S10">
        <v>9</v>
      </c>
      <c r="T10">
        <v>0</v>
      </c>
      <c r="U10">
        <v>-1</v>
      </c>
      <c r="V10" s="42">
        <f t="shared" si="2"/>
        <v>15.5</v>
      </c>
    </row>
  </sheetData>
  <conditionalFormatting sqref="H3:H10">
    <cfRule type="cellIs" dxfId="3" priority="1" operator="greaterThan">
      <formula>7</formula>
    </cfRule>
  </conditionalFormatting>
  <conditionalFormatting sqref="P3:Q10">
    <cfRule type="cellIs" dxfId="2" priority="2" operator="greaterThan">
      <formula>12.5</formula>
    </cfRule>
  </conditionalFormatting>
  <conditionalFormatting sqref="I3:O10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79998168889431442"/>
  </sheetPr>
  <dimension ref="A1:AS30"/>
  <sheetViews>
    <sheetView workbookViewId="0">
      <selection activeCell="P6" sqref="P6"/>
    </sheetView>
  </sheetViews>
  <sheetFormatPr baseColWidth="10" defaultColWidth="11.42578125" defaultRowHeight="15" x14ac:dyDescent="0.25"/>
  <cols>
    <col min="1" max="1" width="5.140625" customWidth="1"/>
    <col min="2" max="2" width="6.140625" customWidth="1"/>
    <col min="3" max="3" width="8" customWidth="1"/>
    <col min="4" max="4" width="13.5703125" customWidth="1"/>
    <col min="5" max="5" width="4.5703125" customWidth="1"/>
    <col min="6" max="6" width="5" customWidth="1"/>
    <col min="7" max="11" width="5.5703125" customWidth="1"/>
    <col min="12" max="12" width="4.5703125" customWidth="1"/>
    <col min="13" max="13" width="5.5703125" customWidth="1"/>
    <col min="14" max="14" width="7.28515625" customWidth="1"/>
    <col min="15" max="15" width="5.5703125" customWidth="1"/>
    <col min="16" max="16" width="6.28515625" customWidth="1"/>
    <col min="17" max="17" width="5.28515625" customWidth="1"/>
    <col min="18" max="18" width="8.28515625" customWidth="1"/>
    <col min="19" max="19" width="5.42578125" customWidth="1"/>
    <col min="20" max="21" width="5.7109375" customWidth="1"/>
    <col min="22" max="22" width="9.140625" customWidth="1"/>
    <col min="23" max="23" width="7.28515625" customWidth="1"/>
    <col min="24" max="24" width="5.140625" customWidth="1"/>
    <col min="25" max="25" width="4.5703125" customWidth="1"/>
    <col min="26" max="26" width="5.7109375" customWidth="1"/>
    <col min="27" max="33" width="4.5703125" customWidth="1"/>
    <col min="34" max="34" width="7.28515625" customWidth="1"/>
    <col min="35" max="35" width="5.5703125" customWidth="1"/>
    <col min="36" max="36" width="5.7109375" customWidth="1"/>
    <col min="37" max="37" width="5.28515625" customWidth="1"/>
    <col min="38" max="38" width="5.5703125" customWidth="1"/>
    <col min="39" max="39" width="5.42578125" customWidth="1"/>
    <col min="40" max="41" width="5.7109375" customWidth="1"/>
    <col min="42" max="42" width="9.140625" customWidth="1"/>
    <col min="43" max="43" width="5.140625" style="54" customWidth="1"/>
    <col min="44" max="45" width="6.140625" style="54" customWidth="1"/>
  </cols>
  <sheetData>
    <row r="1" spans="1:45" x14ac:dyDescent="0.25">
      <c r="N1" s="77">
        <f>SUM(N3:N15)</f>
        <v>290260</v>
      </c>
      <c r="AH1" s="77">
        <f>SUM(AH3:AH15)</f>
        <v>199575.48</v>
      </c>
    </row>
    <row r="2" spans="1:45" x14ac:dyDescent="0.25">
      <c r="A2" s="96" t="s">
        <v>293</v>
      </c>
      <c r="B2" s="96" t="s">
        <v>107</v>
      </c>
      <c r="C2" s="96" t="s">
        <v>294</v>
      </c>
      <c r="D2" s="96" t="s">
        <v>109</v>
      </c>
      <c r="E2" s="96" t="s">
        <v>295</v>
      </c>
      <c r="F2" s="96" t="s">
        <v>296</v>
      </c>
      <c r="G2" s="96" t="s">
        <v>129</v>
      </c>
      <c r="H2" s="96" t="s">
        <v>130</v>
      </c>
      <c r="I2" s="96" t="s">
        <v>131</v>
      </c>
      <c r="J2" s="96" t="s">
        <v>132</v>
      </c>
      <c r="K2" s="96" t="s">
        <v>133</v>
      </c>
      <c r="L2" s="96" t="s">
        <v>134</v>
      </c>
      <c r="M2" s="96" t="s">
        <v>112</v>
      </c>
      <c r="N2" s="96" t="s">
        <v>297</v>
      </c>
      <c r="O2" s="96" t="s">
        <v>298</v>
      </c>
      <c r="P2" s="96" t="s">
        <v>299</v>
      </c>
      <c r="Q2" s="96" t="s">
        <v>300</v>
      </c>
      <c r="R2" s="96" t="s">
        <v>301</v>
      </c>
      <c r="S2" s="96" t="s">
        <v>302</v>
      </c>
      <c r="T2" s="96" t="s">
        <v>303</v>
      </c>
      <c r="U2" s="96" t="s">
        <v>304</v>
      </c>
      <c r="V2" s="96" t="s">
        <v>305</v>
      </c>
      <c r="X2" s="13" t="s">
        <v>293</v>
      </c>
      <c r="Y2" s="13" t="s">
        <v>295</v>
      </c>
      <c r="Z2" s="13" t="s">
        <v>296</v>
      </c>
      <c r="AA2" s="13" t="s">
        <v>129</v>
      </c>
      <c r="AB2" s="13" t="s">
        <v>130</v>
      </c>
      <c r="AC2" s="13" t="s">
        <v>131</v>
      </c>
      <c r="AD2" s="13" t="s">
        <v>132</v>
      </c>
      <c r="AE2" s="13" t="s">
        <v>133</v>
      </c>
      <c r="AF2" s="13" t="s">
        <v>134</v>
      </c>
      <c r="AG2" s="13" t="s">
        <v>112</v>
      </c>
      <c r="AH2" s="13" t="s">
        <v>297</v>
      </c>
      <c r="AI2" s="13" t="s">
        <v>298</v>
      </c>
      <c r="AJ2" s="13" t="s">
        <v>299</v>
      </c>
      <c r="AK2" s="13" t="s">
        <v>300</v>
      </c>
      <c r="AL2" s="13" t="s">
        <v>301</v>
      </c>
      <c r="AM2" s="13" t="s">
        <v>302</v>
      </c>
      <c r="AN2" s="13" t="s">
        <v>303</v>
      </c>
      <c r="AO2" s="13" t="s">
        <v>304</v>
      </c>
      <c r="AP2" s="13" t="s">
        <v>305</v>
      </c>
    </row>
    <row r="3" spans="1:45" x14ac:dyDescent="0.25">
      <c r="A3" t="s">
        <v>150</v>
      </c>
      <c r="B3" s="18" t="s">
        <v>151</v>
      </c>
      <c r="C3" s="6"/>
      <c r="D3" s="6" t="s">
        <v>306</v>
      </c>
      <c r="E3" s="6">
        <f>PLANTILLA!E4</f>
        <v>29</v>
      </c>
      <c r="F3" s="20">
        <f ca="1">PLANTILLA!F4</f>
        <v>46</v>
      </c>
      <c r="G3" s="89">
        <f>PLANTILLA!X4</f>
        <v>15</v>
      </c>
      <c r="H3" s="89">
        <f>PLANTILLA!Y4</f>
        <v>13.214285714285714</v>
      </c>
      <c r="I3" s="89">
        <f>PLANTILLA!Z4</f>
        <v>0</v>
      </c>
      <c r="J3" s="89">
        <f>PLANTILLA!AA4</f>
        <v>2</v>
      </c>
      <c r="K3" s="89">
        <f>PLANTILLA!AB4</f>
        <v>1</v>
      </c>
      <c r="L3" s="89">
        <f>PLANTILLA!AC4</f>
        <v>1</v>
      </c>
      <c r="M3" s="89">
        <f>PLANTILLA!AD4</f>
        <v>17</v>
      </c>
      <c r="N3" s="37">
        <f>PLANTILLA!V4</f>
        <v>30180</v>
      </c>
      <c r="O3" s="42">
        <v>51.5</v>
      </c>
      <c r="P3" s="42">
        <v>62</v>
      </c>
      <c r="Q3" s="42">
        <v>0</v>
      </c>
      <c r="R3" s="42">
        <v>0</v>
      </c>
      <c r="S3" s="42">
        <v>0</v>
      </c>
      <c r="T3" s="42">
        <v>0</v>
      </c>
      <c r="U3" s="42">
        <v>18</v>
      </c>
      <c r="V3" s="195">
        <f t="shared" ref="V3:V15" si="0">SUM(O3:U3)</f>
        <v>131.5</v>
      </c>
      <c r="X3" t="s">
        <v>150</v>
      </c>
      <c r="Y3" s="6">
        <f>E3</f>
        <v>29</v>
      </c>
      <c r="Z3" s="6">
        <f ca="1">F3+(7*$AR$8)</f>
        <v>46</v>
      </c>
      <c r="AA3" s="55">
        <f t="shared" ref="AA3:AA15" si="1">G3</f>
        <v>15</v>
      </c>
      <c r="AB3" s="55">
        <f>11+6/10</f>
        <v>11.6</v>
      </c>
      <c r="AC3" s="55">
        <f>I3</f>
        <v>0</v>
      </c>
      <c r="AD3" s="55">
        <f>J3</f>
        <v>2</v>
      </c>
      <c r="AE3" s="55">
        <f>K3</f>
        <v>1</v>
      </c>
      <c r="AF3" s="55">
        <f>L3</f>
        <v>1</v>
      </c>
      <c r="AG3" s="55">
        <f>M3</f>
        <v>17</v>
      </c>
      <c r="AH3" s="37">
        <f>(24270+2300)*1.008</f>
        <v>26782.560000000001</v>
      </c>
      <c r="AI3" s="42">
        <f t="shared" ref="AI3:AI15" si="2">O3</f>
        <v>51.5</v>
      </c>
      <c r="AJ3" s="42">
        <f t="shared" ref="AJ3:AJ11" si="3">P3+$AR$8</f>
        <v>62</v>
      </c>
      <c r="AK3" s="42">
        <f t="shared" ref="AK3:AK15" si="4">Q3</f>
        <v>0</v>
      </c>
      <c r="AL3" s="42">
        <f t="shared" ref="AL3:AL15" si="5">R3</f>
        <v>0</v>
      </c>
      <c r="AM3" s="42">
        <f t="shared" ref="AM3:AM15" si="6">S3</f>
        <v>0</v>
      </c>
      <c r="AN3" s="42">
        <f t="shared" ref="AN3:AN15" si="7">T3</f>
        <v>0</v>
      </c>
      <c r="AO3" s="42">
        <f t="shared" ref="AO3:AO15" si="8">U3</f>
        <v>18</v>
      </c>
      <c r="AP3" s="195">
        <f t="shared" ref="AP3:AP15" si="9">SUM(AI3:AO3)</f>
        <v>131.5</v>
      </c>
    </row>
    <row r="4" spans="1:45" x14ac:dyDescent="0.25">
      <c r="A4" t="s">
        <v>153</v>
      </c>
      <c r="B4" s="18" t="s">
        <v>186</v>
      </c>
      <c r="C4" s="6"/>
      <c r="D4" s="6" t="s">
        <v>307</v>
      </c>
      <c r="E4" s="6">
        <f>PLANTILLA!E17</f>
        <v>34</v>
      </c>
      <c r="F4" s="20">
        <f ca="1">PLANTILLA!F17</f>
        <v>29</v>
      </c>
      <c r="G4" s="89">
        <f>PLANTILLA!X17</f>
        <v>0</v>
      </c>
      <c r="H4" s="89">
        <f>PLANTILLA!Y17</f>
        <v>5.95</v>
      </c>
      <c r="I4" s="89">
        <f>PLANTILLA!Z17</f>
        <v>13</v>
      </c>
      <c r="J4" s="89">
        <f>PLANTILLA!AA17</f>
        <v>7</v>
      </c>
      <c r="K4" s="89">
        <f>PLANTILLA!AB17</f>
        <v>12</v>
      </c>
      <c r="L4" s="89">
        <f>PLANTILLA!AC17</f>
        <v>4</v>
      </c>
      <c r="M4" s="89">
        <f>PLANTILLA!AD17</f>
        <v>16</v>
      </c>
      <c r="N4" s="37">
        <f>PLANTILLA!V17</f>
        <v>7840</v>
      </c>
      <c r="O4" s="42">
        <v>0</v>
      </c>
      <c r="P4" s="42">
        <f>104.3</f>
        <v>104.3</v>
      </c>
      <c r="Q4" s="42">
        <v>12</v>
      </c>
      <c r="R4" s="42">
        <v>11</v>
      </c>
      <c r="S4" s="42">
        <v>23</v>
      </c>
      <c r="T4" s="42">
        <v>0</v>
      </c>
      <c r="U4" s="42">
        <v>15</v>
      </c>
      <c r="V4" s="195">
        <f t="shared" si="0"/>
        <v>165.3</v>
      </c>
      <c r="X4" t="s">
        <v>153</v>
      </c>
      <c r="Y4" s="6">
        <f>E4</f>
        <v>34</v>
      </c>
      <c r="Z4" s="6">
        <f ca="1">F4+(7*$AR$8)</f>
        <v>29</v>
      </c>
      <c r="AA4" s="55">
        <f t="shared" si="1"/>
        <v>0</v>
      </c>
      <c r="AB4" s="55">
        <f>15+3/18</f>
        <v>15.166666666666666</v>
      </c>
      <c r="AC4" s="55">
        <f t="shared" ref="AC4:AC15" si="10">I4</f>
        <v>13</v>
      </c>
      <c r="AD4" s="55">
        <f>5+2/10</f>
        <v>5.2</v>
      </c>
      <c r="AE4" s="55">
        <f t="shared" ref="AE4:AE15" si="11">K4</f>
        <v>12</v>
      </c>
      <c r="AF4" s="55">
        <f t="shared" ref="AF4:AF15" si="12">L4</f>
        <v>4</v>
      </c>
      <c r="AG4" s="55">
        <f t="shared" ref="AG4:AG15" si="13">M4</f>
        <v>16</v>
      </c>
      <c r="AH4" s="37">
        <f>(28000+135+130+135)*1.004</f>
        <v>28513.599999999999</v>
      </c>
      <c r="AI4" s="42">
        <f t="shared" si="2"/>
        <v>0</v>
      </c>
      <c r="AJ4" s="42">
        <f t="shared" si="3"/>
        <v>104.3</v>
      </c>
      <c r="AK4" s="42">
        <f t="shared" si="4"/>
        <v>12</v>
      </c>
      <c r="AL4" s="42">
        <f t="shared" si="5"/>
        <v>11</v>
      </c>
      <c r="AM4" s="42">
        <f t="shared" si="6"/>
        <v>23</v>
      </c>
      <c r="AN4" s="42">
        <f t="shared" si="7"/>
        <v>0</v>
      </c>
      <c r="AO4" s="42">
        <f t="shared" si="8"/>
        <v>15</v>
      </c>
      <c r="AP4" s="195">
        <f t="shared" si="9"/>
        <v>165.3</v>
      </c>
    </row>
    <row r="5" spans="1:45" x14ac:dyDescent="0.25">
      <c r="A5" t="s">
        <v>162</v>
      </c>
      <c r="B5" s="18" t="s">
        <v>186</v>
      </c>
      <c r="C5" s="6"/>
      <c r="D5" s="6" t="s">
        <v>308</v>
      </c>
      <c r="E5" s="6">
        <f>PLANTILLA!E7</f>
        <v>29</v>
      </c>
      <c r="F5" s="20">
        <f ca="1">PLANTILLA!F7</f>
        <v>74</v>
      </c>
      <c r="G5" s="89">
        <f>PLANTILLA!X7</f>
        <v>0</v>
      </c>
      <c r="H5" s="89">
        <f>PLANTILLA!Y7</f>
        <v>14.875</v>
      </c>
      <c r="I5" s="89">
        <f>PLANTILLA!Z7</f>
        <v>3.4569444444444448</v>
      </c>
      <c r="J5" s="89">
        <f>PLANTILLA!AA7</f>
        <v>9.4</v>
      </c>
      <c r="K5" s="89">
        <f>PLANTILLA!AB7</f>
        <v>12</v>
      </c>
      <c r="L5" s="89">
        <f>PLANTILLA!AC7</f>
        <v>3.95</v>
      </c>
      <c r="M5" s="89">
        <f>PLANTILLA!AD7</f>
        <v>15.666666666666666</v>
      </c>
      <c r="N5" s="37">
        <f>PLANTILLA!V7</f>
        <v>26200</v>
      </c>
      <c r="O5" s="42">
        <v>0</v>
      </c>
      <c r="P5" s="42">
        <v>83</v>
      </c>
      <c r="Q5" s="42">
        <v>3</v>
      </c>
      <c r="R5" s="42">
        <v>15.5</v>
      </c>
      <c r="S5" s="42">
        <v>43</v>
      </c>
      <c r="T5" s="42">
        <v>5</v>
      </c>
      <c r="U5" s="42">
        <v>16</v>
      </c>
      <c r="V5" s="195">
        <f t="shared" si="0"/>
        <v>165.5</v>
      </c>
      <c r="X5" t="s">
        <v>162</v>
      </c>
      <c r="Y5" s="6">
        <f>E5</f>
        <v>29</v>
      </c>
      <c r="Z5" s="6">
        <f ca="1">F5+(7*$AR$8)</f>
        <v>74</v>
      </c>
      <c r="AA5" s="55">
        <f t="shared" si="1"/>
        <v>0</v>
      </c>
      <c r="AB5" s="55">
        <f>13+5/12</f>
        <v>13.416666666666666</v>
      </c>
      <c r="AC5" s="55">
        <f t="shared" si="10"/>
        <v>3.4569444444444448</v>
      </c>
      <c r="AD5" s="55">
        <f>7+1/12</f>
        <v>7.083333333333333</v>
      </c>
      <c r="AE5" s="55">
        <f t="shared" si="11"/>
        <v>12</v>
      </c>
      <c r="AF5" s="55">
        <f t="shared" si="12"/>
        <v>3.95</v>
      </c>
      <c r="AG5" s="55">
        <f t="shared" si="13"/>
        <v>15.666666666666666</v>
      </c>
      <c r="AH5" s="37">
        <f>(195+13000+190)*1.008</f>
        <v>13492.08</v>
      </c>
      <c r="AI5" s="42">
        <f t="shared" si="2"/>
        <v>0</v>
      </c>
      <c r="AJ5" s="42">
        <f t="shared" si="3"/>
        <v>83</v>
      </c>
      <c r="AK5" s="42">
        <f t="shared" si="4"/>
        <v>3</v>
      </c>
      <c r="AL5" s="42">
        <f t="shared" si="5"/>
        <v>15.5</v>
      </c>
      <c r="AM5" s="42">
        <f t="shared" si="6"/>
        <v>43</v>
      </c>
      <c r="AN5" s="42">
        <f t="shared" si="7"/>
        <v>5</v>
      </c>
      <c r="AO5" s="42">
        <f t="shared" si="8"/>
        <v>16</v>
      </c>
      <c r="AP5" s="195">
        <f t="shared" si="9"/>
        <v>165.5</v>
      </c>
    </row>
    <row r="6" spans="1:45" x14ac:dyDescent="0.25">
      <c r="A6" t="s">
        <v>156</v>
      </c>
      <c r="B6" s="18" t="s">
        <v>186</v>
      </c>
      <c r="C6" s="6"/>
      <c r="D6" s="6" t="s">
        <v>309</v>
      </c>
      <c r="E6" s="6">
        <f>PLANTILLA!E6</f>
        <v>29</v>
      </c>
      <c r="F6" s="20">
        <f ca="1">PLANTILLA!F6</f>
        <v>24</v>
      </c>
      <c r="G6" s="89">
        <f>PLANTILLA!X6</f>
        <v>0</v>
      </c>
      <c r="H6" s="89">
        <f>PLANTILLA!Y6</f>
        <v>16.043478260869566</v>
      </c>
      <c r="I6" s="89">
        <f>PLANTILLA!Z6</f>
        <v>5.25</v>
      </c>
      <c r="J6" s="89">
        <f>PLANTILLA!AA6</f>
        <v>9</v>
      </c>
      <c r="K6" s="89">
        <f>PLANTILLA!AB6</f>
        <v>9</v>
      </c>
      <c r="L6" s="89">
        <f>PLANTILLA!AC6</f>
        <v>1</v>
      </c>
      <c r="M6" s="89">
        <f>PLANTILLA!AD6</f>
        <v>15.333333333333334</v>
      </c>
      <c r="N6" s="37">
        <f>PLANTILLA!V6</f>
        <v>37540</v>
      </c>
      <c r="O6" s="42">
        <v>0</v>
      </c>
      <c r="P6" s="42">
        <v>105</v>
      </c>
      <c r="Q6" s="42">
        <v>9</v>
      </c>
      <c r="R6" s="42">
        <v>14.5</v>
      </c>
      <c r="S6" s="42">
        <v>22</v>
      </c>
      <c r="T6" s="42">
        <v>0</v>
      </c>
      <c r="U6" s="42">
        <v>14</v>
      </c>
      <c r="V6" s="195">
        <f t="shared" si="0"/>
        <v>164.5</v>
      </c>
      <c r="X6" t="s">
        <v>156</v>
      </c>
      <c r="Y6" s="6">
        <f>E6</f>
        <v>29</v>
      </c>
      <c r="Z6" s="6">
        <f ca="1">F6+(7*$AR$8)</f>
        <v>24</v>
      </c>
      <c r="AA6" s="55">
        <f t="shared" si="1"/>
        <v>0</v>
      </c>
      <c r="AB6" s="55">
        <f>15+3/18</f>
        <v>15.166666666666666</v>
      </c>
      <c r="AC6" s="55">
        <f t="shared" si="10"/>
        <v>5.25</v>
      </c>
      <c r="AD6" s="55">
        <f>J6+(0.5*AR9)/4</f>
        <v>9</v>
      </c>
      <c r="AE6" s="55">
        <f t="shared" si="11"/>
        <v>9</v>
      </c>
      <c r="AF6" s="55">
        <f t="shared" si="12"/>
        <v>1</v>
      </c>
      <c r="AG6" s="55">
        <f t="shared" si="13"/>
        <v>15.333333333333334</v>
      </c>
      <c r="AH6" s="37">
        <f>(28000+135+130+135)*1.004</f>
        <v>28513.599999999999</v>
      </c>
      <c r="AI6" s="42">
        <f t="shared" si="2"/>
        <v>0</v>
      </c>
      <c r="AJ6" s="42">
        <f t="shared" si="3"/>
        <v>105</v>
      </c>
      <c r="AK6" s="42">
        <f t="shared" si="4"/>
        <v>9</v>
      </c>
      <c r="AL6" s="42">
        <f t="shared" si="5"/>
        <v>14.5</v>
      </c>
      <c r="AM6" s="42">
        <f t="shared" si="6"/>
        <v>22</v>
      </c>
      <c r="AN6" s="42">
        <f t="shared" si="7"/>
        <v>0</v>
      </c>
      <c r="AO6" s="42">
        <f t="shared" si="8"/>
        <v>14</v>
      </c>
      <c r="AP6" s="195">
        <f t="shared" si="9"/>
        <v>164.5</v>
      </c>
    </row>
    <row r="7" spans="1:45" x14ac:dyDescent="0.25">
      <c r="A7" t="s">
        <v>165</v>
      </c>
      <c r="B7" s="18" t="s">
        <v>186</v>
      </c>
      <c r="C7" s="6"/>
      <c r="D7" s="6" t="s">
        <v>310</v>
      </c>
      <c r="E7" s="6">
        <f>PLANTILLA!E8</f>
        <v>29</v>
      </c>
      <c r="F7" s="20">
        <f ca="1">PLANTILLA!F8</f>
        <v>59</v>
      </c>
      <c r="G7" s="89">
        <f>PLANTILLA!X8</f>
        <v>0</v>
      </c>
      <c r="H7" s="89">
        <f>PLANTILLA!Y8</f>
        <v>13.1875</v>
      </c>
      <c r="I7" s="89">
        <f>PLANTILLA!Z8</f>
        <v>11.666666666666666</v>
      </c>
      <c r="J7" s="89">
        <f>PLANTILLA!AA8</f>
        <v>5.25</v>
      </c>
      <c r="K7" s="89">
        <f>PLANTILLA!AB8</f>
        <v>11.142857142857142</v>
      </c>
      <c r="L7" s="89">
        <f>PLANTILLA!AC8</f>
        <v>4</v>
      </c>
      <c r="M7" s="89">
        <f>PLANTILLA!AD8</f>
        <v>15.333333333333334</v>
      </c>
      <c r="N7" s="37">
        <f>PLANTILLA!V8</f>
        <v>17460</v>
      </c>
      <c r="O7" s="42">
        <v>0</v>
      </c>
      <c r="P7" s="42">
        <v>60</v>
      </c>
      <c r="Q7" s="42">
        <v>41</v>
      </c>
      <c r="R7" s="42">
        <v>4.5</v>
      </c>
      <c r="S7" s="42">
        <v>36</v>
      </c>
      <c r="T7" s="42">
        <v>5</v>
      </c>
      <c r="U7" s="42">
        <v>15</v>
      </c>
      <c r="V7" s="195">
        <f t="shared" si="0"/>
        <v>161.5</v>
      </c>
      <c r="X7" t="s">
        <v>165</v>
      </c>
      <c r="Y7" s="6">
        <f>E7</f>
        <v>29</v>
      </c>
      <c r="Z7" s="6">
        <f ca="1">F7+(7*$AR$8)</f>
        <v>59</v>
      </c>
      <c r="AA7" s="55">
        <f t="shared" si="1"/>
        <v>0</v>
      </c>
      <c r="AB7" s="55">
        <f>11+7/10</f>
        <v>11.7</v>
      </c>
      <c r="AC7" s="55">
        <f t="shared" si="10"/>
        <v>11.666666666666666</v>
      </c>
      <c r="AD7" s="55">
        <f>J7</f>
        <v>5.25</v>
      </c>
      <c r="AE7" s="55">
        <f t="shared" si="11"/>
        <v>11.142857142857142</v>
      </c>
      <c r="AF7" s="55">
        <f t="shared" si="12"/>
        <v>4</v>
      </c>
      <c r="AG7" s="55">
        <f t="shared" si="13"/>
        <v>15.333333333333334</v>
      </c>
      <c r="AH7" s="37">
        <f>(6800+2505+145)*1.008</f>
        <v>9525.6</v>
      </c>
      <c r="AI7" s="42">
        <f t="shared" si="2"/>
        <v>0</v>
      </c>
      <c r="AJ7" s="42">
        <f t="shared" si="3"/>
        <v>60</v>
      </c>
      <c r="AK7" s="42">
        <f t="shared" si="4"/>
        <v>41</v>
      </c>
      <c r="AL7" s="42">
        <f t="shared" si="5"/>
        <v>4.5</v>
      </c>
      <c r="AM7" s="42">
        <f t="shared" si="6"/>
        <v>36</v>
      </c>
      <c r="AN7" s="42">
        <f t="shared" si="7"/>
        <v>5</v>
      </c>
      <c r="AO7" s="42">
        <f t="shared" si="8"/>
        <v>15</v>
      </c>
      <c r="AP7" s="195">
        <f t="shared" si="9"/>
        <v>161.5</v>
      </c>
      <c r="AR7" s="90" t="s">
        <v>135</v>
      </c>
      <c r="AS7" s="90" t="s">
        <v>311</v>
      </c>
    </row>
    <row r="8" spans="1:45" x14ac:dyDescent="0.25">
      <c r="A8" t="s">
        <v>169</v>
      </c>
      <c r="B8" s="18" t="s">
        <v>186</v>
      </c>
      <c r="C8" s="6"/>
      <c r="D8" s="6" t="s">
        <v>312</v>
      </c>
      <c r="E8" s="6">
        <f>PLANTILLA!E9</f>
        <v>29</v>
      </c>
      <c r="F8" s="20">
        <f ca="1">PLANTILLA!F9</f>
        <v>102</v>
      </c>
      <c r="G8" s="89">
        <f>PLANTILLA!X9</f>
        <v>0</v>
      </c>
      <c r="H8" s="89">
        <f>PLANTILLA!Y9</f>
        <v>14.9375</v>
      </c>
      <c r="I8" s="89">
        <f>PLANTILLA!Z9</f>
        <v>5.375</v>
      </c>
      <c r="J8" s="89">
        <f>PLANTILLA!AA9</f>
        <v>3.3333333333333335</v>
      </c>
      <c r="K8" s="89">
        <f>PLANTILLA!AB9</f>
        <v>12.222222222222221</v>
      </c>
      <c r="L8" s="89">
        <f>PLANTILLA!AC9</f>
        <v>6</v>
      </c>
      <c r="M8" s="89">
        <f>PLANTILLA!AD9</f>
        <v>15</v>
      </c>
      <c r="N8" s="37">
        <f>PLANTILLA!V9</f>
        <v>26200</v>
      </c>
      <c r="O8" s="42">
        <v>0</v>
      </c>
      <c r="P8" s="42">
        <v>83</v>
      </c>
      <c r="Q8" s="42">
        <v>9.5</v>
      </c>
      <c r="R8" s="42">
        <v>0</v>
      </c>
      <c r="S8" s="42">
        <v>44</v>
      </c>
      <c r="T8" s="42">
        <v>12</v>
      </c>
      <c r="U8" s="42">
        <v>13</v>
      </c>
      <c r="V8" s="195">
        <f t="shared" si="0"/>
        <v>161.5</v>
      </c>
      <c r="X8" t="s">
        <v>169</v>
      </c>
      <c r="Y8" s="6">
        <f>E8+1</f>
        <v>30</v>
      </c>
      <c r="Z8" s="6">
        <f ca="1">F8+(7*$AR$8)-112</f>
        <v>-10</v>
      </c>
      <c r="AA8" s="55">
        <f t="shared" si="1"/>
        <v>0</v>
      </c>
      <c r="AB8" s="55">
        <f>H8</f>
        <v>14.9375</v>
      </c>
      <c r="AC8" s="55">
        <f t="shared" si="10"/>
        <v>5.375</v>
      </c>
      <c r="AD8" s="55">
        <f>J8</f>
        <v>3.3333333333333335</v>
      </c>
      <c r="AE8" s="55">
        <f t="shared" si="11"/>
        <v>12.222222222222221</v>
      </c>
      <c r="AF8" s="55">
        <f t="shared" si="12"/>
        <v>6</v>
      </c>
      <c r="AG8" s="55">
        <f t="shared" si="13"/>
        <v>15</v>
      </c>
      <c r="AH8" s="37"/>
      <c r="AI8" s="42">
        <f t="shared" si="2"/>
        <v>0</v>
      </c>
      <c r="AJ8" s="42">
        <f t="shared" si="3"/>
        <v>83</v>
      </c>
      <c r="AK8" s="42">
        <f t="shared" si="4"/>
        <v>9.5</v>
      </c>
      <c r="AL8" s="42">
        <f t="shared" si="5"/>
        <v>0</v>
      </c>
      <c r="AM8" s="42">
        <f t="shared" si="6"/>
        <v>44</v>
      </c>
      <c r="AN8" s="42">
        <f t="shared" si="7"/>
        <v>12</v>
      </c>
      <c r="AO8" s="42">
        <f t="shared" si="8"/>
        <v>13</v>
      </c>
      <c r="AP8" s="195">
        <f t="shared" si="9"/>
        <v>161.5</v>
      </c>
      <c r="AQ8" s="90" t="s">
        <v>186</v>
      </c>
      <c r="AR8" s="54">
        <v>0</v>
      </c>
      <c r="AS8" s="97">
        <f>AR8/16</f>
        <v>0</v>
      </c>
    </row>
    <row r="9" spans="1:45" x14ac:dyDescent="0.25">
      <c r="A9" t="s">
        <v>158</v>
      </c>
      <c r="B9" s="18" t="s">
        <v>186</v>
      </c>
      <c r="C9" s="6" t="s">
        <v>161</v>
      </c>
      <c r="D9" s="6" t="s">
        <v>313</v>
      </c>
      <c r="E9" s="6">
        <f>PLANTILLA!E10</f>
        <v>29</v>
      </c>
      <c r="F9" s="20">
        <f ca="1">PLANTILLA!F10</f>
        <v>39</v>
      </c>
      <c r="G9" s="89">
        <f>PLANTILLA!X10</f>
        <v>0</v>
      </c>
      <c r="H9" s="89">
        <f>PLANTILLA!Y10</f>
        <v>14.375</v>
      </c>
      <c r="I9" s="89">
        <f>PLANTILLA!Z10</f>
        <v>5</v>
      </c>
      <c r="J9" s="89">
        <f>PLANTILLA!AA10</f>
        <v>14</v>
      </c>
      <c r="K9" s="89">
        <f>PLANTILLA!AB10</f>
        <v>8.1999999999999993</v>
      </c>
      <c r="L9" s="89">
        <f>PLANTILLA!AC10</f>
        <v>7</v>
      </c>
      <c r="M9" s="89">
        <f>PLANTILLA!AD10</f>
        <v>16</v>
      </c>
      <c r="N9" s="37">
        <f>PLANTILLA!V10</f>
        <v>26370</v>
      </c>
      <c r="O9" s="42">
        <v>0</v>
      </c>
      <c r="P9" s="42">
        <v>76</v>
      </c>
      <c r="Q9" s="42">
        <v>6</v>
      </c>
      <c r="R9" s="42">
        <v>40.5</v>
      </c>
      <c r="S9" s="42">
        <v>18</v>
      </c>
      <c r="T9" s="42">
        <v>16</v>
      </c>
      <c r="U9" s="42">
        <v>16</v>
      </c>
      <c r="V9" s="195">
        <f t="shared" si="0"/>
        <v>172.5</v>
      </c>
      <c r="X9" t="s">
        <v>158</v>
      </c>
      <c r="Y9" s="6">
        <f>E9</f>
        <v>29</v>
      </c>
      <c r="Z9" s="6">
        <f ca="1">F9+(7*$AR$8)</f>
        <v>39</v>
      </c>
      <c r="AA9" s="55">
        <f t="shared" si="1"/>
        <v>0</v>
      </c>
      <c r="AB9" s="55">
        <f>12+10/11</f>
        <v>12.909090909090908</v>
      </c>
      <c r="AC9" s="55">
        <f t="shared" si="10"/>
        <v>5</v>
      </c>
      <c r="AD9" s="55">
        <v>12.5</v>
      </c>
      <c r="AE9" s="55">
        <f t="shared" si="11"/>
        <v>8.1999999999999993</v>
      </c>
      <c r="AF9" s="55">
        <f t="shared" si="12"/>
        <v>7</v>
      </c>
      <c r="AG9" s="55">
        <f t="shared" si="13"/>
        <v>16</v>
      </c>
      <c r="AH9" s="37">
        <f>(12930+2985+125+125+245)*1.012</f>
        <v>16606.920000000002</v>
      </c>
      <c r="AI9" s="42">
        <f t="shared" si="2"/>
        <v>0</v>
      </c>
      <c r="AJ9" s="42">
        <f t="shared" si="3"/>
        <v>76</v>
      </c>
      <c r="AK9" s="42">
        <f t="shared" si="4"/>
        <v>6</v>
      </c>
      <c r="AL9" s="42">
        <f t="shared" si="5"/>
        <v>40.5</v>
      </c>
      <c r="AM9" s="42">
        <f t="shared" si="6"/>
        <v>18</v>
      </c>
      <c r="AN9" s="42">
        <f t="shared" si="7"/>
        <v>16</v>
      </c>
      <c r="AO9" s="42">
        <f t="shared" si="8"/>
        <v>16</v>
      </c>
      <c r="AP9" s="195">
        <f t="shared" si="9"/>
        <v>172.5</v>
      </c>
      <c r="AR9" s="98"/>
      <c r="AS9" s="98"/>
    </row>
    <row r="10" spans="1:45" x14ac:dyDescent="0.25">
      <c r="A10" t="s">
        <v>166</v>
      </c>
      <c r="B10" s="18" t="s">
        <v>186</v>
      </c>
      <c r="C10" s="6" t="s">
        <v>161</v>
      </c>
      <c r="D10" s="6" t="s">
        <v>314</v>
      </c>
      <c r="E10" s="6">
        <f>PLANTILLA!E12</f>
        <v>29</v>
      </c>
      <c r="F10" s="20">
        <f ca="1">PLANTILLA!F12</f>
        <v>39</v>
      </c>
      <c r="G10" s="89">
        <f>PLANTILLA!X12</f>
        <v>0</v>
      </c>
      <c r="H10" s="89">
        <f>PLANTILLA!Y12</f>
        <v>13.333333333333334</v>
      </c>
      <c r="I10" s="89">
        <f>PLANTILLA!Z12</f>
        <v>4.7083333333333339</v>
      </c>
      <c r="J10" s="89">
        <f>PLANTILLA!AA12</f>
        <v>14</v>
      </c>
      <c r="K10" s="89">
        <f>PLANTILLA!AB12</f>
        <v>9.1666666666666661</v>
      </c>
      <c r="L10" s="89">
        <f>PLANTILLA!AC12</f>
        <v>7.25</v>
      </c>
      <c r="M10" s="89">
        <f>PLANTILLA!AD12</f>
        <v>16.333333333333332</v>
      </c>
      <c r="N10" s="37">
        <f>PLANTILLA!V12</f>
        <v>19430</v>
      </c>
      <c r="O10" s="42">
        <v>0</v>
      </c>
      <c r="P10" s="42">
        <v>62</v>
      </c>
      <c r="Q10" s="42">
        <v>3.5</v>
      </c>
      <c r="R10" s="29">
        <v>42</v>
      </c>
      <c r="S10" s="42">
        <v>24</v>
      </c>
      <c r="T10" s="42">
        <v>17</v>
      </c>
      <c r="U10" s="42">
        <v>17</v>
      </c>
      <c r="V10" s="195">
        <f t="shared" si="0"/>
        <v>165.5</v>
      </c>
      <c r="X10" t="s">
        <v>166</v>
      </c>
      <c r="Y10" s="6">
        <f>E10</f>
        <v>29</v>
      </c>
      <c r="Z10" s="6">
        <f ca="1">F10+(7*$AR$8)</f>
        <v>39</v>
      </c>
      <c r="AA10" s="55">
        <f t="shared" si="1"/>
        <v>0</v>
      </c>
      <c r="AB10" s="55">
        <v>12</v>
      </c>
      <c r="AC10" s="55">
        <f t="shared" si="10"/>
        <v>4.7083333333333339</v>
      </c>
      <c r="AD10" s="55">
        <v>11.9</v>
      </c>
      <c r="AE10" s="55">
        <f t="shared" si="11"/>
        <v>9.1666666666666661</v>
      </c>
      <c r="AF10" s="55">
        <f t="shared" si="12"/>
        <v>7.25</v>
      </c>
      <c r="AG10" s="55">
        <f t="shared" si="13"/>
        <v>16.333333333333332</v>
      </c>
      <c r="AH10" s="37">
        <f>(12930+2985+125+125+245)*1.012</f>
        <v>16606.920000000002</v>
      </c>
      <c r="AI10" s="42">
        <f t="shared" si="2"/>
        <v>0</v>
      </c>
      <c r="AJ10" s="42">
        <f t="shared" si="3"/>
        <v>62</v>
      </c>
      <c r="AK10" s="42">
        <f t="shared" si="4"/>
        <v>3.5</v>
      </c>
      <c r="AL10" s="29">
        <f t="shared" si="5"/>
        <v>42</v>
      </c>
      <c r="AM10" s="42">
        <f t="shared" si="6"/>
        <v>24</v>
      </c>
      <c r="AN10" s="42">
        <f t="shared" si="7"/>
        <v>17</v>
      </c>
      <c r="AO10" s="42">
        <f t="shared" si="8"/>
        <v>17</v>
      </c>
      <c r="AP10" s="195">
        <f t="shared" si="9"/>
        <v>165.5</v>
      </c>
      <c r="AR10" s="98"/>
      <c r="AS10" s="98"/>
    </row>
    <row r="11" spans="1:45" x14ac:dyDescent="0.25">
      <c r="A11" t="s">
        <v>159</v>
      </c>
      <c r="B11" s="18" t="s">
        <v>315</v>
      </c>
      <c r="C11" s="6" t="s">
        <v>164</v>
      </c>
      <c r="D11" s="6" t="s">
        <v>316</v>
      </c>
      <c r="E11" s="6">
        <f>PLANTILLA!E15</f>
        <v>29</v>
      </c>
      <c r="F11" s="20">
        <f ca="1">PLANTILLA!F15</f>
        <v>9</v>
      </c>
      <c r="G11" s="89">
        <f>PLANTILLA!X15</f>
        <v>0</v>
      </c>
      <c r="H11" s="89">
        <f>PLANTILLA!Y15</f>
        <v>13.714285714285714</v>
      </c>
      <c r="I11" s="89">
        <f>PLANTILLA!Z15</f>
        <v>9.8412698412698401</v>
      </c>
      <c r="J11" s="89">
        <f>PLANTILLA!AA15</f>
        <v>5.6</v>
      </c>
      <c r="K11" s="89">
        <f>PLANTILLA!AB15</f>
        <v>9</v>
      </c>
      <c r="L11" s="89">
        <f>PLANTILLA!AC15</f>
        <v>4</v>
      </c>
      <c r="M11" s="89">
        <f>PLANTILLA!AD15</f>
        <v>21.2</v>
      </c>
      <c r="N11" s="37">
        <f>PLANTILLA!V15</f>
        <v>21060</v>
      </c>
      <c r="O11" s="42">
        <v>0</v>
      </c>
      <c r="P11" s="42">
        <v>62.5</v>
      </c>
      <c r="Q11" s="42">
        <v>27</v>
      </c>
      <c r="R11" s="42">
        <v>3.5</v>
      </c>
      <c r="S11" s="42">
        <v>23</v>
      </c>
      <c r="T11" s="42">
        <v>5</v>
      </c>
      <c r="U11" s="42">
        <v>38</v>
      </c>
      <c r="V11" s="195">
        <f t="shared" si="0"/>
        <v>159</v>
      </c>
      <c r="X11" t="s">
        <v>159</v>
      </c>
      <c r="Y11" s="6">
        <f>E11</f>
        <v>29</v>
      </c>
      <c r="Z11" s="6">
        <f ca="1">F11+(7*$AR$8)</f>
        <v>9</v>
      </c>
      <c r="AA11" s="55">
        <f t="shared" si="1"/>
        <v>0</v>
      </c>
      <c r="AB11" s="55">
        <f>H11+2/10</f>
        <v>13.914285714285713</v>
      </c>
      <c r="AC11" s="55">
        <f t="shared" si="10"/>
        <v>9.8412698412698401</v>
      </c>
      <c r="AD11" s="55">
        <f>J11</f>
        <v>5.6</v>
      </c>
      <c r="AE11" s="55">
        <f t="shared" si="11"/>
        <v>9</v>
      </c>
      <c r="AF11" s="55">
        <f t="shared" si="12"/>
        <v>4</v>
      </c>
      <c r="AG11" s="55">
        <f t="shared" si="13"/>
        <v>21.2</v>
      </c>
      <c r="AH11" s="37">
        <f>N11</f>
        <v>21060</v>
      </c>
      <c r="AI11" s="42">
        <f t="shared" si="2"/>
        <v>0</v>
      </c>
      <c r="AJ11" s="42">
        <f t="shared" si="3"/>
        <v>62.5</v>
      </c>
      <c r="AK11" s="42">
        <f t="shared" si="4"/>
        <v>27</v>
      </c>
      <c r="AL11" s="42">
        <f t="shared" si="5"/>
        <v>3.5</v>
      </c>
      <c r="AM11" s="42">
        <f t="shared" si="6"/>
        <v>23</v>
      </c>
      <c r="AN11" s="42">
        <f t="shared" si="7"/>
        <v>5</v>
      </c>
      <c r="AO11" s="42">
        <f t="shared" si="8"/>
        <v>38</v>
      </c>
      <c r="AP11" s="195">
        <f t="shared" si="9"/>
        <v>159</v>
      </c>
    </row>
    <row r="12" spans="1:45" x14ac:dyDescent="0.25">
      <c r="A12" t="s">
        <v>317</v>
      </c>
      <c r="B12" s="18" t="s">
        <v>315</v>
      </c>
      <c r="C12" s="6"/>
      <c r="D12" s="6"/>
      <c r="E12" s="6"/>
      <c r="F12" s="6"/>
      <c r="G12" s="89">
        <v>0</v>
      </c>
      <c r="H12" s="63">
        <v>2</v>
      </c>
      <c r="I12" s="89">
        <v>2</v>
      </c>
      <c r="J12" s="63">
        <v>2</v>
      </c>
      <c r="K12" s="89">
        <v>2</v>
      </c>
      <c r="L12" s="63">
        <v>2</v>
      </c>
      <c r="M12" s="89">
        <v>2</v>
      </c>
      <c r="N12" s="37"/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195">
        <f t="shared" si="0"/>
        <v>0</v>
      </c>
      <c r="X12" t="s">
        <v>317</v>
      </c>
      <c r="Y12" s="6"/>
      <c r="Z12" s="6"/>
      <c r="AA12" s="55">
        <f t="shared" si="1"/>
        <v>0</v>
      </c>
      <c r="AB12" s="55">
        <f>H12</f>
        <v>2</v>
      </c>
      <c r="AC12" s="55">
        <f t="shared" si="10"/>
        <v>2</v>
      </c>
      <c r="AD12" s="55">
        <f>J12</f>
        <v>2</v>
      </c>
      <c r="AE12" s="55">
        <f t="shared" si="11"/>
        <v>2</v>
      </c>
      <c r="AF12" s="55">
        <f t="shared" si="12"/>
        <v>2</v>
      </c>
      <c r="AG12" s="55">
        <f t="shared" si="13"/>
        <v>2</v>
      </c>
      <c r="AH12" s="37"/>
      <c r="AI12" s="42">
        <f t="shared" si="2"/>
        <v>0</v>
      </c>
      <c r="AJ12" s="42">
        <v>0</v>
      </c>
      <c r="AK12" s="42">
        <f t="shared" si="4"/>
        <v>0</v>
      </c>
      <c r="AL12" s="42">
        <f t="shared" si="5"/>
        <v>0</v>
      </c>
      <c r="AM12" s="42">
        <f t="shared" si="6"/>
        <v>0</v>
      </c>
      <c r="AN12" s="42">
        <f t="shared" si="7"/>
        <v>0</v>
      </c>
      <c r="AO12" s="42">
        <f t="shared" si="8"/>
        <v>0</v>
      </c>
      <c r="AP12" s="195">
        <f t="shared" si="9"/>
        <v>0</v>
      </c>
    </row>
    <row r="13" spans="1:45" x14ac:dyDescent="0.25">
      <c r="A13" t="s">
        <v>167</v>
      </c>
      <c r="B13" s="18" t="s">
        <v>318</v>
      </c>
      <c r="C13" s="6" t="s">
        <v>164</v>
      </c>
      <c r="D13" s="6" t="s">
        <v>319</v>
      </c>
      <c r="E13" s="6">
        <f>PLANTILLA!E13</f>
        <v>29</v>
      </c>
      <c r="F13" s="20">
        <f ca="1">PLANTILLA!F13</f>
        <v>35</v>
      </c>
      <c r="G13" s="89">
        <f>PLANTILLA!X13</f>
        <v>0</v>
      </c>
      <c r="H13" s="89">
        <f>PLANTILLA!Y13</f>
        <v>12.666666666666666</v>
      </c>
      <c r="I13" s="89">
        <f>PLANTILLA!Z13</f>
        <v>6.6</v>
      </c>
      <c r="J13" s="89">
        <f>PLANTILLA!AA13</f>
        <v>16</v>
      </c>
      <c r="K13" s="89">
        <f>PLANTILLA!AB13</f>
        <v>9.5</v>
      </c>
      <c r="L13" s="89">
        <f>PLANTILLA!AC13</f>
        <v>7.8</v>
      </c>
      <c r="M13" s="89">
        <f>PLANTILLA!AD13</f>
        <v>17</v>
      </c>
      <c r="N13" s="37">
        <f>PLANTILLA!V13</f>
        <v>29070</v>
      </c>
      <c r="O13" s="42">
        <v>0</v>
      </c>
      <c r="P13" s="42">
        <v>52</v>
      </c>
      <c r="Q13" s="42">
        <v>11</v>
      </c>
      <c r="R13" s="42">
        <v>55</v>
      </c>
      <c r="S13" s="42">
        <v>23</v>
      </c>
      <c r="T13" s="42">
        <v>20</v>
      </c>
      <c r="U13" s="42">
        <v>18</v>
      </c>
      <c r="V13" s="195">
        <f t="shared" si="0"/>
        <v>179</v>
      </c>
      <c r="X13" t="s">
        <v>167</v>
      </c>
      <c r="Y13" s="6">
        <f>E13</f>
        <v>29</v>
      </c>
      <c r="Z13" s="6">
        <f ca="1">F13+(7*$AR$8)</f>
        <v>35</v>
      </c>
      <c r="AA13" s="55">
        <f t="shared" si="1"/>
        <v>0</v>
      </c>
      <c r="AB13" s="55">
        <f>10+6/9</f>
        <v>10.666666666666666</v>
      </c>
      <c r="AC13" s="55">
        <f t="shared" si="10"/>
        <v>6.6</v>
      </c>
      <c r="AD13" s="55">
        <v>14</v>
      </c>
      <c r="AE13" s="55">
        <f t="shared" si="11"/>
        <v>9.5</v>
      </c>
      <c r="AF13" s="55">
        <f t="shared" si="12"/>
        <v>7.8</v>
      </c>
      <c r="AG13" s="55">
        <f t="shared" si="13"/>
        <v>17</v>
      </c>
      <c r="AH13" s="37">
        <f>(11610+300+145+150+1200)*1.016</f>
        <v>13619.48</v>
      </c>
      <c r="AI13" s="42">
        <f t="shared" si="2"/>
        <v>0</v>
      </c>
      <c r="AJ13" s="42">
        <f>P13+$AR$8</f>
        <v>52</v>
      </c>
      <c r="AK13" s="42">
        <f t="shared" si="4"/>
        <v>11</v>
      </c>
      <c r="AL13" s="42">
        <f t="shared" si="5"/>
        <v>55</v>
      </c>
      <c r="AM13" s="42">
        <f t="shared" si="6"/>
        <v>23</v>
      </c>
      <c r="AN13" s="42">
        <f t="shared" si="7"/>
        <v>20</v>
      </c>
      <c r="AO13" s="42">
        <f t="shared" si="8"/>
        <v>18</v>
      </c>
      <c r="AP13" s="195">
        <f t="shared" si="9"/>
        <v>179</v>
      </c>
    </row>
    <row r="14" spans="1:45" x14ac:dyDescent="0.25">
      <c r="A14" t="s">
        <v>320</v>
      </c>
      <c r="B14" s="18" t="s">
        <v>318</v>
      </c>
      <c r="C14" s="6" t="s">
        <v>164</v>
      </c>
      <c r="D14" s="6" t="s">
        <v>321</v>
      </c>
      <c r="E14" s="6">
        <f>PLANTILLA!E11</f>
        <v>28</v>
      </c>
      <c r="F14" s="20">
        <f ca="1">PLANTILLA!F11</f>
        <v>112</v>
      </c>
      <c r="G14" s="89">
        <f>PLANTILLA!X11</f>
        <v>0</v>
      </c>
      <c r="H14" s="89">
        <f>PLANTILLA!Y11</f>
        <v>14</v>
      </c>
      <c r="I14" s="89">
        <f>PLANTILLA!Z11</f>
        <v>4.75</v>
      </c>
      <c r="J14" s="89">
        <f>PLANTILLA!AA11</f>
        <v>15.111111111111111</v>
      </c>
      <c r="K14" s="89">
        <f>PLANTILLA!AB11</f>
        <v>10</v>
      </c>
      <c r="L14" s="89">
        <f>PLANTILLA!AC11</f>
        <v>7</v>
      </c>
      <c r="M14" s="89">
        <f>PLANTILLA!AD11</f>
        <v>16.333333333333332</v>
      </c>
      <c r="N14" s="37">
        <f>PLANTILLA!V11</f>
        <v>26350</v>
      </c>
      <c r="O14" s="42">
        <v>0</v>
      </c>
      <c r="P14" s="42">
        <v>68</v>
      </c>
      <c r="Q14" s="42">
        <v>3.5</v>
      </c>
      <c r="R14" s="42">
        <v>46.5</v>
      </c>
      <c r="S14" s="42">
        <v>26</v>
      </c>
      <c r="T14" s="42">
        <v>16</v>
      </c>
      <c r="U14" s="42">
        <v>17</v>
      </c>
      <c r="V14" s="195">
        <f t="shared" si="0"/>
        <v>177</v>
      </c>
      <c r="X14" t="s">
        <v>320</v>
      </c>
      <c r="Y14" s="6">
        <f>E14+1</f>
        <v>29</v>
      </c>
      <c r="Z14" s="6">
        <f ca="1">F14+(7*$AR$8)-112</f>
        <v>0</v>
      </c>
      <c r="AA14" s="55">
        <f t="shared" si="1"/>
        <v>0</v>
      </c>
      <c r="AB14" s="55">
        <f>12+2/11</f>
        <v>12.181818181818182</v>
      </c>
      <c r="AC14" s="55">
        <f t="shared" si="10"/>
        <v>4.75</v>
      </c>
      <c r="AD14" s="55">
        <f>12+5/6</f>
        <v>12.833333333333334</v>
      </c>
      <c r="AE14" s="55">
        <f t="shared" si="11"/>
        <v>10</v>
      </c>
      <c r="AF14" s="55">
        <f t="shared" si="12"/>
        <v>7</v>
      </c>
      <c r="AG14" s="55">
        <f t="shared" si="13"/>
        <v>16.333333333333332</v>
      </c>
      <c r="AH14" s="37">
        <f>(7000+165+125+245+3505)*1.012</f>
        <v>11172.48</v>
      </c>
      <c r="AI14" s="42">
        <f t="shared" si="2"/>
        <v>0</v>
      </c>
      <c r="AJ14" s="42">
        <f>P14+$AR$8</f>
        <v>68</v>
      </c>
      <c r="AK14" s="42">
        <f t="shared" si="4"/>
        <v>3.5</v>
      </c>
      <c r="AL14" s="42">
        <f t="shared" si="5"/>
        <v>46.5</v>
      </c>
      <c r="AM14" s="42">
        <f t="shared" si="6"/>
        <v>26</v>
      </c>
      <c r="AN14" s="42">
        <f t="shared" si="7"/>
        <v>16</v>
      </c>
      <c r="AO14" s="42">
        <f t="shared" si="8"/>
        <v>17</v>
      </c>
      <c r="AP14" s="195">
        <f t="shared" si="9"/>
        <v>177</v>
      </c>
    </row>
    <row r="15" spans="1:45" x14ac:dyDescent="0.25">
      <c r="A15" t="s">
        <v>155</v>
      </c>
      <c r="B15" s="18" t="s">
        <v>318</v>
      </c>
      <c r="C15" s="6" t="s">
        <v>161</v>
      </c>
      <c r="D15" s="6" t="s">
        <v>322</v>
      </c>
      <c r="E15" s="6">
        <f>PLANTILLA!E14</f>
        <v>29</v>
      </c>
      <c r="F15" s="20">
        <f ca="1">PLANTILLA!F14</f>
        <v>35</v>
      </c>
      <c r="G15" s="89">
        <f>PLANTILLA!X14</f>
        <v>0</v>
      </c>
      <c r="H15" s="89">
        <f>PLANTILLA!Y14</f>
        <v>13</v>
      </c>
      <c r="I15" s="89">
        <f>PLANTILLA!Z14</f>
        <v>6.4</v>
      </c>
      <c r="J15" s="89">
        <f>PLANTILLA!AA14</f>
        <v>15</v>
      </c>
      <c r="K15" s="89">
        <f>PLANTILLA!AB14</f>
        <v>9</v>
      </c>
      <c r="L15" s="89">
        <f>PLANTILLA!AC14</f>
        <v>8</v>
      </c>
      <c r="M15" s="89">
        <f>PLANTILLA!AD14</f>
        <v>16</v>
      </c>
      <c r="N15" s="37">
        <f>PLANTILLA!V14</f>
        <v>22560</v>
      </c>
      <c r="O15" s="42">
        <v>0</v>
      </c>
      <c r="P15" s="42">
        <v>55</v>
      </c>
      <c r="Q15" s="42">
        <v>10</v>
      </c>
      <c r="R15" s="42">
        <v>46.5</v>
      </c>
      <c r="S15" s="42">
        <v>20</v>
      </c>
      <c r="T15" s="42">
        <v>21</v>
      </c>
      <c r="U15" s="42">
        <v>16</v>
      </c>
      <c r="V15" s="195">
        <f t="shared" si="0"/>
        <v>168.5</v>
      </c>
      <c r="X15" t="s">
        <v>155</v>
      </c>
      <c r="Y15" s="6">
        <f>E15</f>
        <v>29</v>
      </c>
      <c r="Z15" s="6">
        <f ca="1">F15+(7*$AR$8)</f>
        <v>35</v>
      </c>
      <c r="AA15" s="55">
        <f t="shared" si="1"/>
        <v>0</v>
      </c>
      <c r="AB15" s="55">
        <f>11+1/10</f>
        <v>11.1</v>
      </c>
      <c r="AC15" s="55">
        <f t="shared" si="10"/>
        <v>6.4</v>
      </c>
      <c r="AD15" s="55">
        <f>13+2/6</f>
        <v>13.333333333333334</v>
      </c>
      <c r="AE15" s="55">
        <f t="shared" si="11"/>
        <v>9</v>
      </c>
      <c r="AF15" s="55">
        <f t="shared" si="12"/>
        <v>8</v>
      </c>
      <c r="AG15" s="55">
        <f t="shared" si="13"/>
        <v>16</v>
      </c>
      <c r="AH15" s="37">
        <f>(9000+135+135+350+3900)*1.012</f>
        <v>13682.24</v>
      </c>
      <c r="AI15" s="42">
        <f t="shared" si="2"/>
        <v>0</v>
      </c>
      <c r="AJ15" s="42">
        <f>P15+$AR$8</f>
        <v>55</v>
      </c>
      <c r="AK15" s="42">
        <f t="shared" si="4"/>
        <v>10</v>
      </c>
      <c r="AL15" s="42">
        <f t="shared" si="5"/>
        <v>46.5</v>
      </c>
      <c r="AM15" s="42">
        <f t="shared" si="6"/>
        <v>20</v>
      </c>
      <c r="AN15" s="42">
        <f t="shared" si="7"/>
        <v>21</v>
      </c>
      <c r="AO15" s="42">
        <f t="shared" si="8"/>
        <v>16</v>
      </c>
      <c r="AP15" s="195">
        <f t="shared" si="9"/>
        <v>168.5</v>
      </c>
    </row>
    <row r="16" spans="1:45" x14ac:dyDescent="0.25">
      <c r="N16" s="77">
        <f>SUM(N18:N30)</f>
        <v>215221.18000000002</v>
      </c>
      <c r="AH16" s="77">
        <f>SUM(AH18:AH30)</f>
        <v>236304.655</v>
      </c>
    </row>
    <row r="17" spans="1:45" x14ac:dyDescent="0.25">
      <c r="A17" s="13" t="s">
        <v>293</v>
      </c>
      <c r="B17" s="13" t="s">
        <v>107</v>
      </c>
      <c r="C17" s="13" t="s">
        <v>294</v>
      </c>
      <c r="D17" s="13" t="str">
        <f>D2</f>
        <v>Nombre</v>
      </c>
      <c r="E17" s="13" t="str">
        <f>E2</f>
        <v>Año</v>
      </c>
      <c r="F17" s="13" t="str">
        <f>F2</f>
        <v>Dia</v>
      </c>
      <c r="G17" s="13" t="s">
        <v>129</v>
      </c>
      <c r="H17" s="13" t="s">
        <v>130</v>
      </c>
      <c r="I17" s="13" t="s">
        <v>131</v>
      </c>
      <c r="J17" s="13" t="s">
        <v>132</v>
      </c>
      <c r="K17" s="13" t="s">
        <v>133</v>
      </c>
      <c r="L17" s="13" t="s">
        <v>134</v>
      </c>
      <c r="M17" s="13" t="s">
        <v>112</v>
      </c>
      <c r="N17" s="13" t="s">
        <v>297</v>
      </c>
      <c r="O17" s="13" t="s">
        <v>298</v>
      </c>
      <c r="P17" s="13" t="s">
        <v>299</v>
      </c>
      <c r="Q17" s="13" t="s">
        <v>300</v>
      </c>
      <c r="R17" s="13" t="s">
        <v>301</v>
      </c>
      <c r="S17" s="13" t="s">
        <v>302</v>
      </c>
      <c r="T17" s="13" t="s">
        <v>303</v>
      </c>
      <c r="U17" s="13" t="s">
        <v>304</v>
      </c>
      <c r="V17" s="13" t="s">
        <v>305</v>
      </c>
      <c r="X17" s="13" t="s">
        <v>293</v>
      </c>
      <c r="Y17" s="13" t="str">
        <f>Y2</f>
        <v>Año</v>
      </c>
      <c r="Z17" s="13" t="str">
        <f>Z2</f>
        <v>Dia</v>
      </c>
      <c r="AA17" s="13" t="s">
        <v>129</v>
      </c>
      <c r="AB17" s="13" t="s">
        <v>130</v>
      </c>
      <c r="AC17" s="13" t="s">
        <v>131</v>
      </c>
      <c r="AD17" s="13" t="s">
        <v>132</v>
      </c>
      <c r="AE17" s="13" t="s">
        <v>133</v>
      </c>
      <c r="AF17" s="13" t="s">
        <v>134</v>
      </c>
      <c r="AG17" s="13" t="s">
        <v>112</v>
      </c>
      <c r="AH17" s="13" t="s">
        <v>297</v>
      </c>
      <c r="AI17" s="13" t="s">
        <v>298</v>
      </c>
      <c r="AJ17" s="13" t="s">
        <v>299</v>
      </c>
      <c r="AK17" s="13" t="s">
        <v>300</v>
      </c>
      <c r="AL17" s="13" t="s">
        <v>301</v>
      </c>
      <c r="AM17" s="13" t="s">
        <v>302</v>
      </c>
      <c r="AN17" s="13" t="s">
        <v>303</v>
      </c>
      <c r="AO17" s="13" t="s">
        <v>304</v>
      </c>
      <c r="AP17" s="13" t="s">
        <v>305</v>
      </c>
    </row>
    <row r="18" spans="1:45" x14ac:dyDescent="0.25">
      <c r="A18" t="s">
        <v>150</v>
      </c>
      <c r="B18" s="18" t="s">
        <v>151</v>
      </c>
      <c r="C18" s="6"/>
      <c r="D18" s="6" t="str">
        <f>D3</f>
        <v>C. Fonteboa</v>
      </c>
      <c r="E18" s="6">
        <f t="shared" ref="E18:E26" si="14">Y3</f>
        <v>29</v>
      </c>
      <c r="F18" s="6">
        <f t="shared" ref="F18:F26" ca="1" si="15">Z3</f>
        <v>46</v>
      </c>
      <c r="G18" s="55">
        <f t="shared" ref="G18:G26" si="16">AA3</f>
        <v>15</v>
      </c>
      <c r="H18" s="55">
        <f t="shared" ref="H18:H26" si="17">AB3</f>
        <v>11.6</v>
      </c>
      <c r="I18" s="55">
        <f t="shared" ref="I18:I26" si="18">AC3</f>
        <v>0</v>
      </c>
      <c r="J18" s="55">
        <f t="shared" ref="J18:J26" si="19">AD3</f>
        <v>2</v>
      </c>
      <c r="K18" s="55">
        <f t="shared" ref="K18:K26" si="20">AE3</f>
        <v>1</v>
      </c>
      <c r="L18" s="55">
        <f t="shared" ref="L18:L26" si="21">AF3</f>
        <v>1</v>
      </c>
      <c r="M18" s="55">
        <f t="shared" ref="M18:M26" si="22">AG3</f>
        <v>17</v>
      </c>
      <c r="N18" s="37">
        <f t="shared" ref="N18:N26" si="23">AH3</f>
        <v>26782.560000000001</v>
      </c>
      <c r="O18" s="42">
        <f t="shared" ref="O18:O26" si="24">AI3</f>
        <v>51.5</v>
      </c>
      <c r="P18" s="42">
        <f t="shared" ref="P18:P26" si="25">AJ3</f>
        <v>62</v>
      </c>
      <c r="Q18" s="42">
        <f t="shared" ref="Q18:Q26" si="26">AK3</f>
        <v>0</v>
      </c>
      <c r="R18" s="42">
        <f t="shared" ref="R18:R26" si="27">AL3</f>
        <v>0</v>
      </c>
      <c r="S18" s="42">
        <f t="shared" ref="S18:S26" si="28">AM3</f>
        <v>0</v>
      </c>
      <c r="T18" s="42">
        <f t="shared" ref="T18:T26" si="29">AN3</f>
        <v>0</v>
      </c>
      <c r="U18" s="42">
        <f t="shared" ref="U18:U26" si="30">AO3</f>
        <v>18</v>
      </c>
      <c r="V18" s="195">
        <f t="shared" ref="V18:V30" si="31">SUM(O18:U18)</f>
        <v>131.5</v>
      </c>
      <c r="X18" t="s">
        <v>150</v>
      </c>
      <c r="Y18" s="6">
        <f>E18+2</f>
        <v>31</v>
      </c>
      <c r="Z18" s="6">
        <f ca="1">F18+(($AR$22+$AR$23)*7)-112-112</f>
        <v>25</v>
      </c>
      <c r="AA18" s="55">
        <f t="shared" ref="AA18:AF18" si="32">G18</f>
        <v>15</v>
      </c>
      <c r="AB18" s="55">
        <f t="shared" si="32"/>
        <v>11.6</v>
      </c>
      <c r="AC18" s="55">
        <f t="shared" si="32"/>
        <v>0</v>
      </c>
      <c r="AD18" s="55">
        <f t="shared" si="32"/>
        <v>2</v>
      </c>
      <c r="AE18" s="55">
        <f t="shared" si="32"/>
        <v>1</v>
      </c>
      <c r="AF18" s="55">
        <f t="shared" si="32"/>
        <v>1</v>
      </c>
      <c r="AG18" s="55">
        <v>13.5</v>
      </c>
      <c r="AH18" s="37">
        <f>(24270+2300)*1.038</f>
        <v>27579.66</v>
      </c>
      <c r="AI18" s="42">
        <f t="shared" ref="AI18:AN18" si="33">O18</f>
        <v>51.5</v>
      </c>
      <c r="AJ18" s="42">
        <f t="shared" si="33"/>
        <v>62</v>
      </c>
      <c r="AK18" s="42">
        <f t="shared" si="33"/>
        <v>0</v>
      </c>
      <c r="AL18" s="42">
        <f t="shared" si="33"/>
        <v>0</v>
      </c>
      <c r="AM18" s="42">
        <f t="shared" si="33"/>
        <v>0</v>
      </c>
      <c r="AN18" s="42">
        <f t="shared" si="33"/>
        <v>0</v>
      </c>
      <c r="AO18" s="42">
        <f t="shared" ref="AO18:AO25" si="34">U18+$AR$23</f>
        <v>33</v>
      </c>
      <c r="AP18" s="195">
        <f t="shared" ref="AP18:AP30" si="35">SUM(AI18:AO18)</f>
        <v>146.5</v>
      </c>
    </row>
    <row r="19" spans="1:45" x14ac:dyDescent="0.25">
      <c r="A19" t="s">
        <v>153</v>
      </c>
      <c r="B19" s="18" t="s">
        <v>186</v>
      </c>
      <c r="C19" s="6"/>
      <c r="D19" s="6" t="str">
        <f>D4</f>
        <v>M. Fernandez</v>
      </c>
      <c r="E19" s="6">
        <f t="shared" si="14"/>
        <v>34</v>
      </c>
      <c r="F19" s="6">
        <f t="shared" ca="1" si="15"/>
        <v>29</v>
      </c>
      <c r="G19" s="55">
        <f t="shared" si="16"/>
        <v>0</v>
      </c>
      <c r="H19" s="55">
        <f t="shared" si="17"/>
        <v>15.166666666666666</v>
      </c>
      <c r="I19" s="55">
        <f t="shared" si="18"/>
        <v>13</v>
      </c>
      <c r="J19" s="55">
        <f t="shared" si="19"/>
        <v>5.2</v>
      </c>
      <c r="K19" s="55">
        <f t="shared" si="20"/>
        <v>12</v>
      </c>
      <c r="L19" s="55">
        <f t="shared" si="21"/>
        <v>4</v>
      </c>
      <c r="M19" s="55">
        <f t="shared" si="22"/>
        <v>16</v>
      </c>
      <c r="N19" s="37">
        <f t="shared" si="23"/>
        <v>28513.599999999999</v>
      </c>
      <c r="O19" s="42">
        <f t="shared" si="24"/>
        <v>0</v>
      </c>
      <c r="P19" s="42">
        <f t="shared" si="25"/>
        <v>104.3</v>
      </c>
      <c r="Q19" s="42">
        <f t="shared" si="26"/>
        <v>12</v>
      </c>
      <c r="R19" s="42">
        <f t="shared" si="27"/>
        <v>11</v>
      </c>
      <c r="S19" s="42">
        <f t="shared" si="28"/>
        <v>23</v>
      </c>
      <c r="T19" s="42">
        <f t="shared" si="29"/>
        <v>0</v>
      </c>
      <c r="U19" s="42">
        <f t="shared" si="30"/>
        <v>15</v>
      </c>
      <c r="V19" s="195">
        <f t="shared" si="31"/>
        <v>165.3</v>
      </c>
      <c r="X19" t="s">
        <v>153</v>
      </c>
      <c r="Y19" s="6">
        <f>E19+2</f>
        <v>36</v>
      </c>
      <c r="Z19" s="6">
        <f ca="1">F19+(($AR$22+$AR$23)*7)-112-112</f>
        <v>8</v>
      </c>
      <c r="AA19" s="55">
        <f t="shared" ref="AA19:AA30" si="36">G19</f>
        <v>0</v>
      </c>
      <c r="AB19" s="55">
        <f t="shared" ref="AB19:AB30" si="37">H19</f>
        <v>15.166666666666666</v>
      </c>
      <c r="AC19" s="55">
        <f t="shared" ref="AC19:AC30" si="38">I19</f>
        <v>13</v>
      </c>
      <c r="AD19" s="55">
        <f t="shared" ref="AD19:AD30" si="39">J19</f>
        <v>5.2</v>
      </c>
      <c r="AE19" s="55">
        <f>8+3/5</f>
        <v>8.6</v>
      </c>
      <c r="AF19" s="55">
        <f t="shared" ref="AF19:AF30" si="40">L19</f>
        <v>4</v>
      </c>
      <c r="AG19" s="55">
        <v>13.5</v>
      </c>
      <c r="AH19" s="37">
        <f>(28000+135+140+135)*1.038</f>
        <v>29489.58</v>
      </c>
      <c r="AI19" s="42">
        <f t="shared" ref="AI19:AI30" si="41">O19</f>
        <v>0</v>
      </c>
      <c r="AJ19" s="42">
        <f t="shared" ref="AJ19:AJ30" si="42">P19</f>
        <v>104.3</v>
      </c>
      <c r="AK19" s="42">
        <f t="shared" ref="AK19:AK30" si="43">Q19</f>
        <v>12</v>
      </c>
      <c r="AL19" s="42">
        <f t="shared" ref="AL19:AL30" si="44">R19</f>
        <v>11</v>
      </c>
      <c r="AM19" s="42">
        <f t="shared" ref="AM19:AM30" si="45">S19+$AR$22</f>
        <v>37</v>
      </c>
      <c r="AN19" s="42">
        <f t="shared" ref="AN19:AN30" si="46">T19</f>
        <v>0</v>
      </c>
      <c r="AO19" s="42">
        <f t="shared" si="34"/>
        <v>30</v>
      </c>
      <c r="AP19" s="195">
        <f t="shared" si="35"/>
        <v>194.3</v>
      </c>
    </row>
    <row r="20" spans="1:45" x14ac:dyDescent="0.25">
      <c r="A20" t="s">
        <v>162</v>
      </c>
      <c r="B20" s="18" t="s">
        <v>186</v>
      </c>
      <c r="C20" s="6"/>
      <c r="D20" s="6" t="str">
        <f>D5</f>
        <v>B. Abandero</v>
      </c>
      <c r="E20" s="6">
        <f t="shared" si="14"/>
        <v>29</v>
      </c>
      <c r="F20" s="6">
        <f t="shared" ca="1" si="15"/>
        <v>74</v>
      </c>
      <c r="G20" s="55">
        <f t="shared" si="16"/>
        <v>0</v>
      </c>
      <c r="H20" s="55">
        <f t="shared" si="17"/>
        <v>13.416666666666666</v>
      </c>
      <c r="I20" s="55">
        <f t="shared" si="18"/>
        <v>3.4569444444444448</v>
      </c>
      <c r="J20" s="55">
        <f t="shared" si="19"/>
        <v>7.083333333333333</v>
      </c>
      <c r="K20" s="55">
        <f t="shared" si="20"/>
        <v>12</v>
      </c>
      <c r="L20" s="55">
        <f t="shared" si="21"/>
        <v>3.95</v>
      </c>
      <c r="M20" s="55">
        <f t="shared" si="22"/>
        <v>15.666666666666666</v>
      </c>
      <c r="N20" s="37">
        <f t="shared" si="23"/>
        <v>13492.08</v>
      </c>
      <c r="O20" s="42">
        <f t="shared" si="24"/>
        <v>0</v>
      </c>
      <c r="P20" s="42">
        <f t="shared" si="25"/>
        <v>83</v>
      </c>
      <c r="Q20" s="42">
        <f t="shared" si="26"/>
        <v>3</v>
      </c>
      <c r="R20" s="42">
        <f t="shared" si="27"/>
        <v>15.5</v>
      </c>
      <c r="S20" s="42">
        <f t="shared" si="28"/>
        <v>43</v>
      </c>
      <c r="T20" s="42">
        <f t="shared" si="29"/>
        <v>5</v>
      </c>
      <c r="U20" s="42">
        <f t="shared" si="30"/>
        <v>16</v>
      </c>
      <c r="V20" s="195">
        <f t="shared" si="31"/>
        <v>165.5</v>
      </c>
      <c r="X20" t="s">
        <v>162</v>
      </c>
      <c r="Y20" s="6">
        <f>E20+2</f>
        <v>31</v>
      </c>
      <c r="Z20" s="6">
        <f ca="1">F20+(($AR$22+$AR$23)*7)-112-112</f>
        <v>53</v>
      </c>
      <c r="AA20" s="55">
        <f t="shared" si="36"/>
        <v>0</v>
      </c>
      <c r="AB20" s="55">
        <f t="shared" si="37"/>
        <v>13.416666666666666</v>
      </c>
      <c r="AC20" s="55">
        <f t="shared" si="38"/>
        <v>3.4569444444444448</v>
      </c>
      <c r="AD20" s="55">
        <f t="shared" si="39"/>
        <v>7.083333333333333</v>
      </c>
      <c r="AE20" s="55">
        <v>12</v>
      </c>
      <c r="AF20" s="55">
        <f t="shared" si="40"/>
        <v>3.95</v>
      </c>
      <c r="AG20" s="55">
        <v>13.5</v>
      </c>
      <c r="AH20" s="37">
        <f>(195+13000+515)*1.038</f>
        <v>14230.98</v>
      </c>
      <c r="AI20" s="42">
        <f t="shared" si="41"/>
        <v>0</v>
      </c>
      <c r="AJ20" s="42">
        <f t="shared" si="42"/>
        <v>83</v>
      </c>
      <c r="AK20" s="42">
        <f t="shared" si="43"/>
        <v>3</v>
      </c>
      <c r="AL20" s="42">
        <f t="shared" si="44"/>
        <v>15.5</v>
      </c>
      <c r="AM20" s="42">
        <f t="shared" si="45"/>
        <v>57</v>
      </c>
      <c r="AN20" s="42">
        <f t="shared" si="46"/>
        <v>5</v>
      </c>
      <c r="AO20" s="42">
        <f t="shared" si="34"/>
        <v>31</v>
      </c>
      <c r="AP20" s="195">
        <f t="shared" si="35"/>
        <v>194.5</v>
      </c>
      <c r="AQ20" s="90"/>
    </row>
    <row r="21" spans="1:45" x14ac:dyDescent="0.25">
      <c r="A21" t="s">
        <v>156</v>
      </c>
      <c r="B21" s="18" t="s">
        <v>186</v>
      </c>
      <c r="C21" s="6"/>
      <c r="D21" s="6" t="str">
        <f>D6</f>
        <v>I. R. Figueroa</v>
      </c>
      <c r="E21" s="6">
        <f t="shared" si="14"/>
        <v>29</v>
      </c>
      <c r="F21" s="6">
        <f t="shared" ca="1" si="15"/>
        <v>24</v>
      </c>
      <c r="G21" s="55">
        <f t="shared" si="16"/>
        <v>0</v>
      </c>
      <c r="H21" s="55">
        <f t="shared" si="17"/>
        <v>15.166666666666666</v>
      </c>
      <c r="I21" s="55">
        <f t="shared" si="18"/>
        <v>5.25</v>
      </c>
      <c r="J21" s="55">
        <f t="shared" si="19"/>
        <v>9</v>
      </c>
      <c r="K21" s="55">
        <f t="shared" si="20"/>
        <v>9</v>
      </c>
      <c r="L21" s="55">
        <f t="shared" si="21"/>
        <v>1</v>
      </c>
      <c r="M21" s="55">
        <f t="shared" si="22"/>
        <v>15.333333333333334</v>
      </c>
      <c r="N21" s="37">
        <f t="shared" si="23"/>
        <v>28513.599999999999</v>
      </c>
      <c r="O21" s="42">
        <f t="shared" si="24"/>
        <v>0</v>
      </c>
      <c r="P21" s="42">
        <f t="shared" si="25"/>
        <v>105</v>
      </c>
      <c r="Q21" s="42">
        <f t="shared" si="26"/>
        <v>9</v>
      </c>
      <c r="R21" s="42">
        <f t="shared" si="27"/>
        <v>14.5</v>
      </c>
      <c r="S21" s="42">
        <f t="shared" si="28"/>
        <v>22</v>
      </c>
      <c r="T21" s="42">
        <f t="shared" si="29"/>
        <v>0</v>
      </c>
      <c r="U21" s="42">
        <f t="shared" si="30"/>
        <v>14</v>
      </c>
      <c r="V21" s="195">
        <f t="shared" si="31"/>
        <v>164.5</v>
      </c>
      <c r="X21" t="s">
        <v>156</v>
      </c>
      <c r="Y21" s="6">
        <f>E21+2</f>
        <v>31</v>
      </c>
      <c r="Z21" s="6">
        <f ca="1">F21+(($AR$22+$AR$23)*7)-112-112</f>
        <v>3</v>
      </c>
      <c r="AA21" s="55">
        <f t="shared" si="36"/>
        <v>0</v>
      </c>
      <c r="AB21" s="55">
        <f t="shared" si="37"/>
        <v>15.166666666666666</v>
      </c>
      <c r="AC21" s="55">
        <f t="shared" si="38"/>
        <v>5.25</v>
      </c>
      <c r="AD21" s="55">
        <f t="shared" si="39"/>
        <v>9</v>
      </c>
      <c r="AE21" s="55">
        <f>8+3/5</f>
        <v>8.6</v>
      </c>
      <c r="AF21" s="55">
        <f t="shared" si="40"/>
        <v>1</v>
      </c>
      <c r="AG21" s="55">
        <v>13.5</v>
      </c>
      <c r="AH21" s="37">
        <f>(28000+135+145+135)*1.038</f>
        <v>29494.77</v>
      </c>
      <c r="AI21" s="42">
        <f t="shared" si="41"/>
        <v>0</v>
      </c>
      <c r="AJ21" s="42">
        <f t="shared" si="42"/>
        <v>105</v>
      </c>
      <c r="AK21" s="42">
        <f t="shared" si="43"/>
        <v>9</v>
      </c>
      <c r="AL21" s="42">
        <f t="shared" si="44"/>
        <v>14.5</v>
      </c>
      <c r="AM21" s="42">
        <f t="shared" si="45"/>
        <v>36</v>
      </c>
      <c r="AN21" s="42">
        <f t="shared" si="46"/>
        <v>0</v>
      </c>
      <c r="AO21" s="42">
        <f t="shared" si="34"/>
        <v>29</v>
      </c>
      <c r="AP21" s="195">
        <f t="shared" si="35"/>
        <v>193.5</v>
      </c>
      <c r="AQ21" s="90"/>
      <c r="AR21" s="90" t="s">
        <v>135</v>
      </c>
      <c r="AS21" s="90" t="s">
        <v>311</v>
      </c>
    </row>
    <row r="22" spans="1:45" x14ac:dyDescent="0.25">
      <c r="A22" t="s">
        <v>165</v>
      </c>
      <c r="B22" s="18" t="s">
        <v>186</v>
      </c>
      <c r="C22" s="6"/>
      <c r="D22" s="6" t="str">
        <f>D7</f>
        <v>G. Pedrajas</v>
      </c>
      <c r="E22" s="6">
        <f t="shared" si="14"/>
        <v>29</v>
      </c>
      <c r="F22" s="6">
        <f t="shared" ca="1" si="15"/>
        <v>59</v>
      </c>
      <c r="G22" s="55">
        <f t="shared" si="16"/>
        <v>0</v>
      </c>
      <c r="H22" s="55">
        <f t="shared" si="17"/>
        <v>11.7</v>
      </c>
      <c r="I22" s="55">
        <f t="shared" si="18"/>
        <v>11.666666666666666</v>
      </c>
      <c r="J22" s="55">
        <f t="shared" si="19"/>
        <v>5.25</v>
      </c>
      <c r="K22" s="55">
        <f t="shared" si="20"/>
        <v>11.142857142857142</v>
      </c>
      <c r="L22" s="55">
        <f t="shared" si="21"/>
        <v>4</v>
      </c>
      <c r="M22" s="55">
        <f t="shared" si="22"/>
        <v>15.333333333333334</v>
      </c>
      <c r="N22" s="37">
        <f t="shared" si="23"/>
        <v>9525.6</v>
      </c>
      <c r="O22" s="42">
        <f t="shared" si="24"/>
        <v>0</v>
      </c>
      <c r="P22" s="42">
        <f t="shared" si="25"/>
        <v>60</v>
      </c>
      <c r="Q22" s="42">
        <f t="shared" si="26"/>
        <v>41</v>
      </c>
      <c r="R22" s="42">
        <f t="shared" si="27"/>
        <v>4.5</v>
      </c>
      <c r="S22" s="42">
        <f t="shared" si="28"/>
        <v>36</v>
      </c>
      <c r="T22" s="42">
        <f t="shared" si="29"/>
        <v>5</v>
      </c>
      <c r="U22" s="42">
        <f t="shared" si="30"/>
        <v>15</v>
      </c>
      <c r="V22" s="195">
        <f t="shared" si="31"/>
        <v>161.5</v>
      </c>
      <c r="X22" t="s">
        <v>165</v>
      </c>
      <c r="Y22" s="6">
        <f>E22+2</f>
        <v>31</v>
      </c>
      <c r="Z22" s="6">
        <f ca="1">F22+(($AR$22+$AR$23)*7)-112-112</f>
        <v>38</v>
      </c>
      <c r="AA22" s="55">
        <f t="shared" si="36"/>
        <v>0</v>
      </c>
      <c r="AB22" s="55">
        <f t="shared" si="37"/>
        <v>11.7</v>
      </c>
      <c r="AC22" s="55">
        <f t="shared" si="38"/>
        <v>11.666666666666666</v>
      </c>
      <c r="AD22" s="55">
        <f t="shared" si="39"/>
        <v>5.25</v>
      </c>
      <c r="AE22" s="55">
        <f>11+1/7</f>
        <v>11.142857142857142</v>
      </c>
      <c r="AF22" s="55">
        <f t="shared" si="40"/>
        <v>4</v>
      </c>
      <c r="AG22" s="55">
        <v>13.5</v>
      </c>
      <c r="AH22" s="37">
        <f>(6800+2505+305)*1.038</f>
        <v>9975.18</v>
      </c>
      <c r="AI22" s="42">
        <f t="shared" si="41"/>
        <v>0</v>
      </c>
      <c r="AJ22" s="42">
        <f t="shared" si="42"/>
        <v>60</v>
      </c>
      <c r="AK22" s="42">
        <f t="shared" si="43"/>
        <v>41</v>
      </c>
      <c r="AL22" s="42">
        <f t="shared" si="44"/>
        <v>4.5</v>
      </c>
      <c r="AM22" s="42">
        <f t="shared" si="45"/>
        <v>50</v>
      </c>
      <c r="AN22" s="42">
        <f t="shared" si="46"/>
        <v>5</v>
      </c>
      <c r="AO22" s="42">
        <f t="shared" si="34"/>
        <v>30</v>
      </c>
      <c r="AP22" s="195">
        <f t="shared" si="35"/>
        <v>190.5</v>
      </c>
      <c r="AQ22" s="90" t="s">
        <v>323</v>
      </c>
      <c r="AR22" s="54">
        <v>14</v>
      </c>
      <c r="AS22" s="97">
        <f>AR22/16</f>
        <v>0.875</v>
      </c>
    </row>
    <row r="23" spans="1:45" x14ac:dyDescent="0.25">
      <c r="A23" t="s">
        <v>169</v>
      </c>
      <c r="B23" s="18" t="s">
        <v>186</v>
      </c>
      <c r="C23" s="6"/>
      <c r="D23" s="6" t="s">
        <v>312</v>
      </c>
      <c r="E23" s="6">
        <f t="shared" si="14"/>
        <v>30</v>
      </c>
      <c r="F23" s="6">
        <f t="shared" ca="1" si="15"/>
        <v>-10</v>
      </c>
      <c r="G23" s="55">
        <f t="shared" si="16"/>
        <v>0</v>
      </c>
      <c r="H23" s="55">
        <f t="shared" si="17"/>
        <v>14.9375</v>
      </c>
      <c r="I23" s="55">
        <f t="shared" si="18"/>
        <v>5.375</v>
      </c>
      <c r="J23" s="55">
        <f t="shared" si="19"/>
        <v>3.3333333333333335</v>
      </c>
      <c r="K23" s="55">
        <f t="shared" si="20"/>
        <v>12.222222222222221</v>
      </c>
      <c r="L23" s="55">
        <f t="shared" si="21"/>
        <v>6</v>
      </c>
      <c r="M23" s="55">
        <f t="shared" si="22"/>
        <v>15</v>
      </c>
      <c r="N23" s="37">
        <f t="shared" si="23"/>
        <v>0</v>
      </c>
      <c r="O23" s="42">
        <f t="shared" si="24"/>
        <v>0</v>
      </c>
      <c r="P23" s="42">
        <f t="shared" si="25"/>
        <v>83</v>
      </c>
      <c r="Q23" s="42">
        <f t="shared" si="26"/>
        <v>9.5</v>
      </c>
      <c r="R23" s="42">
        <f t="shared" si="27"/>
        <v>0</v>
      </c>
      <c r="S23" s="42">
        <f t="shared" si="28"/>
        <v>44</v>
      </c>
      <c r="T23" s="42">
        <f t="shared" si="29"/>
        <v>12</v>
      </c>
      <c r="U23" s="42">
        <f t="shared" si="30"/>
        <v>13</v>
      </c>
      <c r="V23" s="195">
        <f t="shared" si="31"/>
        <v>161.5</v>
      </c>
      <c r="X23" t="s">
        <v>169</v>
      </c>
      <c r="Y23" s="6">
        <f>E23+1</f>
        <v>31</v>
      </c>
      <c r="Z23" s="6">
        <f ca="1">F23+(($AR$22+$AR$23)*7)-112</f>
        <v>81</v>
      </c>
      <c r="AA23" s="55">
        <f t="shared" si="36"/>
        <v>0</v>
      </c>
      <c r="AB23" s="55">
        <f t="shared" si="37"/>
        <v>14.9375</v>
      </c>
      <c r="AC23" s="55">
        <f t="shared" si="38"/>
        <v>5.375</v>
      </c>
      <c r="AD23" s="55">
        <f t="shared" si="39"/>
        <v>3.3333333333333335</v>
      </c>
      <c r="AE23" s="55">
        <f>10+3/7</f>
        <v>10.428571428571429</v>
      </c>
      <c r="AF23" s="55">
        <f t="shared" si="40"/>
        <v>6</v>
      </c>
      <c r="AG23" s="55">
        <v>13.5</v>
      </c>
      <c r="AH23" s="37">
        <f>(18370+445+200)*1.038</f>
        <v>19737.57</v>
      </c>
      <c r="AI23" s="42">
        <f t="shared" si="41"/>
        <v>0</v>
      </c>
      <c r="AJ23" s="42">
        <f t="shared" si="42"/>
        <v>83</v>
      </c>
      <c r="AK23" s="42">
        <f t="shared" si="43"/>
        <v>9.5</v>
      </c>
      <c r="AL23" s="42">
        <f t="shared" si="44"/>
        <v>0</v>
      </c>
      <c r="AM23" s="42">
        <f t="shared" si="45"/>
        <v>58</v>
      </c>
      <c r="AN23" s="42">
        <f t="shared" si="46"/>
        <v>12</v>
      </c>
      <c r="AO23" s="42">
        <f t="shared" si="34"/>
        <v>28</v>
      </c>
      <c r="AP23" s="195">
        <f t="shared" si="35"/>
        <v>190.5</v>
      </c>
      <c r="AQ23" s="90" t="s">
        <v>191</v>
      </c>
      <c r="AR23" s="54">
        <v>15</v>
      </c>
      <c r="AS23" s="97">
        <f>AR23/16</f>
        <v>0.9375</v>
      </c>
    </row>
    <row r="24" spans="1:45" x14ac:dyDescent="0.25">
      <c r="A24" t="s">
        <v>158</v>
      </c>
      <c r="B24" s="18" t="s">
        <v>186</v>
      </c>
      <c r="C24" s="6" t="s">
        <v>161</v>
      </c>
      <c r="D24" s="6" t="s">
        <v>313</v>
      </c>
      <c r="E24" s="6">
        <f t="shared" si="14"/>
        <v>29</v>
      </c>
      <c r="F24" s="6">
        <f t="shared" ca="1" si="15"/>
        <v>39</v>
      </c>
      <c r="G24" s="55">
        <f t="shared" si="16"/>
        <v>0</v>
      </c>
      <c r="H24" s="55">
        <f t="shared" si="17"/>
        <v>12.909090909090908</v>
      </c>
      <c r="I24" s="55">
        <f t="shared" si="18"/>
        <v>5</v>
      </c>
      <c r="J24" s="55">
        <f t="shared" si="19"/>
        <v>12.5</v>
      </c>
      <c r="K24" s="55">
        <f t="shared" si="20"/>
        <v>8.1999999999999993</v>
      </c>
      <c r="L24" s="55">
        <f t="shared" si="21"/>
        <v>7</v>
      </c>
      <c r="M24" s="55">
        <f t="shared" si="22"/>
        <v>16</v>
      </c>
      <c r="N24" s="37">
        <f t="shared" si="23"/>
        <v>16606.920000000002</v>
      </c>
      <c r="O24" s="42">
        <f t="shared" si="24"/>
        <v>0</v>
      </c>
      <c r="P24" s="42">
        <f t="shared" si="25"/>
        <v>76</v>
      </c>
      <c r="Q24" s="42">
        <f t="shared" si="26"/>
        <v>6</v>
      </c>
      <c r="R24" s="42">
        <f t="shared" si="27"/>
        <v>40.5</v>
      </c>
      <c r="S24" s="42">
        <f t="shared" si="28"/>
        <v>18</v>
      </c>
      <c r="T24" s="42">
        <f t="shared" si="29"/>
        <v>16</v>
      </c>
      <c r="U24" s="42">
        <f t="shared" si="30"/>
        <v>16</v>
      </c>
      <c r="V24" s="195">
        <f t="shared" si="31"/>
        <v>172.5</v>
      </c>
      <c r="X24" t="s">
        <v>158</v>
      </c>
      <c r="Y24" s="6">
        <f>E24+2</f>
        <v>31</v>
      </c>
      <c r="Z24" s="6">
        <f ca="1">F24+(($AR$22+$AR$23)*7)-112-112</f>
        <v>18</v>
      </c>
      <c r="AA24" s="55">
        <f t="shared" si="36"/>
        <v>0</v>
      </c>
      <c r="AB24" s="55">
        <f t="shared" si="37"/>
        <v>12.909090909090908</v>
      </c>
      <c r="AC24" s="55">
        <f t="shared" si="38"/>
        <v>5</v>
      </c>
      <c r="AD24" s="55">
        <f t="shared" si="39"/>
        <v>12.5</v>
      </c>
      <c r="AE24" s="55">
        <f>8+1/5</f>
        <v>8.1999999999999993</v>
      </c>
      <c r="AF24" s="55">
        <f t="shared" si="40"/>
        <v>7</v>
      </c>
      <c r="AG24" s="55">
        <v>14</v>
      </c>
      <c r="AH24" s="37">
        <f>(12930+2985+125+145+245)*1.04</f>
        <v>17087.2</v>
      </c>
      <c r="AI24" s="42">
        <f t="shared" si="41"/>
        <v>0</v>
      </c>
      <c r="AJ24" s="42">
        <f t="shared" si="42"/>
        <v>76</v>
      </c>
      <c r="AK24" s="42">
        <f t="shared" si="43"/>
        <v>6</v>
      </c>
      <c r="AL24" s="42">
        <f t="shared" si="44"/>
        <v>40.5</v>
      </c>
      <c r="AM24" s="42">
        <f t="shared" si="45"/>
        <v>32</v>
      </c>
      <c r="AN24" s="42">
        <f t="shared" si="46"/>
        <v>16</v>
      </c>
      <c r="AO24" s="42">
        <f t="shared" si="34"/>
        <v>31</v>
      </c>
      <c r="AP24" s="195">
        <f t="shared" si="35"/>
        <v>201.5</v>
      </c>
      <c r="AQ24" s="90"/>
    </row>
    <row r="25" spans="1:45" x14ac:dyDescent="0.25">
      <c r="A25" t="s">
        <v>166</v>
      </c>
      <c r="B25" s="18" t="s">
        <v>186</v>
      </c>
      <c r="C25" s="6" t="s">
        <v>161</v>
      </c>
      <c r="D25" s="6" t="s">
        <v>314</v>
      </c>
      <c r="E25" s="6">
        <f t="shared" si="14"/>
        <v>29</v>
      </c>
      <c r="F25" s="6">
        <f t="shared" ca="1" si="15"/>
        <v>39</v>
      </c>
      <c r="G25" s="55">
        <f t="shared" si="16"/>
        <v>0</v>
      </c>
      <c r="H25" s="55">
        <f t="shared" si="17"/>
        <v>12</v>
      </c>
      <c r="I25" s="55">
        <f t="shared" si="18"/>
        <v>4.7083333333333339</v>
      </c>
      <c r="J25" s="55">
        <f t="shared" si="19"/>
        <v>11.9</v>
      </c>
      <c r="K25" s="55">
        <f t="shared" si="20"/>
        <v>9.1666666666666661</v>
      </c>
      <c r="L25" s="55">
        <f t="shared" si="21"/>
        <v>7.25</v>
      </c>
      <c r="M25" s="55">
        <f t="shared" si="22"/>
        <v>16.333333333333332</v>
      </c>
      <c r="N25" s="37">
        <f t="shared" si="23"/>
        <v>16606.920000000002</v>
      </c>
      <c r="O25" s="42">
        <f t="shared" si="24"/>
        <v>0</v>
      </c>
      <c r="P25" s="42">
        <f t="shared" si="25"/>
        <v>62</v>
      </c>
      <c r="Q25" s="42">
        <f t="shared" si="26"/>
        <v>3.5</v>
      </c>
      <c r="R25" s="29">
        <f t="shared" si="27"/>
        <v>42</v>
      </c>
      <c r="S25" s="42">
        <f t="shared" si="28"/>
        <v>24</v>
      </c>
      <c r="T25" s="42">
        <f t="shared" si="29"/>
        <v>17</v>
      </c>
      <c r="U25" s="42">
        <f t="shared" si="30"/>
        <v>17</v>
      </c>
      <c r="V25" s="195">
        <f t="shared" si="31"/>
        <v>165.5</v>
      </c>
      <c r="X25" t="s">
        <v>166</v>
      </c>
      <c r="Y25" s="6">
        <f>E25+2</f>
        <v>31</v>
      </c>
      <c r="Z25" s="6">
        <f ca="1">F25+(($AR$22+$AR$23)*7)-112-112</f>
        <v>18</v>
      </c>
      <c r="AA25" s="55">
        <f t="shared" si="36"/>
        <v>0</v>
      </c>
      <c r="AB25" s="55">
        <f t="shared" si="37"/>
        <v>12</v>
      </c>
      <c r="AC25" s="55">
        <f t="shared" si="38"/>
        <v>4.7083333333333339</v>
      </c>
      <c r="AD25" s="55">
        <f t="shared" si="39"/>
        <v>11.9</v>
      </c>
      <c r="AE25" s="55">
        <f>9+1/7</f>
        <v>9.1428571428571423</v>
      </c>
      <c r="AF25" s="55">
        <f t="shared" si="40"/>
        <v>7.25</v>
      </c>
      <c r="AG25" s="55">
        <v>14</v>
      </c>
      <c r="AH25" s="37">
        <f>(12930+2985+180+125+245)*1.04</f>
        <v>17123.600000000002</v>
      </c>
      <c r="AI25" s="42">
        <f t="shared" si="41"/>
        <v>0</v>
      </c>
      <c r="AJ25" s="42">
        <f t="shared" si="42"/>
        <v>62</v>
      </c>
      <c r="AK25" s="42">
        <f t="shared" si="43"/>
        <v>3.5</v>
      </c>
      <c r="AL25" s="29">
        <f t="shared" si="44"/>
        <v>42</v>
      </c>
      <c r="AM25" s="42">
        <f t="shared" si="45"/>
        <v>38</v>
      </c>
      <c r="AN25" s="42">
        <f t="shared" si="46"/>
        <v>17</v>
      </c>
      <c r="AO25" s="42">
        <f t="shared" si="34"/>
        <v>32</v>
      </c>
      <c r="AP25" s="195">
        <f t="shared" si="35"/>
        <v>194.5</v>
      </c>
      <c r="AQ25" s="90"/>
    </row>
    <row r="26" spans="1:45" x14ac:dyDescent="0.25">
      <c r="A26" t="s">
        <v>159</v>
      </c>
      <c r="B26" s="18" t="s">
        <v>315</v>
      </c>
      <c r="C26" s="6" t="s">
        <v>164</v>
      </c>
      <c r="D26" s="6" t="str">
        <f>D11</f>
        <v>J. Gräbitz</v>
      </c>
      <c r="E26" s="6">
        <f t="shared" si="14"/>
        <v>29</v>
      </c>
      <c r="F26" s="6">
        <f t="shared" ca="1" si="15"/>
        <v>9</v>
      </c>
      <c r="G26" s="55">
        <f t="shared" si="16"/>
        <v>0</v>
      </c>
      <c r="H26" s="55">
        <f t="shared" si="17"/>
        <v>13.914285714285713</v>
      </c>
      <c r="I26" s="55">
        <f t="shared" si="18"/>
        <v>9.8412698412698401</v>
      </c>
      <c r="J26" s="55">
        <f t="shared" si="19"/>
        <v>5.6</v>
      </c>
      <c r="K26" s="55">
        <f t="shared" si="20"/>
        <v>9</v>
      </c>
      <c r="L26" s="55">
        <f t="shared" si="21"/>
        <v>4</v>
      </c>
      <c r="M26" s="55">
        <f t="shared" si="22"/>
        <v>21.2</v>
      </c>
      <c r="N26" s="37">
        <f t="shared" si="23"/>
        <v>21060</v>
      </c>
      <c r="O26" s="42">
        <f t="shared" si="24"/>
        <v>0</v>
      </c>
      <c r="P26" s="42">
        <f t="shared" si="25"/>
        <v>62.5</v>
      </c>
      <c r="Q26" s="42">
        <f t="shared" si="26"/>
        <v>27</v>
      </c>
      <c r="R26" s="42">
        <f t="shared" si="27"/>
        <v>3.5</v>
      </c>
      <c r="S26" s="42">
        <f t="shared" si="28"/>
        <v>23</v>
      </c>
      <c r="T26" s="42">
        <f t="shared" si="29"/>
        <v>5</v>
      </c>
      <c r="U26" s="42">
        <f t="shared" si="30"/>
        <v>38</v>
      </c>
      <c r="V26" s="195">
        <f t="shared" si="31"/>
        <v>159</v>
      </c>
      <c r="X26" t="s">
        <v>159</v>
      </c>
      <c r="Y26" s="6">
        <f>E26+2</f>
        <v>31</v>
      </c>
      <c r="Z26" s="6">
        <f ca="1">F26+(($AR$22+$AR$23)*7)-112-112</f>
        <v>-12</v>
      </c>
      <c r="AA26" s="55">
        <f t="shared" si="36"/>
        <v>0</v>
      </c>
      <c r="AB26" s="55">
        <f t="shared" si="37"/>
        <v>13.914285714285713</v>
      </c>
      <c r="AC26" s="55">
        <f t="shared" si="38"/>
        <v>9.8412698412698401</v>
      </c>
      <c r="AD26" s="55">
        <f t="shared" si="39"/>
        <v>5.6</v>
      </c>
      <c r="AE26" s="55">
        <f>9+1/6</f>
        <v>9.1666666666666661</v>
      </c>
      <c r="AF26" s="55">
        <f t="shared" si="40"/>
        <v>4</v>
      </c>
      <c r="AG26" s="55">
        <f>20</f>
        <v>20</v>
      </c>
      <c r="AH26" s="37">
        <f>(14490+225+200+125+165)*1.049</f>
        <v>15950.044999999998</v>
      </c>
      <c r="AI26" s="42">
        <f t="shared" si="41"/>
        <v>0</v>
      </c>
      <c r="AJ26" s="42">
        <f t="shared" si="42"/>
        <v>62.5</v>
      </c>
      <c r="AK26" s="42">
        <f t="shared" si="43"/>
        <v>27</v>
      </c>
      <c r="AL26" s="42">
        <f t="shared" si="44"/>
        <v>3.5</v>
      </c>
      <c r="AM26" s="42">
        <f t="shared" si="45"/>
        <v>37</v>
      </c>
      <c r="AN26" s="42">
        <f t="shared" si="46"/>
        <v>5</v>
      </c>
      <c r="AO26" s="42">
        <f>U26+AR23</f>
        <v>53</v>
      </c>
      <c r="AP26" s="195">
        <f t="shared" si="35"/>
        <v>188</v>
      </c>
    </row>
    <row r="27" spans="1:45" x14ac:dyDescent="0.25">
      <c r="A27" t="s">
        <v>317</v>
      </c>
      <c r="B27" s="18" t="s">
        <v>315</v>
      </c>
      <c r="C27" s="6" t="s">
        <v>324</v>
      </c>
      <c r="D27" s="6" t="s">
        <v>325</v>
      </c>
      <c r="E27" s="6">
        <v>23</v>
      </c>
      <c r="F27" s="6">
        <v>50</v>
      </c>
      <c r="G27" s="55">
        <f>AA12</f>
        <v>0</v>
      </c>
      <c r="H27" s="55">
        <v>13</v>
      </c>
      <c r="I27" s="55">
        <v>9</v>
      </c>
      <c r="J27" s="55">
        <v>3</v>
      </c>
      <c r="K27" s="55">
        <v>6</v>
      </c>
      <c r="L27" s="55">
        <v>5</v>
      </c>
      <c r="M27" s="55">
        <v>14</v>
      </c>
      <c r="N27" s="37">
        <f>(14490+225+185+125+165)*1.03</f>
        <v>15645.7</v>
      </c>
      <c r="O27" s="42">
        <f>AI12</f>
        <v>0</v>
      </c>
      <c r="P27" s="42">
        <v>67</v>
      </c>
      <c r="Q27" s="42">
        <v>26</v>
      </c>
      <c r="R27" s="42">
        <v>1.5</v>
      </c>
      <c r="S27" s="42">
        <v>10</v>
      </c>
      <c r="T27" s="42">
        <v>5.5</v>
      </c>
      <c r="U27" s="42">
        <v>16</v>
      </c>
      <c r="V27" s="195">
        <f t="shared" si="31"/>
        <v>126</v>
      </c>
      <c r="X27" t="s">
        <v>317</v>
      </c>
      <c r="Y27" s="6">
        <f>E27+2</f>
        <v>25</v>
      </c>
      <c r="Z27" s="6">
        <f>F27+(($AR$22+$AR$23)*7)-112-112</f>
        <v>29</v>
      </c>
      <c r="AA27" s="55">
        <f t="shared" si="36"/>
        <v>0</v>
      </c>
      <c r="AB27" s="55">
        <f t="shared" si="37"/>
        <v>13</v>
      </c>
      <c r="AC27" s="55">
        <f t="shared" si="38"/>
        <v>9</v>
      </c>
      <c r="AD27" s="55">
        <f t="shared" si="39"/>
        <v>3</v>
      </c>
      <c r="AE27" s="55">
        <f>9+5/6</f>
        <v>9.8333333333333339</v>
      </c>
      <c r="AF27" s="55">
        <f t="shared" si="40"/>
        <v>5</v>
      </c>
      <c r="AG27" s="55">
        <v>19</v>
      </c>
      <c r="AH27" s="37">
        <f>(14490+225+200+125+165)*1.049</f>
        <v>15950.044999999998</v>
      </c>
      <c r="AI27" s="42">
        <f t="shared" si="41"/>
        <v>0</v>
      </c>
      <c r="AJ27" s="42">
        <f t="shared" si="42"/>
        <v>67</v>
      </c>
      <c r="AK27" s="42">
        <f t="shared" si="43"/>
        <v>26</v>
      </c>
      <c r="AL27" s="42">
        <f t="shared" si="44"/>
        <v>1.5</v>
      </c>
      <c r="AM27" s="42">
        <f t="shared" si="45"/>
        <v>24</v>
      </c>
      <c r="AN27" s="42">
        <f t="shared" si="46"/>
        <v>5.5</v>
      </c>
      <c r="AO27" s="42">
        <v>31</v>
      </c>
      <c r="AP27" s="195">
        <f t="shared" si="35"/>
        <v>155</v>
      </c>
    </row>
    <row r="28" spans="1:45" x14ac:dyDescent="0.25">
      <c r="A28" t="s">
        <v>167</v>
      </c>
      <c r="B28" s="18" t="s">
        <v>318</v>
      </c>
      <c r="C28" s="6" t="s">
        <v>164</v>
      </c>
      <c r="D28" s="6" t="s">
        <v>319</v>
      </c>
      <c r="E28" s="6">
        <f t="shared" ref="E28:F30" si="47">Y13</f>
        <v>29</v>
      </c>
      <c r="F28" s="6">
        <f t="shared" ca="1" si="47"/>
        <v>35</v>
      </c>
      <c r="G28" s="55">
        <f>AA13</f>
        <v>0</v>
      </c>
      <c r="H28" s="55">
        <f t="shared" ref="H28:N30" si="48">AB13</f>
        <v>10.666666666666666</v>
      </c>
      <c r="I28" s="55">
        <f t="shared" si="48"/>
        <v>6.6</v>
      </c>
      <c r="J28" s="55">
        <f t="shared" si="48"/>
        <v>14</v>
      </c>
      <c r="K28" s="55">
        <f t="shared" si="48"/>
        <v>9.5</v>
      </c>
      <c r="L28" s="55">
        <f t="shared" si="48"/>
        <v>7.8</v>
      </c>
      <c r="M28" s="55">
        <f t="shared" si="48"/>
        <v>17</v>
      </c>
      <c r="N28" s="37">
        <f t="shared" si="48"/>
        <v>13619.48</v>
      </c>
      <c r="O28" s="42">
        <f>AI13</f>
        <v>0</v>
      </c>
      <c r="P28" s="42">
        <f t="shared" ref="P28:U30" si="49">AJ13</f>
        <v>52</v>
      </c>
      <c r="Q28" s="42">
        <f t="shared" si="49"/>
        <v>11</v>
      </c>
      <c r="R28" s="42">
        <f t="shared" si="49"/>
        <v>55</v>
      </c>
      <c r="S28" s="42">
        <f t="shared" si="49"/>
        <v>23</v>
      </c>
      <c r="T28" s="42">
        <f t="shared" si="49"/>
        <v>20</v>
      </c>
      <c r="U28" s="42">
        <f t="shared" si="49"/>
        <v>18</v>
      </c>
      <c r="V28" s="195">
        <f t="shared" si="31"/>
        <v>179</v>
      </c>
      <c r="X28" t="s">
        <v>167</v>
      </c>
      <c r="Y28" s="6">
        <f>E28+2</f>
        <v>31</v>
      </c>
      <c r="Z28" s="6">
        <f ca="1">F28+(($AR$22+$AR$23)*7)-112-112</f>
        <v>14</v>
      </c>
      <c r="AA28" s="55">
        <f t="shared" si="36"/>
        <v>0</v>
      </c>
      <c r="AB28" s="55">
        <f t="shared" si="37"/>
        <v>10.666666666666666</v>
      </c>
      <c r="AC28" s="55">
        <f t="shared" si="38"/>
        <v>6.6</v>
      </c>
      <c r="AD28" s="55">
        <f t="shared" si="39"/>
        <v>14</v>
      </c>
      <c r="AE28" s="55">
        <f>9+1/7</f>
        <v>9.1428571428571423</v>
      </c>
      <c r="AF28" s="55">
        <f t="shared" si="40"/>
        <v>7.8</v>
      </c>
      <c r="AG28" s="55">
        <v>15</v>
      </c>
      <c r="AH28" s="37">
        <f>(11610+300+185+150+1200)*1.045</f>
        <v>14050.025</v>
      </c>
      <c r="AI28" s="42">
        <f t="shared" si="41"/>
        <v>0</v>
      </c>
      <c r="AJ28" s="42">
        <f t="shared" si="42"/>
        <v>52</v>
      </c>
      <c r="AK28" s="42">
        <f t="shared" si="43"/>
        <v>11</v>
      </c>
      <c r="AL28" s="42">
        <f t="shared" si="44"/>
        <v>55</v>
      </c>
      <c r="AM28" s="42">
        <f t="shared" si="45"/>
        <v>37</v>
      </c>
      <c r="AN28" s="42">
        <f t="shared" si="46"/>
        <v>20</v>
      </c>
      <c r="AO28" s="42">
        <f>U28+$AR$23</f>
        <v>33</v>
      </c>
      <c r="AP28" s="195">
        <f t="shared" si="35"/>
        <v>208</v>
      </c>
    </row>
    <row r="29" spans="1:45" x14ac:dyDescent="0.25">
      <c r="A29" t="s">
        <v>320</v>
      </c>
      <c r="B29" s="18" t="s">
        <v>318</v>
      </c>
      <c r="C29" s="6" t="s">
        <v>164</v>
      </c>
      <c r="D29" s="6" t="s">
        <v>321</v>
      </c>
      <c r="E29" s="6">
        <f t="shared" si="47"/>
        <v>29</v>
      </c>
      <c r="F29" s="6">
        <f t="shared" ca="1" si="47"/>
        <v>0</v>
      </c>
      <c r="G29" s="55">
        <f>AA14</f>
        <v>0</v>
      </c>
      <c r="H29" s="55">
        <f t="shared" si="48"/>
        <v>12.181818181818182</v>
      </c>
      <c r="I29" s="55">
        <f t="shared" si="48"/>
        <v>4.75</v>
      </c>
      <c r="J29" s="55">
        <f t="shared" si="48"/>
        <v>12.833333333333334</v>
      </c>
      <c r="K29" s="55">
        <f t="shared" si="48"/>
        <v>10</v>
      </c>
      <c r="L29" s="55">
        <f t="shared" si="48"/>
        <v>7</v>
      </c>
      <c r="M29" s="55">
        <f t="shared" si="48"/>
        <v>16.333333333333332</v>
      </c>
      <c r="N29" s="37">
        <f t="shared" si="48"/>
        <v>11172.48</v>
      </c>
      <c r="O29" s="42">
        <f>AI14</f>
        <v>0</v>
      </c>
      <c r="P29" s="42">
        <f t="shared" si="49"/>
        <v>68</v>
      </c>
      <c r="Q29" s="42">
        <f t="shared" si="49"/>
        <v>3.5</v>
      </c>
      <c r="R29" s="42">
        <f t="shared" si="49"/>
        <v>46.5</v>
      </c>
      <c r="S29" s="42">
        <f t="shared" si="49"/>
        <v>26</v>
      </c>
      <c r="T29" s="42">
        <f t="shared" si="49"/>
        <v>16</v>
      </c>
      <c r="U29" s="42">
        <f t="shared" si="49"/>
        <v>17</v>
      </c>
      <c r="V29" s="195">
        <f t="shared" si="31"/>
        <v>177</v>
      </c>
      <c r="X29" t="s">
        <v>320</v>
      </c>
      <c r="Y29" s="6">
        <f>E29+1</f>
        <v>30</v>
      </c>
      <c r="Z29" s="6">
        <f ca="1">F29+(($AR$22+$AR$23)*7)-112</f>
        <v>91</v>
      </c>
      <c r="AA29" s="55">
        <f t="shared" si="36"/>
        <v>0</v>
      </c>
      <c r="AB29" s="55">
        <f t="shared" si="37"/>
        <v>12.181818181818182</v>
      </c>
      <c r="AC29" s="55">
        <f t="shared" si="38"/>
        <v>4.75</v>
      </c>
      <c r="AD29" s="55">
        <f t="shared" si="39"/>
        <v>12.833333333333334</v>
      </c>
      <c r="AE29" s="55">
        <f>9+5/6</f>
        <v>9.8333333333333339</v>
      </c>
      <c r="AF29" s="55">
        <f t="shared" si="40"/>
        <v>7</v>
      </c>
      <c r="AG29" s="55">
        <v>14</v>
      </c>
      <c r="AH29" s="37">
        <f>(7000+165+165+245+3505)*1.04</f>
        <v>11523.2</v>
      </c>
      <c r="AI29" s="42">
        <f t="shared" si="41"/>
        <v>0</v>
      </c>
      <c r="AJ29" s="42">
        <f t="shared" si="42"/>
        <v>68</v>
      </c>
      <c r="AK29" s="42">
        <f t="shared" si="43"/>
        <v>3.5</v>
      </c>
      <c r="AL29" s="42">
        <f t="shared" si="44"/>
        <v>46.5</v>
      </c>
      <c r="AM29" s="42">
        <f t="shared" si="45"/>
        <v>40</v>
      </c>
      <c r="AN29" s="42">
        <f t="shared" si="46"/>
        <v>16</v>
      </c>
      <c r="AO29" s="42">
        <f>U29+$AR$23</f>
        <v>32</v>
      </c>
      <c r="AP29" s="195">
        <f t="shared" si="35"/>
        <v>206</v>
      </c>
    </row>
    <row r="30" spans="1:45" x14ac:dyDescent="0.25">
      <c r="A30" t="s">
        <v>155</v>
      </c>
      <c r="B30" s="18" t="s">
        <v>318</v>
      </c>
      <c r="C30" s="6" t="s">
        <v>161</v>
      </c>
      <c r="D30" s="6" t="s">
        <v>322</v>
      </c>
      <c r="E30" s="6">
        <f t="shared" si="47"/>
        <v>29</v>
      </c>
      <c r="F30" s="6">
        <f t="shared" ca="1" si="47"/>
        <v>35</v>
      </c>
      <c r="G30" s="55">
        <f>AA15</f>
        <v>0</v>
      </c>
      <c r="H30" s="55">
        <f t="shared" si="48"/>
        <v>11.1</v>
      </c>
      <c r="I30" s="55">
        <f t="shared" si="48"/>
        <v>6.4</v>
      </c>
      <c r="J30" s="55">
        <f t="shared" si="48"/>
        <v>13.333333333333334</v>
      </c>
      <c r="K30" s="55">
        <f t="shared" si="48"/>
        <v>9</v>
      </c>
      <c r="L30" s="55">
        <f t="shared" si="48"/>
        <v>8</v>
      </c>
      <c r="M30" s="55">
        <f t="shared" si="48"/>
        <v>16</v>
      </c>
      <c r="N30" s="37">
        <f t="shared" si="48"/>
        <v>13682.24</v>
      </c>
      <c r="O30" s="42">
        <f>AI15</f>
        <v>0</v>
      </c>
      <c r="P30" s="42">
        <f t="shared" si="49"/>
        <v>55</v>
      </c>
      <c r="Q30" s="42">
        <f t="shared" si="49"/>
        <v>10</v>
      </c>
      <c r="R30" s="42">
        <f t="shared" si="49"/>
        <v>46.5</v>
      </c>
      <c r="S30" s="42">
        <f t="shared" si="49"/>
        <v>20</v>
      </c>
      <c r="T30" s="42">
        <f t="shared" si="49"/>
        <v>21</v>
      </c>
      <c r="U30" s="42">
        <f t="shared" si="49"/>
        <v>16</v>
      </c>
      <c r="V30" s="195">
        <f t="shared" si="31"/>
        <v>168.5</v>
      </c>
      <c r="X30" t="s">
        <v>155</v>
      </c>
      <c r="Y30" s="6">
        <f>E30+2</f>
        <v>31</v>
      </c>
      <c r="Z30" s="6">
        <f ca="1">F30+(($AR$22+$AR$23)*7)-112-112</f>
        <v>14</v>
      </c>
      <c r="AA30" s="55">
        <f t="shared" si="36"/>
        <v>0</v>
      </c>
      <c r="AB30" s="55">
        <f t="shared" si="37"/>
        <v>11.1</v>
      </c>
      <c r="AC30" s="55">
        <f t="shared" si="38"/>
        <v>6.4</v>
      </c>
      <c r="AD30" s="55">
        <f t="shared" si="39"/>
        <v>13.333333333333334</v>
      </c>
      <c r="AE30" s="55">
        <f>8+3/5</f>
        <v>8.6</v>
      </c>
      <c r="AF30" s="55">
        <f t="shared" si="40"/>
        <v>8</v>
      </c>
      <c r="AG30" s="55">
        <v>14</v>
      </c>
      <c r="AH30" s="37">
        <f>(9000+135+185+350+3900)*1.04</f>
        <v>14112.800000000001</v>
      </c>
      <c r="AI30" s="42">
        <f t="shared" si="41"/>
        <v>0</v>
      </c>
      <c r="AJ30" s="42">
        <f t="shared" si="42"/>
        <v>55</v>
      </c>
      <c r="AK30" s="42">
        <f t="shared" si="43"/>
        <v>10</v>
      </c>
      <c r="AL30" s="42">
        <f t="shared" si="44"/>
        <v>46.5</v>
      </c>
      <c r="AM30" s="42">
        <f t="shared" si="45"/>
        <v>34</v>
      </c>
      <c r="AN30" s="42">
        <f t="shared" si="46"/>
        <v>21</v>
      </c>
      <c r="AO30" s="42">
        <f>U30+$AR$23</f>
        <v>31</v>
      </c>
      <c r="AP30" s="195">
        <f t="shared" si="35"/>
        <v>197.5</v>
      </c>
    </row>
  </sheetData>
  <conditionalFormatting sqref="AH18:AH3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{48571BCF-F67C-D5E4-70E4-BA265B65CD42}</x14:id>
        </ext>
      </extLst>
    </cfRule>
  </conditionalFormatting>
  <conditionalFormatting sqref="AA18:AG30">
    <cfRule type="colorScale" priority="2">
      <colorScale>
        <cfvo type="min"/>
        <cfvo type="max"/>
        <color rgb="FFFFEF9C"/>
        <color rgb="FF63BE7B"/>
      </colorScale>
    </cfRule>
  </conditionalFormatting>
  <conditionalFormatting sqref="AP18:AP30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{70E446E5-152A-31E6-48E5-332D2AE96463}</x14:id>
        </ext>
      </extLst>
    </cfRule>
  </conditionalFormatting>
  <conditionalFormatting sqref="AI18:AO30">
    <cfRule type="colorScale" priority="4">
      <colorScale>
        <cfvo type="min"/>
        <cfvo type="max"/>
        <color rgb="FFFCFCFF"/>
        <color rgb="FFF8696B"/>
      </colorScale>
    </cfRule>
  </conditionalFormatting>
  <conditionalFormatting sqref="V18:V30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{3544B828-B0EC-A27A-719F-397024BF4329}</x14:id>
        </ext>
      </extLst>
    </cfRule>
  </conditionalFormatting>
  <conditionalFormatting sqref="N18:N30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{21B5F840-7886-2AD6-1F29-5865F604DD5C}</x14:id>
        </ext>
      </extLst>
    </cfRule>
  </conditionalFormatting>
  <conditionalFormatting sqref="G5:M8">
    <cfRule type="colorScale" priority="7">
      <colorScale>
        <cfvo type="min"/>
        <cfvo type="max"/>
        <color rgb="FFFFEF9C"/>
        <color rgb="FF63BE7B"/>
      </colorScale>
    </cfRule>
  </conditionalFormatting>
  <conditionalFormatting sqref="G3:M4 G9:M15">
    <cfRule type="colorScale" priority="8">
      <colorScale>
        <cfvo type="min"/>
        <cfvo type="max"/>
        <color rgb="FFFFEF9C"/>
        <color rgb="FF63BE7B"/>
      </colorScale>
    </cfRule>
  </conditionalFormatting>
  <conditionalFormatting sqref="N3:N15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{605EB649-D71F-A286-97CA-1C057CCDC43D}</x14:id>
        </ext>
      </extLst>
    </cfRule>
  </conditionalFormatting>
  <conditionalFormatting sqref="O3:U15">
    <cfRule type="colorScale" priority="10">
      <colorScale>
        <cfvo type="min"/>
        <cfvo type="max"/>
        <color rgb="FFFCFCFF"/>
        <color rgb="FFF8696B"/>
      </colorScale>
    </cfRule>
  </conditionalFormatting>
  <conditionalFormatting sqref="V3:V15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{698CD0E5-26DF-181E-46B4-F1705D4F7371}</x14:id>
        </ext>
      </extLst>
    </cfRule>
  </conditionalFormatting>
  <conditionalFormatting sqref="AA3:AG15">
    <cfRule type="colorScale" priority="12">
      <colorScale>
        <cfvo type="min"/>
        <cfvo type="max"/>
        <color rgb="FFFFEF9C"/>
        <color rgb="FF63BE7B"/>
      </colorScale>
    </cfRule>
  </conditionalFormatting>
  <conditionalFormatting sqref="AH3:AH15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{2298E817-D016-45DA-FBBD-D06186B40360}</x14:id>
        </ext>
      </extLst>
    </cfRule>
  </conditionalFormatting>
  <conditionalFormatting sqref="AI3:AO15">
    <cfRule type="colorScale" priority="14">
      <colorScale>
        <cfvo type="min"/>
        <cfvo type="max"/>
        <color rgb="FFFCFCFF"/>
        <color rgb="FFF8696B"/>
      </colorScale>
    </cfRule>
  </conditionalFormatting>
  <conditionalFormatting sqref="AP3:AP15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{29CEAB35-04E0-C9B0-1BDD-A42829EAE87F}</x14:id>
        </ext>
      </extLst>
    </cfRule>
  </conditionalFormatting>
  <conditionalFormatting sqref="G18:M30">
    <cfRule type="colorScale" priority="16">
      <colorScale>
        <cfvo type="min"/>
        <cfvo type="max"/>
        <color rgb="FFFFEF9C"/>
        <color rgb="FF63BE7B"/>
      </colorScale>
    </cfRule>
  </conditionalFormatting>
  <conditionalFormatting sqref="O18:U30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71BCF-F67C-D5E4-70E4-BA265B65CD4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AH18:AH30</xm:sqref>
        </x14:conditionalFormatting>
        <x14:conditionalFormatting xmlns:xm="http://schemas.microsoft.com/office/excel/2006/main">
          <x14:cfRule type="dataBar" id="{70E446E5-152A-31E6-48E5-332D2AE9646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AP18:AP30</xm:sqref>
        </x14:conditionalFormatting>
        <x14:conditionalFormatting xmlns:xm="http://schemas.microsoft.com/office/excel/2006/main">
          <x14:cfRule type="dataBar" id="{3544B828-B0EC-A27A-719F-397024BF43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V18:V30</xm:sqref>
        </x14:conditionalFormatting>
        <x14:conditionalFormatting xmlns:xm="http://schemas.microsoft.com/office/excel/2006/main">
          <x14:cfRule type="dataBar" id="{21B5F840-7886-2AD6-1F29-5865F604DD5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N18:N30</xm:sqref>
        </x14:conditionalFormatting>
        <x14:conditionalFormatting xmlns:xm="http://schemas.microsoft.com/office/excel/2006/main">
          <x14:cfRule type="dataBar" id="{605EB649-D71F-A286-97CA-1C057CCDC4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N3:N15</xm:sqref>
        </x14:conditionalFormatting>
        <x14:conditionalFormatting xmlns:xm="http://schemas.microsoft.com/office/excel/2006/main">
          <x14:cfRule type="dataBar" id="{698CD0E5-26DF-181E-46B4-F1705D4F73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V3:V15</xm:sqref>
        </x14:conditionalFormatting>
        <x14:conditionalFormatting xmlns:xm="http://schemas.microsoft.com/office/excel/2006/main">
          <x14:cfRule type="dataBar" id="{2298E817-D016-45DA-FBBD-D06186B4036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AH3:AH15</xm:sqref>
        </x14:conditionalFormatting>
        <x14:conditionalFormatting xmlns:xm="http://schemas.microsoft.com/office/excel/2006/main">
          <x14:cfRule type="dataBar" id="{29CEAB35-04E0-C9B0-1BDD-A42829EAE87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AP3:AP15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60497A"/>
  </sheetPr>
  <dimension ref="A1:U13"/>
  <sheetViews>
    <sheetView workbookViewId="0">
      <selection activeCell="T5" sqref="T5"/>
    </sheetView>
  </sheetViews>
  <sheetFormatPr baseColWidth="10" defaultColWidth="10.7109375" defaultRowHeight="15" x14ac:dyDescent="0.25"/>
  <cols>
    <col min="1" max="1" width="18" customWidth="1"/>
    <col min="2" max="2" width="5.42578125" customWidth="1"/>
    <col min="3" max="3" width="4.7109375" customWidth="1"/>
    <col min="4" max="4" width="4.140625" customWidth="1"/>
    <col min="5" max="5" width="12" customWidth="1"/>
    <col min="6" max="6" width="4.5703125" customWidth="1"/>
    <col min="7" max="7" width="5.5703125" customWidth="1"/>
    <col min="8" max="8" width="5.7109375" customWidth="1"/>
    <col min="9" max="9" width="7.140625" customWidth="1"/>
    <col min="10" max="10" width="7.42578125" customWidth="1"/>
    <col min="11" max="11" width="3.5703125" customWidth="1"/>
    <col min="12" max="14" width="5.5703125" customWidth="1"/>
    <col min="15" max="15" width="4.5703125" customWidth="1"/>
    <col min="16" max="16" width="5.5703125" customWidth="1"/>
    <col min="17" max="17" width="5.140625" customWidth="1"/>
    <col min="18" max="18" width="5.5703125" customWidth="1"/>
    <col min="19" max="19" width="7.7109375" customWidth="1"/>
    <col min="20" max="20" width="7.85546875" customWidth="1"/>
  </cols>
  <sheetData>
    <row r="1" spans="1:21" x14ac:dyDescent="0.25">
      <c r="A1" s="23"/>
      <c r="D1" s="42"/>
      <c r="S1" t="s">
        <v>620</v>
      </c>
    </row>
    <row r="2" spans="1:21" x14ac:dyDescent="0.25">
      <c r="A2" s="31" t="s">
        <v>180</v>
      </c>
      <c r="B2" s="31" t="s">
        <v>632</v>
      </c>
      <c r="C2" s="31" t="s">
        <v>111</v>
      </c>
      <c r="D2" s="51" t="s">
        <v>294</v>
      </c>
      <c r="E2" s="31" t="s">
        <v>657</v>
      </c>
      <c r="F2" s="39" t="s">
        <v>634</v>
      </c>
      <c r="G2" s="39" t="s">
        <v>123</v>
      </c>
      <c r="H2" s="39" t="s">
        <v>124</v>
      </c>
      <c r="I2" s="39" t="s">
        <v>297</v>
      </c>
      <c r="J2" s="40" t="s">
        <v>119</v>
      </c>
      <c r="K2" s="32" t="s">
        <v>521</v>
      </c>
      <c r="L2" s="32" t="s">
        <v>151</v>
      </c>
      <c r="M2" s="32" t="s">
        <v>186</v>
      </c>
      <c r="N2" s="32" t="s">
        <v>187</v>
      </c>
      <c r="O2" s="32" t="s">
        <v>318</v>
      </c>
      <c r="P2" s="32" t="s">
        <v>189</v>
      </c>
      <c r="Q2" s="32" t="s">
        <v>190</v>
      </c>
      <c r="R2" s="32" t="s">
        <v>191</v>
      </c>
      <c r="S2" s="34" t="s">
        <v>639</v>
      </c>
      <c r="T2" s="34" t="s">
        <v>640</v>
      </c>
    </row>
    <row r="3" spans="1:21" x14ac:dyDescent="0.25">
      <c r="A3" t="str">
        <f>PLANTILLA!D4</f>
        <v>Cosme Fonteboa</v>
      </c>
      <c r="B3">
        <v>22</v>
      </c>
      <c r="C3" s="25">
        <v>89</v>
      </c>
      <c r="D3" s="42"/>
      <c r="E3" s="45"/>
      <c r="F3" s="37">
        <f>PLANTILLA!Q4</f>
        <v>6</v>
      </c>
      <c r="G3" s="38">
        <f>(F3/7)^0.5</f>
        <v>0.92582009977255142</v>
      </c>
      <c r="H3" s="38">
        <f>IF(F3=7,1,((F3+0.99)/7)^0.5)</f>
        <v>0.99928545900129484</v>
      </c>
      <c r="I3" s="38"/>
      <c r="J3" s="104">
        <f ca="1">PLANTILLA!N4</f>
        <v>1</v>
      </c>
      <c r="K3" s="29">
        <f>PLANTILLA!I4</f>
        <v>11.2</v>
      </c>
      <c r="L3" s="36">
        <f>PLANTILLA!X4</f>
        <v>15</v>
      </c>
      <c r="M3" s="36">
        <f>PLANTILLA!Y4</f>
        <v>13.214285714285714</v>
      </c>
      <c r="N3" s="36">
        <f>PLANTILLA!Z4</f>
        <v>0</v>
      </c>
      <c r="O3" s="36">
        <f>PLANTILLA!AA4</f>
        <v>2</v>
      </c>
      <c r="P3" s="36">
        <f>PLANTILLA!AB4</f>
        <v>1</v>
      </c>
      <c r="Q3" s="36">
        <f>PLANTILLA!AC4</f>
        <v>1</v>
      </c>
      <c r="R3" s="36">
        <f>PLANTILLA!AD4</f>
        <v>17</v>
      </c>
      <c r="S3" s="27">
        <f t="shared" ref="S3:S10" ca="1" si="0">((L3+J3+(LOG(K3)*4/3))*0.597)+((M3+J3+(LOG(K3)*4/3))*0.276)</f>
        <v>14.696432635530948</v>
      </c>
      <c r="T3" s="27">
        <f t="shared" ref="T3:T10" ca="1" si="1">((L3+J3+(LOG(K3)*4/3))*0.866)+((M3+J3+(LOG(K3)*4/3))*0.425)</f>
        <v>21.703125384927702</v>
      </c>
    </row>
    <row r="4" spans="1:21" x14ac:dyDescent="0.25">
      <c r="A4" t="str">
        <f>PLANTILLA!D5</f>
        <v>Nicolae Hornet</v>
      </c>
      <c r="B4">
        <v>23</v>
      </c>
      <c r="C4" s="25">
        <v>2</v>
      </c>
      <c r="D4" s="42"/>
      <c r="E4" s="45"/>
      <c r="F4" s="37">
        <f>PLANTILLA!Q5</f>
        <v>4</v>
      </c>
      <c r="G4" s="38">
        <f>(F4/7)^0.5</f>
        <v>0.7559289460184544</v>
      </c>
      <c r="H4" s="38">
        <f>IF(F4=7,1,((F4+0.99)/7)^0.5)</f>
        <v>0.84430867747355465</v>
      </c>
      <c r="I4" s="38"/>
      <c r="J4" s="104">
        <f ca="1">PLANTILLA!N5</f>
        <v>1</v>
      </c>
      <c r="K4" s="29">
        <f>PLANTILLA!I5</f>
        <v>2.2999999999999998</v>
      </c>
      <c r="L4" s="36">
        <f>PLANTILLA!X5</f>
        <v>6</v>
      </c>
      <c r="M4" s="36">
        <f>PLANTILLA!Y5</f>
        <v>6</v>
      </c>
      <c r="N4" s="36">
        <f>PLANTILLA!Z5</f>
        <v>0</v>
      </c>
      <c r="O4" s="36">
        <f>PLANTILLA!AA5</f>
        <v>3</v>
      </c>
      <c r="P4" s="36">
        <f>PLANTILLA!AB5</f>
        <v>1</v>
      </c>
      <c r="Q4" s="36">
        <f>PLANTILLA!AC5</f>
        <v>1</v>
      </c>
      <c r="R4" s="36">
        <f>PLANTILLA!AD5</f>
        <v>5</v>
      </c>
      <c r="S4" s="27">
        <f t="shared" ca="1" si="0"/>
        <v>6.532051201124478</v>
      </c>
      <c r="T4" s="27">
        <f t="shared" ca="1" si="1"/>
        <v>9.6596541817316179</v>
      </c>
    </row>
    <row r="5" spans="1:21" x14ac:dyDescent="0.25">
      <c r="A5" t="s">
        <v>675</v>
      </c>
      <c r="B5">
        <v>19</v>
      </c>
      <c r="C5">
        <v>34</v>
      </c>
      <c r="E5" s="45">
        <v>1100000</v>
      </c>
      <c r="I5">
        <v>2150</v>
      </c>
      <c r="J5" s="104">
        <v>1</v>
      </c>
      <c r="K5" s="29">
        <v>1.3</v>
      </c>
      <c r="L5" s="36">
        <v>8</v>
      </c>
      <c r="M5" s="36">
        <v>2</v>
      </c>
      <c r="N5" s="36">
        <v>0</v>
      </c>
      <c r="O5" s="36">
        <v>0</v>
      </c>
      <c r="P5" s="36">
        <v>0</v>
      </c>
      <c r="Q5" s="36">
        <v>0</v>
      </c>
      <c r="R5" s="36">
        <v>14</v>
      </c>
      <c r="S5" s="27">
        <f t="shared" si="0"/>
        <v>6.3336300620851578</v>
      </c>
      <c r="T5" s="27">
        <f t="shared" si="1"/>
        <v>9.2651344904375019</v>
      </c>
    </row>
    <row r="6" spans="1:21" x14ac:dyDescent="0.25">
      <c r="A6" t="s">
        <v>676</v>
      </c>
      <c r="B6">
        <v>19</v>
      </c>
      <c r="C6">
        <v>33</v>
      </c>
      <c r="E6" s="45">
        <v>1050000</v>
      </c>
      <c r="I6">
        <v>2390</v>
      </c>
      <c r="J6" s="104">
        <v>1</v>
      </c>
      <c r="K6" s="29">
        <v>1.2</v>
      </c>
      <c r="L6" s="36">
        <v>8</v>
      </c>
      <c r="M6" s="36">
        <v>1</v>
      </c>
      <c r="N6" s="36">
        <v>0</v>
      </c>
      <c r="O6" s="36">
        <v>0</v>
      </c>
      <c r="P6" s="36">
        <v>0</v>
      </c>
      <c r="Q6" s="36">
        <v>0</v>
      </c>
      <c r="R6" s="36">
        <v>12</v>
      </c>
      <c r="S6" s="27">
        <f t="shared" si="0"/>
        <v>6.017166970399435</v>
      </c>
      <c r="T6" s="27">
        <f t="shared" si="1"/>
        <v>8.7802973181966433</v>
      </c>
    </row>
    <row r="7" spans="1:21" x14ac:dyDescent="0.25">
      <c r="A7" t="s">
        <v>677</v>
      </c>
      <c r="B7">
        <v>19</v>
      </c>
      <c r="C7">
        <v>78</v>
      </c>
      <c r="E7" s="45">
        <v>1849000</v>
      </c>
      <c r="I7">
        <v>3670</v>
      </c>
      <c r="J7" s="104">
        <v>1</v>
      </c>
      <c r="K7" s="29">
        <v>1</v>
      </c>
      <c r="L7" s="36">
        <v>9.35</v>
      </c>
      <c r="M7" s="36">
        <v>3</v>
      </c>
      <c r="N7" s="36">
        <v>0</v>
      </c>
      <c r="O7" s="36">
        <v>0</v>
      </c>
      <c r="P7" s="36">
        <v>0</v>
      </c>
      <c r="Q7" s="36">
        <v>0</v>
      </c>
      <c r="R7" s="36">
        <v>13</v>
      </c>
      <c r="S7" s="27">
        <f t="shared" si="0"/>
        <v>7.2829499999999996</v>
      </c>
      <c r="T7" s="27">
        <f t="shared" si="1"/>
        <v>10.663099999999998</v>
      </c>
    </row>
    <row r="8" spans="1:21" x14ac:dyDescent="0.25">
      <c r="A8" t="s">
        <v>678</v>
      </c>
      <c r="B8">
        <v>20</v>
      </c>
      <c r="C8">
        <v>52</v>
      </c>
      <c r="E8" s="45">
        <v>1198000</v>
      </c>
      <c r="I8">
        <v>2330</v>
      </c>
      <c r="J8" s="104">
        <v>1</v>
      </c>
      <c r="K8" s="29">
        <v>1.2</v>
      </c>
      <c r="L8" s="36">
        <v>8</v>
      </c>
      <c r="M8" s="36">
        <v>2</v>
      </c>
      <c r="N8" s="36">
        <v>0</v>
      </c>
      <c r="O8" s="36">
        <v>0</v>
      </c>
      <c r="P8" s="36">
        <v>0</v>
      </c>
      <c r="Q8" s="36">
        <v>0</v>
      </c>
      <c r="R8" s="36">
        <v>14</v>
      </c>
      <c r="S8" s="27">
        <f t="shared" si="0"/>
        <v>6.2931669703994348</v>
      </c>
      <c r="T8" s="27">
        <f t="shared" si="1"/>
        <v>9.205297318196644</v>
      </c>
    </row>
    <row r="9" spans="1:21" x14ac:dyDescent="0.25">
      <c r="A9" t="s">
        <v>679</v>
      </c>
      <c r="B9">
        <v>20</v>
      </c>
      <c r="C9">
        <v>25</v>
      </c>
      <c r="E9" s="45">
        <v>750000</v>
      </c>
      <c r="I9">
        <v>1730</v>
      </c>
      <c r="J9" s="104">
        <v>1</v>
      </c>
      <c r="K9" s="29">
        <v>1.3</v>
      </c>
      <c r="L9" s="36">
        <v>7</v>
      </c>
      <c r="M9" s="36">
        <v>4</v>
      </c>
      <c r="N9" s="36">
        <v>0</v>
      </c>
      <c r="O9" s="36">
        <v>0</v>
      </c>
      <c r="P9" s="36">
        <v>0</v>
      </c>
      <c r="Q9" s="36">
        <v>0</v>
      </c>
      <c r="R9" s="36">
        <v>12</v>
      </c>
      <c r="S9" s="27">
        <f t="shared" si="0"/>
        <v>6.288630062085157</v>
      </c>
      <c r="T9" s="27">
        <f t="shared" si="1"/>
        <v>9.2491344904375019</v>
      </c>
    </row>
    <row r="10" spans="1:21" x14ac:dyDescent="0.25">
      <c r="A10" t="s">
        <v>680</v>
      </c>
      <c r="B10">
        <v>21</v>
      </c>
      <c r="C10">
        <v>82</v>
      </c>
      <c r="D10" t="s">
        <v>681</v>
      </c>
      <c r="E10" s="45">
        <v>900000</v>
      </c>
      <c r="I10">
        <v>650</v>
      </c>
      <c r="J10" s="104">
        <v>1</v>
      </c>
      <c r="K10" s="29">
        <v>2.6</v>
      </c>
      <c r="L10" s="36">
        <v>8</v>
      </c>
      <c r="M10" s="36">
        <v>6</v>
      </c>
      <c r="N10" s="36">
        <v>2</v>
      </c>
      <c r="O10" s="36">
        <v>3</v>
      </c>
      <c r="P10" s="36">
        <v>5</v>
      </c>
      <c r="Q10" s="36">
        <v>2</v>
      </c>
      <c r="R10" s="36">
        <v>12</v>
      </c>
      <c r="S10" s="27">
        <f t="shared" si="0"/>
        <v>7.7880289770380315</v>
      </c>
      <c r="T10" s="27">
        <f t="shared" si="1"/>
        <v>11.483307456307099</v>
      </c>
      <c r="U10">
        <f>(1610+165+135)*1.033*1.2</f>
        <v>2367.6359999999995</v>
      </c>
    </row>
    <row r="11" spans="1:21" x14ac:dyDescent="0.25">
      <c r="E11" s="45"/>
      <c r="J11" s="104"/>
      <c r="K11" s="29"/>
      <c r="L11" s="36"/>
      <c r="M11" s="36"/>
      <c r="N11" s="36"/>
      <c r="O11" s="36"/>
      <c r="P11" s="36"/>
      <c r="Q11" s="36"/>
      <c r="R11" s="36"/>
      <c r="S11" s="27"/>
      <c r="T11" s="27"/>
    </row>
    <row r="12" spans="1:21" x14ac:dyDescent="0.25">
      <c r="E12" s="45"/>
      <c r="J12" s="104"/>
      <c r="K12" s="29"/>
      <c r="L12" s="36"/>
      <c r="M12" s="36"/>
      <c r="N12" s="36"/>
      <c r="O12" s="36"/>
      <c r="P12" s="36"/>
      <c r="Q12" s="36"/>
      <c r="R12" s="36"/>
      <c r="S12" s="27"/>
      <c r="T12" s="27"/>
    </row>
    <row r="13" spans="1:21" x14ac:dyDescent="0.25">
      <c r="E13" s="45"/>
      <c r="J13" s="104"/>
      <c r="K13" s="29"/>
      <c r="L13" s="36"/>
      <c r="M13" s="36"/>
      <c r="N13" s="36"/>
      <c r="O13" s="36"/>
      <c r="P13" s="36"/>
      <c r="Q13" s="36"/>
      <c r="R13" s="36"/>
      <c r="S13" s="27"/>
      <c r="T13" s="27"/>
    </row>
  </sheetData>
  <conditionalFormatting sqref="K3:K13">
    <cfRule type="cellIs" dxfId="1" priority="1" operator="greaterThan">
      <formula>7</formula>
    </cfRule>
  </conditionalFormatting>
  <conditionalFormatting sqref="S3:T13">
    <cfRule type="cellIs" dxfId="0" priority="2" operator="greaterThan">
      <formula>12.5</formula>
    </cfRule>
  </conditionalFormatting>
  <conditionalFormatting sqref="L3:R13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79998168889431442"/>
  </sheetPr>
  <dimension ref="A1:W29"/>
  <sheetViews>
    <sheetView zoomScale="110" workbookViewId="0">
      <selection activeCell="C15" sqref="C15"/>
    </sheetView>
  </sheetViews>
  <sheetFormatPr baseColWidth="10" defaultColWidth="10.7109375" defaultRowHeight="15" x14ac:dyDescent="0.25"/>
  <cols>
    <col min="1" max="1" width="23.28515625" style="42" customWidth="1"/>
    <col min="2" max="2" width="10.85546875" style="42" customWidth="1"/>
    <col min="3" max="3" width="14.140625" style="42" customWidth="1"/>
    <col min="4" max="4" width="9.85546875" style="42" customWidth="1"/>
    <col min="5" max="6" width="14.140625" style="42" customWidth="1"/>
    <col min="7" max="7" width="5.7109375" style="42" customWidth="1"/>
    <col min="8" max="8" width="9.28515625" style="42" customWidth="1"/>
    <col min="9" max="9" width="10.5703125" style="42" customWidth="1"/>
    <col min="10" max="10" width="9.28515625" style="42" customWidth="1"/>
    <col min="11" max="11" width="10.5703125" style="42" customWidth="1"/>
    <col min="12" max="12" width="8.5703125" style="42" customWidth="1"/>
    <col min="13" max="14" width="6.140625" style="42" customWidth="1"/>
    <col min="15" max="15" width="7.42578125" style="42" customWidth="1"/>
    <col min="16" max="18" width="4.5703125" style="42" customWidth="1"/>
    <col min="19" max="19" width="4.140625" style="42" customWidth="1"/>
    <col min="20" max="21" width="4.5703125" style="42" customWidth="1"/>
    <col min="22" max="22" width="27" style="42" customWidth="1"/>
    <col min="23" max="23" width="11.7109375" style="42" customWidth="1"/>
  </cols>
  <sheetData>
    <row r="1" spans="1:23" x14ac:dyDescent="0.25">
      <c r="A1" s="404" t="s">
        <v>811</v>
      </c>
      <c r="B1" s="404" t="s">
        <v>206</v>
      </c>
      <c r="C1" s="404" t="s">
        <v>207</v>
      </c>
      <c r="D1" s="404" t="s">
        <v>208</v>
      </c>
      <c r="E1" s="404" t="s">
        <v>209</v>
      </c>
      <c r="F1" s="404" t="s">
        <v>210</v>
      </c>
      <c r="G1" s="404" t="s">
        <v>211</v>
      </c>
      <c r="H1" s="404" t="s">
        <v>125</v>
      </c>
      <c r="I1" s="404" t="s">
        <v>212</v>
      </c>
      <c r="J1" s="404" t="s">
        <v>213</v>
      </c>
      <c r="K1" s="404" t="s">
        <v>214</v>
      </c>
      <c r="L1" s="404" t="s">
        <v>215</v>
      </c>
      <c r="M1" s="404" t="s">
        <v>216</v>
      </c>
      <c r="N1" s="404" t="s">
        <v>217</v>
      </c>
      <c r="O1" s="404" t="s">
        <v>218</v>
      </c>
      <c r="P1" s="404" t="s">
        <v>193</v>
      </c>
      <c r="Q1" s="404" t="s">
        <v>173</v>
      </c>
      <c r="R1" s="404" t="s">
        <v>164</v>
      </c>
      <c r="S1" s="404" t="s">
        <v>203</v>
      </c>
      <c r="T1" s="404" t="s">
        <v>161</v>
      </c>
      <c r="U1" s="404" t="s">
        <v>219</v>
      </c>
      <c r="V1" s="404" t="s">
        <v>220</v>
      </c>
      <c r="W1" s="404" t="s">
        <v>221</v>
      </c>
    </row>
    <row r="2" spans="1:23" x14ac:dyDescent="0.25">
      <c r="A2" s="42" t="s">
        <v>812</v>
      </c>
      <c r="B2" s="113">
        <v>39966</v>
      </c>
      <c r="C2" s="42" t="s">
        <v>235</v>
      </c>
      <c r="D2" s="42" t="s">
        <v>813</v>
      </c>
      <c r="E2" s="240">
        <v>660831042</v>
      </c>
      <c r="F2" s="240">
        <v>719932639</v>
      </c>
      <c r="G2" s="42">
        <v>1957</v>
      </c>
      <c r="H2" s="241">
        <v>1498610</v>
      </c>
      <c r="I2" s="240">
        <v>567506</v>
      </c>
      <c r="J2" s="241">
        <v>1394210</v>
      </c>
      <c r="K2" s="240">
        <v>502888</v>
      </c>
      <c r="L2" s="36">
        <v>6</v>
      </c>
      <c r="M2" s="36">
        <v>7</v>
      </c>
      <c r="N2" s="36">
        <v>9.25</v>
      </c>
      <c r="O2" s="42" t="s">
        <v>814</v>
      </c>
      <c r="P2" s="42">
        <v>1</v>
      </c>
      <c r="Q2" s="42">
        <v>3</v>
      </c>
      <c r="R2" s="42">
        <v>1</v>
      </c>
      <c r="S2" s="42">
        <v>0</v>
      </c>
      <c r="T2" s="42">
        <v>1</v>
      </c>
      <c r="U2" s="42">
        <f t="shared" ref="U2:U9" si="0">SUM(P2:T2)</f>
        <v>6</v>
      </c>
      <c r="V2" s="42" t="s">
        <v>815</v>
      </c>
      <c r="W2" s="42" t="s">
        <v>816</v>
      </c>
    </row>
    <row r="3" spans="1:23" x14ac:dyDescent="0.25">
      <c r="A3" s="42" t="s">
        <v>817</v>
      </c>
      <c r="B3" s="113">
        <v>40045</v>
      </c>
      <c r="C3" s="42" t="s">
        <v>837</v>
      </c>
      <c r="D3" s="42" t="s">
        <v>259</v>
      </c>
      <c r="E3" s="240">
        <v>611700702</v>
      </c>
      <c r="F3" s="240">
        <v>646447378</v>
      </c>
      <c r="G3" s="42">
        <v>1082</v>
      </c>
      <c r="H3" s="241">
        <v>712010</v>
      </c>
      <c r="I3" s="240">
        <v>181102</v>
      </c>
      <c r="J3" s="241">
        <v>705200</v>
      </c>
      <c r="K3" s="240">
        <v>178568</v>
      </c>
      <c r="L3" s="36">
        <v>6</v>
      </c>
      <c r="M3" s="36">
        <v>6.25</v>
      </c>
      <c r="N3" s="36">
        <v>6.75</v>
      </c>
      <c r="O3" s="42" t="s">
        <v>842</v>
      </c>
      <c r="P3" s="42">
        <v>1</v>
      </c>
      <c r="Q3" s="42">
        <v>3</v>
      </c>
      <c r="R3" s="42">
        <v>1</v>
      </c>
      <c r="S3" s="42">
        <v>1</v>
      </c>
      <c r="T3" s="42">
        <v>2</v>
      </c>
      <c r="U3" s="42">
        <f t="shared" si="0"/>
        <v>8</v>
      </c>
      <c r="V3" s="42" t="s">
        <v>815</v>
      </c>
      <c r="W3" s="42" t="s">
        <v>818</v>
      </c>
    </row>
    <row r="4" spans="1:23" x14ac:dyDescent="0.25">
      <c r="A4" s="42" t="s">
        <v>819</v>
      </c>
      <c r="B4" s="113">
        <v>39067</v>
      </c>
      <c r="C4" s="42" t="s">
        <v>820</v>
      </c>
      <c r="D4" s="42" t="s">
        <v>821</v>
      </c>
      <c r="E4" s="240">
        <v>285573364</v>
      </c>
      <c r="F4" s="240">
        <v>326420263</v>
      </c>
      <c r="G4" s="42">
        <v>589</v>
      </c>
      <c r="H4" s="241">
        <v>2218860</v>
      </c>
      <c r="I4" s="240">
        <v>406454</v>
      </c>
      <c r="J4" s="241">
        <v>2207750</v>
      </c>
      <c r="K4" s="240">
        <v>403510</v>
      </c>
      <c r="L4" s="36">
        <v>6</v>
      </c>
      <c r="M4" s="36">
        <v>6</v>
      </c>
      <c r="N4" s="36">
        <v>6.75</v>
      </c>
      <c r="O4" s="42" t="s">
        <v>822</v>
      </c>
      <c r="P4" s="42">
        <v>1</v>
      </c>
      <c r="Q4" s="42">
        <v>1</v>
      </c>
      <c r="R4" s="42">
        <v>1</v>
      </c>
      <c r="S4" s="42">
        <v>0</v>
      </c>
      <c r="T4" s="42">
        <v>1</v>
      </c>
      <c r="U4" s="42">
        <f t="shared" si="0"/>
        <v>4</v>
      </c>
      <c r="V4" s="42" t="s">
        <v>815</v>
      </c>
      <c r="W4" s="42">
        <v>352</v>
      </c>
    </row>
    <row r="5" spans="1:23" x14ac:dyDescent="0.25">
      <c r="A5" s="42" t="s">
        <v>823</v>
      </c>
      <c r="B5" s="113">
        <v>39248</v>
      </c>
      <c r="C5" s="42" t="s">
        <v>251</v>
      </c>
      <c r="D5" s="42" t="s">
        <v>824</v>
      </c>
      <c r="E5" s="240">
        <v>341496415</v>
      </c>
      <c r="F5" s="240">
        <v>390590858</v>
      </c>
      <c r="G5" s="42">
        <v>1273</v>
      </c>
      <c r="H5" s="241">
        <v>1354780</v>
      </c>
      <c r="I5" s="240">
        <v>346236</v>
      </c>
      <c r="J5" s="241">
        <v>1280580</v>
      </c>
      <c r="K5" s="240">
        <v>307364</v>
      </c>
      <c r="L5" s="36">
        <v>6</v>
      </c>
      <c r="M5" s="36">
        <v>5.75</v>
      </c>
      <c r="N5" s="36">
        <v>10</v>
      </c>
      <c r="O5" s="42" t="s">
        <v>825</v>
      </c>
      <c r="P5" s="42">
        <v>3</v>
      </c>
      <c r="Q5" s="42">
        <v>3</v>
      </c>
      <c r="R5" s="42">
        <v>1</v>
      </c>
      <c r="S5" s="42">
        <v>1</v>
      </c>
      <c r="T5" s="42">
        <v>3</v>
      </c>
      <c r="U5" s="42">
        <f t="shared" si="0"/>
        <v>11</v>
      </c>
      <c r="V5" s="42" t="s">
        <v>826</v>
      </c>
      <c r="W5" s="42">
        <v>352</v>
      </c>
    </row>
    <row r="6" spans="1:23" x14ac:dyDescent="0.25">
      <c r="A6" s="42" t="s">
        <v>827</v>
      </c>
      <c r="B6" s="113">
        <v>42724</v>
      </c>
      <c r="C6" s="42" t="s">
        <v>246</v>
      </c>
      <c r="D6" s="42" t="s">
        <v>828</v>
      </c>
      <c r="E6" s="240">
        <v>51840220</v>
      </c>
      <c r="F6" s="240">
        <v>37476063</v>
      </c>
      <c r="G6" s="42">
        <v>344</v>
      </c>
      <c r="H6" s="241">
        <v>2110120</v>
      </c>
      <c r="I6" s="240">
        <v>345690</v>
      </c>
      <c r="J6" s="241">
        <v>1826850</v>
      </c>
      <c r="K6" s="240">
        <v>275318</v>
      </c>
      <c r="L6" s="36">
        <v>6</v>
      </c>
      <c r="M6" s="36">
        <v>7.25</v>
      </c>
      <c r="N6" s="36">
        <v>7.75</v>
      </c>
      <c r="O6" s="42" t="s">
        <v>286</v>
      </c>
      <c r="P6" s="42">
        <v>2</v>
      </c>
      <c r="Q6" s="42">
        <v>3</v>
      </c>
      <c r="R6" s="42">
        <v>4</v>
      </c>
      <c r="S6" s="42">
        <v>0</v>
      </c>
      <c r="T6" s="42">
        <v>2</v>
      </c>
      <c r="U6" s="42">
        <f t="shared" si="0"/>
        <v>11</v>
      </c>
      <c r="V6" s="42" t="s">
        <v>829</v>
      </c>
      <c r="W6" s="42" t="s">
        <v>830</v>
      </c>
    </row>
    <row r="7" spans="1:23" x14ac:dyDescent="0.25">
      <c r="A7" s="42" t="s">
        <v>831</v>
      </c>
      <c r="B7" s="113">
        <v>39413</v>
      </c>
      <c r="C7" s="42" t="s">
        <v>832</v>
      </c>
      <c r="D7" s="42" t="s">
        <v>833</v>
      </c>
      <c r="E7" s="240">
        <v>310869731</v>
      </c>
      <c r="F7" s="240">
        <v>313072470</v>
      </c>
      <c r="G7" s="42">
        <v>496</v>
      </c>
      <c r="H7" s="241">
        <v>930840</v>
      </c>
      <c r="I7" s="240">
        <v>178784</v>
      </c>
      <c r="J7" s="241">
        <v>844690</v>
      </c>
      <c r="K7" s="240">
        <v>159764</v>
      </c>
      <c r="L7" s="36">
        <v>6.25</v>
      </c>
      <c r="M7" s="36">
        <v>7.25</v>
      </c>
      <c r="N7" s="36">
        <v>6.75</v>
      </c>
      <c r="O7" s="42" t="s">
        <v>834</v>
      </c>
      <c r="P7" s="42">
        <v>0</v>
      </c>
      <c r="Q7" s="42">
        <v>3</v>
      </c>
      <c r="R7" s="42">
        <v>1</v>
      </c>
      <c r="S7" s="42">
        <v>1</v>
      </c>
      <c r="T7" s="42">
        <v>2</v>
      </c>
      <c r="U7" s="42">
        <f t="shared" si="0"/>
        <v>7</v>
      </c>
      <c r="V7" s="42" t="s">
        <v>835</v>
      </c>
      <c r="W7" s="42">
        <v>352</v>
      </c>
    </row>
    <row r="8" spans="1:23" x14ac:dyDescent="0.25">
      <c r="A8" s="42" t="s">
        <v>836</v>
      </c>
      <c r="B8" s="113">
        <v>39396</v>
      </c>
      <c r="C8" s="42" t="s">
        <v>837</v>
      </c>
      <c r="D8" s="42" t="s">
        <v>838</v>
      </c>
      <c r="E8" s="240">
        <v>350603253</v>
      </c>
      <c r="F8" s="240">
        <v>392730172</v>
      </c>
      <c r="G8" s="42">
        <v>927</v>
      </c>
      <c r="H8" s="241">
        <v>1238970</v>
      </c>
      <c r="I8" s="240">
        <v>330288</v>
      </c>
      <c r="J8" s="241">
        <v>1173940</v>
      </c>
      <c r="K8" s="240">
        <v>300720</v>
      </c>
      <c r="L8" s="36">
        <v>5.75</v>
      </c>
      <c r="M8" s="36">
        <v>6.5</v>
      </c>
      <c r="N8" s="36">
        <v>10.25</v>
      </c>
      <c r="O8" s="42" t="s">
        <v>839</v>
      </c>
      <c r="P8" s="42">
        <v>2</v>
      </c>
      <c r="Q8" s="42">
        <v>3</v>
      </c>
      <c r="R8" s="42">
        <v>2</v>
      </c>
      <c r="S8" s="42">
        <v>2</v>
      </c>
      <c r="T8" s="42">
        <v>0</v>
      </c>
      <c r="U8" s="42">
        <f t="shared" si="0"/>
        <v>9</v>
      </c>
      <c r="V8" s="42" t="s">
        <v>815</v>
      </c>
      <c r="W8" s="42">
        <v>352</v>
      </c>
    </row>
    <row r="9" spans="1:23" x14ac:dyDescent="0.25">
      <c r="A9" s="42" t="s">
        <v>258</v>
      </c>
      <c r="B9" s="113">
        <v>40792</v>
      </c>
      <c r="C9" s="42" t="s">
        <v>251</v>
      </c>
      <c r="D9" s="42" t="s">
        <v>259</v>
      </c>
      <c r="E9" s="240">
        <v>320425896</v>
      </c>
      <c r="F9" s="240">
        <v>323175820</v>
      </c>
      <c r="G9" s="42">
        <v>930</v>
      </c>
      <c r="H9" s="241">
        <v>2983360</v>
      </c>
      <c r="I9" s="240">
        <v>400864</v>
      </c>
      <c r="J9" s="241">
        <v>2563140</v>
      </c>
      <c r="K9" s="240">
        <v>292382</v>
      </c>
      <c r="L9" s="36">
        <v>6</v>
      </c>
      <c r="M9" s="36">
        <v>7</v>
      </c>
      <c r="N9" s="36">
        <v>8.25</v>
      </c>
      <c r="O9" s="42" t="s">
        <v>840</v>
      </c>
      <c r="P9" s="42">
        <v>0</v>
      </c>
      <c r="Q9" s="42">
        <v>0</v>
      </c>
      <c r="R9" s="42">
        <v>3</v>
      </c>
      <c r="S9" s="42">
        <v>0</v>
      </c>
      <c r="T9" s="42">
        <v>3</v>
      </c>
      <c r="U9" s="42">
        <f t="shared" si="0"/>
        <v>6</v>
      </c>
      <c r="V9" s="42" t="s">
        <v>841</v>
      </c>
      <c r="W9" s="42" t="s">
        <v>283</v>
      </c>
    </row>
    <row r="11" spans="1:23" x14ac:dyDescent="0.25">
      <c r="A11" s="239" t="s">
        <v>205</v>
      </c>
      <c r="B11" s="239" t="s">
        <v>206</v>
      </c>
      <c r="C11" s="239" t="s">
        <v>207</v>
      </c>
      <c r="D11" s="239" t="s">
        <v>208</v>
      </c>
      <c r="E11" s="239" t="s">
        <v>209</v>
      </c>
      <c r="F11" s="239" t="s">
        <v>210</v>
      </c>
      <c r="G11" s="239" t="s">
        <v>211</v>
      </c>
      <c r="H11" s="239" t="s">
        <v>125</v>
      </c>
      <c r="I11" s="239" t="s">
        <v>212</v>
      </c>
      <c r="J11" s="239" t="s">
        <v>213</v>
      </c>
      <c r="K11" s="239" t="s">
        <v>214</v>
      </c>
      <c r="L11" s="239" t="s">
        <v>215</v>
      </c>
      <c r="M11" s="239" t="s">
        <v>216</v>
      </c>
      <c r="N11" s="239" t="s">
        <v>217</v>
      </c>
      <c r="O11" s="239" t="s">
        <v>218</v>
      </c>
      <c r="P11" s="239" t="s">
        <v>193</v>
      </c>
      <c r="Q11" s="239" t="s">
        <v>173</v>
      </c>
      <c r="R11" s="239" t="s">
        <v>164</v>
      </c>
      <c r="S11" s="239" t="s">
        <v>203</v>
      </c>
      <c r="T11" s="239" t="s">
        <v>161</v>
      </c>
      <c r="U11" s="239" t="s">
        <v>219</v>
      </c>
      <c r="V11" s="239" t="s">
        <v>220</v>
      </c>
      <c r="W11" s="239" t="s">
        <v>221</v>
      </c>
    </row>
    <row r="12" spans="1:23" x14ac:dyDescent="0.25">
      <c r="A12" s="42" t="s">
        <v>222</v>
      </c>
      <c r="B12" s="113">
        <v>41884</v>
      </c>
      <c r="C12" s="42" t="s">
        <v>223</v>
      </c>
      <c r="D12" s="42" t="s">
        <v>224</v>
      </c>
      <c r="E12" s="240">
        <v>47129110</v>
      </c>
      <c r="F12" s="240">
        <v>36220760</v>
      </c>
      <c r="G12" s="42">
        <v>115</v>
      </c>
      <c r="H12" s="241">
        <v>1109350</v>
      </c>
      <c r="I12" s="240">
        <v>294908</v>
      </c>
      <c r="J12" s="241">
        <v>1036370</v>
      </c>
      <c r="K12" s="240">
        <v>264270</v>
      </c>
      <c r="L12" s="42">
        <v>5.5</v>
      </c>
      <c r="M12" s="42">
        <v>6.5</v>
      </c>
      <c r="N12" s="42">
        <v>5.5</v>
      </c>
      <c r="O12" s="42" t="s">
        <v>225</v>
      </c>
      <c r="P12" s="42">
        <v>0</v>
      </c>
      <c r="Q12" s="42">
        <v>5</v>
      </c>
      <c r="R12" s="42">
        <v>0</v>
      </c>
      <c r="S12" s="42">
        <v>1</v>
      </c>
      <c r="T12" s="42">
        <v>5</v>
      </c>
      <c r="U12" s="42">
        <f t="shared" ref="U12:U19" si="1">SUM(P12:T12)</f>
        <v>11</v>
      </c>
      <c r="V12" s="42" t="s">
        <v>226</v>
      </c>
      <c r="W12" s="42" t="s">
        <v>227</v>
      </c>
    </row>
    <row r="13" spans="1:23" x14ac:dyDescent="0.25">
      <c r="A13" s="42" t="s">
        <v>228</v>
      </c>
      <c r="B13" s="113">
        <v>39559</v>
      </c>
      <c r="C13" s="42" t="s">
        <v>229</v>
      </c>
      <c r="D13" s="42" t="s">
        <v>230</v>
      </c>
      <c r="E13" s="240">
        <v>256348598</v>
      </c>
      <c r="F13" s="240">
        <v>272162542</v>
      </c>
      <c r="G13" s="42">
        <v>482</v>
      </c>
      <c r="H13" s="241">
        <v>1213540</v>
      </c>
      <c r="I13" s="240">
        <v>226018</v>
      </c>
      <c r="J13" s="241">
        <v>1085590</v>
      </c>
      <c r="K13" s="240">
        <v>181988</v>
      </c>
      <c r="L13" s="42">
        <v>5.75</v>
      </c>
      <c r="M13" s="42">
        <v>6.75</v>
      </c>
      <c r="N13" s="42">
        <v>4.5</v>
      </c>
      <c r="O13" s="42" t="s">
        <v>231</v>
      </c>
      <c r="P13" s="42">
        <v>0</v>
      </c>
      <c r="Q13" s="42">
        <v>1</v>
      </c>
      <c r="R13" s="42">
        <v>1</v>
      </c>
      <c r="S13" s="42">
        <v>1</v>
      </c>
      <c r="T13" s="42">
        <v>1</v>
      </c>
      <c r="U13" s="42">
        <f t="shared" si="1"/>
        <v>4</v>
      </c>
      <c r="V13" s="42" t="s">
        <v>232</v>
      </c>
      <c r="W13" s="42" t="s">
        <v>233</v>
      </c>
    </row>
    <row r="14" spans="1:23" x14ac:dyDescent="0.25">
      <c r="A14" s="42" t="s">
        <v>234</v>
      </c>
      <c r="B14" s="113">
        <v>42028</v>
      </c>
      <c r="C14" s="42" t="s">
        <v>235</v>
      </c>
      <c r="D14" s="42" t="s">
        <v>236</v>
      </c>
      <c r="E14" s="240">
        <v>90598139</v>
      </c>
      <c r="F14" s="240">
        <v>95834988</v>
      </c>
      <c r="G14" s="42">
        <v>246</v>
      </c>
      <c r="H14" s="241">
        <v>1323480</v>
      </c>
      <c r="I14" s="240">
        <v>367712</v>
      </c>
      <c r="J14" s="241">
        <v>1200260</v>
      </c>
      <c r="K14" s="240">
        <v>313134</v>
      </c>
      <c r="L14" s="42">
        <v>6</v>
      </c>
      <c r="M14" s="42">
        <v>6</v>
      </c>
      <c r="N14" s="42">
        <v>5.5</v>
      </c>
      <c r="O14" s="42" t="s">
        <v>237</v>
      </c>
      <c r="P14" s="42">
        <v>2</v>
      </c>
      <c r="Q14" s="42">
        <v>1</v>
      </c>
      <c r="R14" s="42">
        <v>0</v>
      </c>
      <c r="S14" s="42">
        <v>3</v>
      </c>
      <c r="T14" s="42">
        <v>0</v>
      </c>
      <c r="U14" s="42">
        <f t="shared" si="1"/>
        <v>6</v>
      </c>
      <c r="V14" s="42" t="s">
        <v>238</v>
      </c>
      <c r="W14" s="42" t="s">
        <v>239</v>
      </c>
    </row>
    <row r="15" spans="1:23" x14ac:dyDescent="0.25">
      <c r="A15" s="42" t="s">
        <v>240</v>
      </c>
      <c r="B15" s="113">
        <v>39638</v>
      </c>
      <c r="C15" s="42" t="s">
        <v>235</v>
      </c>
      <c r="D15" s="42" t="s">
        <v>241</v>
      </c>
      <c r="E15" s="240">
        <v>101904410</v>
      </c>
      <c r="F15" s="240">
        <v>106728274</v>
      </c>
      <c r="G15" s="42">
        <v>369</v>
      </c>
      <c r="H15" s="241">
        <v>1091490</v>
      </c>
      <c r="I15" s="240">
        <v>314820</v>
      </c>
      <c r="J15" s="241">
        <v>1035660</v>
      </c>
      <c r="K15" s="240">
        <v>295298</v>
      </c>
      <c r="L15" s="42">
        <v>5.25</v>
      </c>
      <c r="M15" s="42">
        <v>5</v>
      </c>
      <c r="N15" s="42">
        <v>6.25</v>
      </c>
      <c r="O15" s="42" t="s">
        <v>242</v>
      </c>
      <c r="P15" s="42">
        <v>0</v>
      </c>
      <c r="Q15" s="42">
        <v>2</v>
      </c>
      <c r="R15" s="42">
        <v>0</v>
      </c>
      <c r="S15" s="42">
        <v>2</v>
      </c>
      <c r="T15" s="42">
        <v>0</v>
      </c>
      <c r="U15" s="42">
        <f t="shared" si="1"/>
        <v>4</v>
      </c>
      <c r="V15" s="42" t="s">
        <v>243</v>
      </c>
      <c r="W15" s="42" t="s">
        <v>244</v>
      </c>
    </row>
    <row r="16" spans="1:23" x14ac:dyDescent="0.25">
      <c r="A16" s="42" t="s">
        <v>245</v>
      </c>
      <c r="B16" s="113">
        <v>38176</v>
      </c>
      <c r="C16" s="42" t="s">
        <v>246</v>
      </c>
      <c r="D16" s="42" t="s">
        <v>230</v>
      </c>
      <c r="E16" s="240">
        <v>114552212</v>
      </c>
      <c r="F16" s="240">
        <v>106068085</v>
      </c>
      <c r="G16" s="42">
        <v>332</v>
      </c>
      <c r="H16" s="241">
        <v>613770</v>
      </c>
      <c r="I16" s="240">
        <v>214342</v>
      </c>
      <c r="J16" s="241">
        <v>594970</v>
      </c>
      <c r="K16" s="240">
        <v>196056</v>
      </c>
      <c r="L16" s="42">
        <v>5.75</v>
      </c>
      <c r="M16" s="42">
        <v>6.5</v>
      </c>
      <c r="N16" s="42">
        <v>5.25</v>
      </c>
      <c r="O16" s="42" t="s">
        <v>247</v>
      </c>
      <c r="P16" s="42">
        <v>0</v>
      </c>
      <c r="Q16" s="42">
        <v>2</v>
      </c>
      <c r="R16" s="42">
        <v>2</v>
      </c>
      <c r="S16" s="42">
        <v>0</v>
      </c>
      <c r="T16" s="42">
        <v>0</v>
      </c>
      <c r="U16" s="42">
        <f t="shared" si="1"/>
        <v>4</v>
      </c>
      <c r="V16" s="42" t="s">
        <v>248</v>
      </c>
      <c r="W16" s="42" t="s">
        <v>249</v>
      </c>
    </row>
    <row r="17" spans="1:23" x14ac:dyDescent="0.25">
      <c r="A17" s="42" t="s">
        <v>250</v>
      </c>
      <c r="B17" s="113">
        <v>37938</v>
      </c>
      <c r="C17" s="42" t="s">
        <v>251</v>
      </c>
      <c r="D17" s="42" t="s">
        <v>230</v>
      </c>
      <c r="E17" s="240">
        <v>152808114</v>
      </c>
      <c r="F17" s="240">
        <v>152569289</v>
      </c>
      <c r="G17" s="42">
        <v>454</v>
      </c>
      <c r="H17" s="241">
        <v>735430</v>
      </c>
      <c r="I17" s="240">
        <v>218146</v>
      </c>
      <c r="J17" s="241">
        <v>656840</v>
      </c>
      <c r="K17" s="240">
        <v>183738</v>
      </c>
      <c r="L17" s="42">
        <v>6.25</v>
      </c>
      <c r="M17" s="42">
        <v>6.5</v>
      </c>
      <c r="N17" s="42">
        <v>5.5</v>
      </c>
      <c r="O17" s="42" t="s">
        <v>252</v>
      </c>
      <c r="P17" s="42">
        <v>0</v>
      </c>
      <c r="Q17" s="42">
        <v>0</v>
      </c>
      <c r="R17" s="42">
        <v>0</v>
      </c>
      <c r="S17" s="42">
        <v>2</v>
      </c>
      <c r="T17" s="42">
        <v>1</v>
      </c>
      <c r="U17" s="42">
        <f t="shared" si="1"/>
        <v>3</v>
      </c>
      <c r="V17" s="42" t="s">
        <v>253</v>
      </c>
      <c r="W17" s="42">
        <v>352</v>
      </c>
    </row>
    <row r="18" spans="1:23" x14ac:dyDescent="0.25">
      <c r="A18" s="42" t="s">
        <v>254</v>
      </c>
      <c r="B18" s="113">
        <v>40968</v>
      </c>
      <c r="C18" s="42" t="s">
        <v>246</v>
      </c>
      <c r="D18" s="42" t="s">
        <v>255</v>
      </c>
      <c r="E18" s="240">
        <v>37248599</v>
      </c>
      <c r="F18" s="240">
        <v>18434858</v>
      </c>
      <c r="G18" s="42">
        <v>83</v>
      </c>
      <c r="H18" s="241">
        <v>926910</v>
      </c>
      <c r="I18" s="240">
        <v>175590</v>
      </c>
      <c r="J18" s="241">
        <v>811840</v>
      </c>
      <c r="K18" s="240">
        <v>152758</v>
      </c>
      <c r="L18" s="42">
        <v>6</v>
      </c>
      <c r="M18" s="42">
        <v>5.75</v>
      </c>
      <c r="N18" s="42">
        <v>5.75</v>
      </c>
      <c r="O18" s="42" t="s">
        <v>256</v>
      </c>
      <c r="P18" s="42">
        <v>1</v>
      </c>
      <c r="Q18" s="42">
        <v>0</v>
      </c>
      <c r="R18" s="42">
        <v>2</v>
      </c>
      <c r="S18" s="42">
        <v>4</v>
      </c>
      <c r="T18" s="42">
        <v>1</v>
      </c>
      <c r="U18" s="42">
        <f t="shared" si="1"/>
        <v>8</v>
      </c>
      <c r="V18" s="42" t="s">
        <v>257</v>
      </c>
      <c r="W18" s="42" t="s">
        <v>227</v>
      </c>
    </row>
    <row r="19" spans="1:23" x14ac:dyDescent="0.25">
      <c r="A19" s="42" t="s">
        <v>258</v>
      </c>
      <c r="B19" s="113">
        <v>40792</v>
      </c>
      <c r="C19" s="42" t="s">
        <v>251</v>
      </c>
      <c r="D19" s="42" t="s">
        <v>259</v>
      </c>
      <c r="E19" s="240">
        <v>276071009</v>
      </c>
      <c r="F19" s="240">
        <v>299255460</v>
      </c>
      <c r="G19" s="42">
        <v>893</v>
      </c>
      <c r="H19" s="241">
        <v>1389140</v>
      </c>
      <c r="I19" s="240">
        <v>226850</v>
      </c>
      <c r="J19" s="241">
        <v>1203640</v>
      </c>
      <c r="K19" s="240">
        <v>176410</v>
      </c>
      <c r="L19" s="42">
        <v>5.25</v>
      </c>
      <c r="M19" s="42">
        <v>6.25</v>
      </c>
      <c r="N19" s="42">
        <v>4.5</v>
      </c>
      <c r="O19" s="42" t="s">
        <v>260</v>
      </c>
      <c r="P19" s="42">
        <v>1</v>
      </c>
      <c r="Q19" s="42">
        <v>1</v>
      </c>
      <c r="R19" s="42">
        <v>3</v>
      </c>
      <c r="S19" s="42">
        <v>0</v>
      </c>
      <c r="T19" s="42">
        <v>6</v>
      </c>
      <c r="U19" s="42">
        <f t="shared" si="1"/>
        <v>11</v>
      </c>
      <c r="V19" s="42" t="s">
        <v>261</v>
      </c>
      <c r="W19" s="42" t="s">
        <v>262</v>
      </c>
    </row>
    <row r="21" spans="1:23" x14ac:dyDescent="0.25">
      <c r="A21" s="239" t="s">
        <v>263</v>
      </c>
      <c r="B21" s="239" t="s">
        <v>206</v>
      </c>
      <c r="C21" s="239" t="s">
        <v>207</v>
      </c>
      <c r="D21" s="239" t="s">
        <v>208</v>
      </c>
      <c r="E21" s="239" t="s">
        <v>209</v>
      </c>
      <c r="F21" s="239" t="s">
        <v>210</v>
      </c>
      <c r="G21" s="239" t="s">
        <v>211</v>
      </c>
      <c r="H21" s="239" t="s">
        <v>125</v>
      </c>
      <c r="I21" s="239" t="s">
        <v>212</v>
      </c>
      <c r="J21" s="239" t="s">
        <v>213</v>
      </c>
      <c r="K21" s="239" t="s">
        <v>214</v>
      </c>
      <c r="L21" s="239" t="s">
        <v>215</v>
      </c>
      <c r="M21" s="239" t="s">
        <v>216</v>
      </c>
      <c r="N21" s="239" t="s">
        <v>217</v>
      </c>
      <c r="O21" s="239" t="s">
        <v>218</v>
      </c>
      <c r="P21" s="239" t="s">
        <v>193</v>
      </c>
      <c r="Q21" s="239" t="s">
        <v>173</v>
      </c>
      <c r="R21" s="239" t="s">
        <v>164</v>
      </c>
      <c r="S21" s="239" t="s">
        <v>203</v>
      </c>
      <c r="T21" s="239" t="s">
        <v>161</v>
      </c>
      <c r="U21" s="239" t="s">
        <v>219</v>
      </c>
      <c r="V21" s="239" t="s">
        <v>220</v>
      </c>
      <c r="W21" s="239" t="s">
        <v>221</v>
      </c>
    </row>
    <row r="22" spans="1:23" x14ac:dyDescent="0.25">
      <c r="A22" s="42" t="s">
        <v>264</v>
      </c>
      <c r="B22" s="113">
        <v>42188</v>
      </c>
      <c r="C22" s="42" t="s">
        <v>265</v>
      </c>
      <c r="D22" s="42" t="s">
        <v>266</v>
      </c>
      <c r="E22" s="240">
        <v>82460995</v>
      </c>
      <c r="F22" s="240">
        <v>96298020</v>
      </c>
      <c r="G22" s="42">
        <v>203</v>
      </c>
      <c r="H22" s="241">
        <v>815450</v>
      </c>
      <c r="I22" s="240">
        <v>255716</v>
      </c>
      <c r="J22" s="241">
        <v>694460</v>
      </c>
      <c r="K22" s="240">
        <v>181616</v>
      </c>
      <c r="L22" s="42">
        <v>5.5</v>
      </c>
      <c r="M22" s="42">
        <v>6.25</v>
      </c>
      <c r="N22" s="42">
        <v>5.5</v>
      </c>
      <c r="O22" s="42" t="s">
        <v>225</v>
      </c>
      <c r="P22" s="42">
        <v>2</v>
      </c>
      <c r="Q22" s="42">
        <v>1</v>
      </c>
      <c r="R22" s="42">
        <v>2</v>
      </c>
      <c r="S22" s="42">
        <v>1</v>
      </c>
      <c r="T22" s="42">
        <v>0</v>
      </c>
      <c r="U22" s="42">
        <f t="shared" ref="U22:U29" si="2">SUM(P22:T22)</f>
        <v>6</v>
      </c>
      <c r="V22" s="42" t="s">
        <v>253</v>
      </c>
      <c r="W22" s="42" t="s">
        <v>267</v>
      </c>
    </row>
    <row r="23" spans="1:23" x14ac:dyDescent="0.25">
      <c r="A23" s="42" t="s">
        <v>268</v>
      </c>
      <c r="B23" s="113">
        <v>41373</v>
      </c>
      <c r="C23" s="42" t="s">
        <v>269</v>
      </c>
      <c r="D23" s="42" t="s">
        <v>270</v>
      </c>
      <c r="E23" s="240">
        <v>60889118</v>
      </c>
      <c r="F23" s="240">
        <v>48697720</v>
      </c>
      <c r="G23" s="42">
        <v>89</v>
      </c>
      <c r="H23" s="241">
        <v>1177340</v>
      </c>
      <c r="I23" s="240">
        <v>300932</v>
      </c>
      <c r="J23" s="241">
        <v>1140440</v>
      </c>
      <c r="K23" s="240">
        <v>291780</v>
      </c>
      <c r="L23" s="42">
        <v>5.75</v>
      </c>
      <c r="M23" s="42">
        <v>6.25</v>
      </c>
      <c r="N23" s="42">
        <v>6.5</v>
      </c>
      <c r="O23" s="42" t="s">
        <v>237</v>
      </c>
      <c r="P23" s="42">
        <v>0</v>
      </c>
      <c r="Q23" s="42">
        <v>1</v>
      </c>
      <c r="R23" s="42">
        <v>0</v>
      </c>
      <c r="S23" s="42">
        <v>1</v>
      </c>
      <c r="T23" s="42">
        <v>0</v>
      </c>
      <c r="U23" s="42">
        <f t="shared" si="2"/>
        <v>2</v>
      </c>
      <c r="V23" s="42" t="s">
        <v>271</v>
      </c>
      <c r="W23" s="42">
        <v>352</v>
      </c>
    </row>
    <row r="24" spans="1:23" x14ac:dyDescent="0.25">
      <c r="A24" s="42" t="s">
        <v>272</v>
      </c>
      <c r="B24" s="113">
        <v>40967</v>
      </c>
      <c r="C24" s="42" t="s">
        <v>265</v>
      </c>
      <c r="D24" s="42" t="s">
        <v>236</v>
      </c>
      <c r="E24" s="240">
        <v>82442500</v>
      </c>
      <c r="F24" s="240">
        <v>87332141</v>
      </c>
      <c r="G24" s="42">
        <v>178</v>
      </c>
      <c r="H24" s="241">
        <v>777010</v>
      </c>
      <c r="I24" s="240">
        <v>290792</v>
      </c>
      <c r="J24" s="241">
        <v>723210</v>
      </c>
      <c r="K24" s="240">
        <v>261158</v>
      </c>
      <c r="L24" s="42">
        <v>5.5</v>
      </c>
      <c r="M24" s="42">
        <v>5.75</v>
      </c>
      <c r="N24" s="42">
        <v>6.75</v>
      </c>
      <c r="O24" s="42" t="s">
        <v>273</v>
      </c>
      <c r="P24" s="42">
        <v>0</v>
      </c>
      <c r="Q24" s="42">
        <v>2</v>
      </c>
      <c r="R24" s="42">
        <v>2</v>
      </c>
      <c r="S24" s="42">
        <v>4</v>
      </c>
      <c r="T24" s="42">
        <v>2</v>
      </c>
      <c r="U24" s="42">
        <f t="shared" si="2"/>
        <v>10</v>
      </c>
      <c r="V24" s="42" t="s">
        <v>248</v>
      </c>
      <c r="W24" s="42">
        <v>352</v>
      </c>
    </row>
    <row r="25" spans="1:23" x14ac:dyDescent="0.25">
      <c r="A25" s="42" t="s">
        <v>274</v>
      </c>
      <c r="B25" s="113">
        <v>38761</v>
      </c>
      <c r="C25" s="42" t="s">
        <v>275</v>
      </c>
      <c r="D25" s="42" t="s">
        <v>276</v>
      </c>
      <c r="E25" s="240">
        <v>338220879</v>
      </c>
      <c r="F25" s="240">
        <v>354040033</v>
      </c>
      <c r="G25" s="42">
        <v>1243</v>
      </c>
      <c r="H25" s="241">
        <v>643900</v>
      </c>
      <c r="I25" s="240">
        <v>150312</v>
      </c>
      <c r="J25" s="241">
        <v>556130</v>
      </c>
      <c r="K25" s="240">
        <v>111082</v>
      </c>
      <c r="L25" s="42">
        <v>6</v>
      </c>
      <c r="M25" s="42">
        <v>6.25</v>
      </c>
      <c r="N25" s="42">
        <v>6.25</v>
      </c>
      <c r="O25" s="42" t="s">
        <v>277</v>
      </c>
      <c r="P25" s="42">
        <v>1</v>
      </c>
      <c r="Q25" s="42">
        <v>4</v>
      </c>
      <c r="R25" s="42">
        <v>1</v>
      </c>
      <c r="S25" s="42">
        <v>1</v>
      </c>
      <c r="T25" s="42">
        <v>0</v>
      </c>
      <c r="U25" s="42">
        <f t="shared" si="2"/>
        <v>7</v>
      </c>
      <c r="V25" s="42" t="s">
        <v>243</v>
      </c>
      <c r="W25" s="42" t="s">
        <v>278</v>
      </c>
    </row>
    <row r="26" spans="1:23" x14ac:dyDescent="0.25">
      <c r="A26" s="42" t="s">
        <v>279</v>
      </c>
      <c r="B26" s="113">
        <v>42114</v>
      </c>
      <c r="C26" s="42" t="s">
        <v>265</v>
      </c>
      <c r="D26" s="42" t="s">
        <v>280</v>
      </c>
      <c r="E26" s="240">
        <v>46709570</v>
      </c>
      <c r="F26" s="240">
        <v>37113808</v>
      </c>
      <c r="G26" s="42">
        <v>218</v>
      </c>
      <c r="H26" s="241">
        <v>829470</v>
      </c>
      <c r="I26" s="240">
        <v>182412</v>
      </c>
      <c r="J26" s="241">
        <v>756500</v>
      </c>
      <c r="K26" s="240">
        <v>160334</v>
      </c>
      <c r="L26" s="42">
        <v>5.25</v>
      </c>
      <c r="M26" s="42">
        <v>6.5</v>
      </c>
      <c r="N26" s="42">
        <v>5</v>
      </c>
      <c r="O26" s="42" t="s">
        <v>281</v>
      </c>
      <c r="P26" s="42">
        <v>2</v>
      </c>
      <c r="Q26" s="42">
        <v>3</v>
      </c>
      <c r="R26" s="42">
        <v>1</v>
      </c>
      <c r="S26" s="42">
        <v>1</v>
      </c>
      <c r="T26" s="42">
        <v>2</v>
      </c>
      <c r="U26" s="42">
        <f t="shared" si="2"/>
        <v>9</v>
      </c>
      <c r="V26" s="42" t="s">
        <v>282</v>
      </c>
      <c r="W26" s="42" t="s">
        <v>283</v>
      </c>
    </row>
    <row r="27" spans="1:23" x14ac:dyDescent="0.25">
      <c r="A27" s="42" t="s">
        <v>284</v>
      </c>
      <c r="B27" s="113">
        <v>42081</v>
      </c>
      <c r="C27" s="42" t="s">
        <v>285</v>
      </c>
      <c r="D27" s="42" t="s">
        <v>266</v>
      </c>
      <c r="E27" s="240">
        <v>65518666</v>
      </c>
      <c r="F27" s="240">
        <v>79171407</v>
      </c>
      <c r="G27" s="42">
        <v>144</v>
      </c>
      <c r="H27" s="241">
        <v>1116530</v>
      </c>
      <c r="I27" s="240">
        <v>355742</v>
      </c>
      <c r="J27" s="241">
        <v>1052690</v>
      </c>
      <c r="K27" s="240">
        <v>319518</v>
      </c>
      <c r="L27" s="42">
        <v>5.25</v>
      </c>
      <c r="M27" s="42">
        <v>6.25</v>
      </c>
      <c r="N27" s="42">
        <v>5.75</v>
      </c>
      <c r="O27" s="42" t="s">
        <v>286</v>
      </c>
      <c r="P27" s="42">
        <v>0</v>
      </c>
      <c r="Q27" s="42">
        <v>2</v>
      </c>
      <c r="R27" s="42">
        <v>0</v>
      </c>
      <c r="S27" s="42">
        <v>1</v>
      </c>
      <c r="T27" s="42">
        <v>1</v>
      </c>
      <c r="U27" s="42">
        <f t="shared" si="2"/>
        <v>4</v>
      </c>
      <c r="V27" s="42" t="s">
        <v>287</v>
      </c>
      <c r="W27" s="42" t="s">
        <v>288</v>
      </c>
    </row>
    <row r="28" spans="1:23" x14ac:dyDescent="0.25">
      <c r="A28" s="42" t="s">
        <v>289</v>
      </c>
      <c r="B28" s="113">
        <v>42987</v>
      </c>
      <c r="C28" s="42" t="s">
        <v>251</v>
      </c>
      <c r="D28" s="42" t="s">
        <v>290</v>
      </c>
      <c r="E28" s="240">
        <v>12127780</v>
      </c>
      <c r="F28" s="240">
        <v>10570244</v>
      </c>
      <c r="G28" s="42">
        <v>41</v>
      </c>
      <c r="H28" s="241">
        <v>485360</v>
      </c>
      <c r="I28" s="240">
        <v>114784</v>
      </c>
      <c r="J28" s="241">
        <v>416940</v>
      </c>
      <c r="K28" s="240">
        <v>101762</v>
      </c>
      <c r="L28" s="42">
        <v>6</v>
      </c>
      <c r="M28" s="42">
        <v>6.5</v>
      </c>
      <c r="N28" s="42">
        <v>3.5</v>
      </c>
      <c r="O28" s="42" t="s">
        <v>291</v>
      </c>
      <c r="P28" s="42">
        <v>4</v>
      </c>
      <c r="Q28" s="42">
        <v>0</v>
      </c>
      <c r="R28" s="42">
        <v>1</v>
      </c>
      <c r="S28" s="42">
        <v>0</v>
      </c>
      <c r="T28" s="42">
        <v>3</v>
      </c>
      <c r="U28" s="42">
        <f t="shared" si="2"/>
        <v>8</v>
      </c>
      <c r="V28" s="42" t="s">
        <v>292</v>
      </c>
      <c r="W28" s="42">
        <v>343</v>
      </c>
    </row>
    <row r="29" spans="1:23" x14ac:dyDescent="0.25">
      <c r="A29" s="42" t="s">
        <v>258</v>
      </c>
      <c r="B29" s="113">
        <v>40792</v>
      </c>
      <c r="C29" s="42" t="s">
        <v>251</v>
      </c>
      <c r="D29" s="42" t="s">
        <v>259</v>
      </c>
      <c r="E29" s="240">
        <v>276071009</v>
      </c>
      <c r="F29" s="240">
        <v>299255460</v>
      </c>
      <c r="G29" s="42">
        <v>893</v>
      </c>
      <c r="H29" s="241">
        <v>1389140</v>
      </c>
      <c r="I29" s="240">
        <v>226850</v>
      </c>
      <c r="J29" s="241">
        <v>1203640</v>
      </c>
      <c r="K29" s="240">
        <v>176410</v>
      </c>
      <c r="L29" s="42">
        <v>5.25</v>
      </c>
      <c r="M29" s="42">
        <v>6.25</v>
      </c>
      <c r="N29" s="42">
        <v>4.5</v>
      </c>
      <c r="O29" s="42" t="s">
        <v>260</v>
      </c>
      <c r="P29" s="42">
        <v>1</v>
      </c>
      <c r="Q29" s="42">
        <v>1</v>
      </c>
      <c r="R29" s="42">
        <v>3</v>
      </c>
      <c r="S29" s="42">
        <v>0</v>
      </c>
      <c r="T29" s="42">
        <v>6</v>
      </c>
      <c r="U29" s="42">
        <f t="shared" si="2"/>
        <v>11</v>
      </c>
      <c r="V29" s="42" t="s">
        <v>261</v>
      </c>
      <c r="W29" s="42" t="s">
        <v>262</v>
      </c>
    </row>
  </sheetData>
  <conditionalFormatting sqref="U22:U2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:N29">
    <cfRule type="colorScale" priority="9">
      <colorScale>
        <cfvo type="min"/>
        <cfvo type="max"/>
        <color rgb="FFFCFCFF"/>
        <color rgb="FF63BE7B"/>
      </colorScale>
    </cfRule>
  </conditionalFormatting>
  <conditionalFormatting sqref="M22:M29">
    <cfRule type="colorScale" priority="10">
      <colorScale>
        <cfvo type="min"/>
        <cfvo type="max"/>
        <color rgb="FFFCFCFF"/>
        <color rgb="FFF8696B"/>
      </colorScale>
    </cfRule>
  </conditionalFormatting>
  <conditionalFormatting sqref="L22:L29">
    <cfRule type="colorScale" priority="11">
      <colorScale>
        <cfvo type="min"/>
        <cfvo type="max"/>
        <color rgb="FFFCFCFF"/>
        <color rgb="FFF8696B"/>
      </colorScale>
    </cfRule>
  </conditionalFormatting>
  <conditionalFormatting sqref="I22:I29 K22:K2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:H29 J22:J2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:F29">
    <cfRule type="colorScale" priority="14">
      <colorScale>
        <cfvo type="min"/>
        <cfvo type="max"/>
        <color rgb="FFFCFCFF"/>
        <color rgb="FFF8696B"/>
      </colorScale>
    </cfRule>
  </conditionalFormatting>
  <conditionalFormatting sqref="U12:U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N19">
    <cfRule type="colorScale" priority="16">
      <colorScale>
        <cfvo type="min"/>
        <cfvo type="max"/>
        <color rgb="FFFCFCFF"/>
        <color rgb="FF63BE7B"/>
      </colorScale>
    </cfRule>
  </conditionalFormatting>
  <conditionalFormatting sqref="M12:M19">
    <cfRule type="colorScale" priority="17">
      <colorScale>
        <cfvo type="min"/>
        <cfvo type="max"/>
        <color rgb="FFFCFCFF"/>
        <color rgb="FFF8696B"/>
      </colorScale>
    </cfRule>
  </conditionalFormatting>
  <conditionalFormatting sqref="L12:L19">
    <cfRule type="colorScale" priority="18">
      <colorScale>
        <cfvo type="min"/>
        <cfvo type="max"/>
        <color rgb="FFFCFCFF"/>
        <color rgb="FFF8696B"/>
      </colorScale>
    </cfRule>
  </conditionalFormatting>
  <conditionalFormatting sqref="I12:I19 K12:K1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9 J12:J1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F19">
    <cfRule type="colorScale" priority="21">
      <colorScale>
        <cfvo type="min"/>
        <cfvo type="max"/>
        <color rgb="FFFCFCFF"/>
        <color rgb="FFF8696B"/>
      </colorScale>
    </cfRule>
  </conditionalFormatting>
  <conditionalFormatting sqref="U2:U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2">
      <colorScale>
        <cfvo type="min"/>
        <cfvo type="max"/>
        <color rgb="FFFCFCFF"/>
        <color rgb="FF63BE7B"/>
      </colorScale>
    </cfRule>
  </conditionalFormatting>
  <conditionalFormatting sqref="M2:M9">
    <cfRule type="colorScale" priority="3">
      <colorScale>
        <cfvo type="min"/>
        <cfvo type="max"/>
        <color rgb="FFFCFCFF"/>
        <color rgb="FFF8696B"/>
      </colorScale>
    </cfRule>
  </conditionalFormatting>
  <conditionalFormatting sqref="L2:L9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9 K2:K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 J2:J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9">
    <cfRule type="colorScale" priority="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33862-F36F-483E-93C2-1FDBF1A8C5D8}">
  <sheetPr>
    <tabColor theme="5" tint="0.79998168889431442"/>
  </sheetPr>
  <dimension ref="A1:H511"/>
  <sheetViews>
    <sheetView topLeftCell="A7" workbookViewId="0">
      <selection activeCell="H15" sqref="H15"/>
    </sheetView>
  </sheetViews>
  <sheetFormatPr baseColWidth="10" defaultRowHeight="15" x14ac:dyDescent="0.25"/>
  <cols>
    <col min="1" max="1" width="27.42578125" bestFit="1" customWidth="1"/>
    <col min="7" max="7" width="24.28515625" bestFit="1" customWidth="1"/>
    <col min="8" max="8" width="14" bestFit="1" customWidth="1"/>
  </cols>
  <sheetData>
    <row r="1" spans="1:8" x14ac:dyDescent="0.25">
      <c r="A1" t="s">
        <v>1332</v>
      </c>
      <c r="B1" t="s">
        <v>1330</v>
      </c>
      <c r="C1" t="s">
        <v>1331</v>
      </c>
      <c r="D1" t="s">
        <v>180</v>
      </c>
      <c r="G1" s="460" t="s">
        <v>399</v>
      </c>
      <c r="H1" s="461" t="s">
        <v>1334</v>
      </c>
    </row>
    <row r="2" spans="1:8" x14ac:dyDescent="0.25">
      <c r="A2" t="s">
        <v>883</v>
      </c>
      <c r="B2">
        <v>7</v>
      </c>
      <c r="C2" t="s">
        <v>1329</v>
      </c>
      <c r="D2" t="str">
        <f>MID(A2,SEARCH(" ",A2)+1,150)</f>
        <v xml:space="preserve">Rodolfo Rinaldo Paso </v>
      </c>
      <c r="G2" s="462" t="s">
        <v>1335</v>
      </c>
      <c r="H2" s="463">
        <v>98</v>
      </c>
    </row>
    <row r="3" spans="1:8" x14ac:dyDescent="0.25">
      <c r="A3" t="s">
        <v>893</v>
      </c>
      <c r="B3">
        <v>1</v>
      </c>
      <c r="C3" t="s">
        <v>1329</v>
      </c>
      <c r="D3" t="str">
        <f t="shared" ref="D3:D66" si="0">MID(A3,SEARCH(" ",A3)+1,150)</f>
        <v xml:space="preserve">Leandro Faias </v>
      </c>
      <c r="G3" s="464" t="s">
        <v>1336</v>
      </c>
      <c r="H3" s="465">
        <v>90</v>
      </c>
    </row>
    <row r="4" spans="1:8" x14ac:dyDescent="0.25">
      <c r="A4" t="s">
        <v>894</v>
      </c>
      <c r="B4">
        <v>1</v>
      </c>
      <c r="C4" t="s">
        <v>1329</v>
      </c>
      <c r="D4" t="str">
        <f t="shared" si="0"/>
        <v xml:space="preserve">Francesc Añigas </v>
      </c>
      <c r="G4" s="464" t="s">
        <v>1337</v>
      </c>
      <c r="H4" s="465">
        <v>67</v>
      </c>
    </row>
    <row r="5" spans="1:8" x14ac:dyDescent="0.25">
      <c r="A5" t="s">
        <v>895</v>
      </c>
      <c r="B5">
        <v>1</v>
      </c>
      <c r="C5" t="s">
        <v>1329</v>
      </c>
      <c r="D5" t="str">
        <f t="shared" si="0"/>
        <v xml:space="preserve">Cosme Fonteboa </v>
      </c>
      <c r="G5" s="464" t="s">
        <v>1338</v>
      </c>
      <c r="H5" s="465">
        <v>63</v>
      </c>
    </row>
    <row r="6" spans="1:8" x14ac:dyDescent="0.25">
      <c r="A6" t="s">
        <v>885</v>
      </c>
      <c r="B6">
        <v>4</v>
      </c>
      <c r="C6" t="s">
        <v>1329</v>
      </c>
      <c r="D6" t="str">
        <f t="shared" si="0"/>
        <v xml:space="preserve">Nicolás Galaz </v>
      </c>
      <c r="G6" s="464" t="s">
        <v>1339</v>
      </c>
      <c r="H6" s="465">
        <v>63</v>
      </c>
    </row>
    <row r="7" spans="1:8" x14ac:dyDescent="0.25">
      <c r="A7" t="s">
        <v>886</v>
      </c>
      <c r="B7">
        <v>4</v>
      </c>
      <c r="C7" t="s">
        <v>1329</v>
      </c>
      <c r="D7" t="str">
        <f t="shared" si="0"/>
        <v xml:space="preserve">Julian Gräbitz </v>
      </c>
      <c r="G7" s="464" t="s">
        <v>1340</v>
      </c>
      <c r="H7" s="465">
        <v>63</v>
      </c>
    </row>
    <row r="8" spans="1:8" x14ac:dyDescent="0.25">
      <c r="A8" t="s">
        <v>887</v>
      </c>
      <c r="B8">
        <v>3</v>
      </c>
      <c r="C8" t="s">
        <v>1329</v>
      </c>
      <c r="D8" t="str">
        <f t="shared" si="0"/>
        <v xml:space="preserve">Berto Abandero </v>
      </c>
      <c r="G8" s="464" t="s">
        <v>1341</v>
      </c>
      <c r="H8" s="465">
        <v>55</v>
      </c>
    </row>
    <row r="9" spans="1:8" x14ac:dyDescent="0.25">
      <c r="A9" t="s">
        <v>888</v>
      </c>
      <c r="B9">
        <v>3</v>
      </c>
      <c r="C9" t="s">
        <v>1329</v>
      </c>
      <c r="D9" t="str">
        <f t="shared" si="0"/>
        <v xml:space="preserve">Enrique Cubas </v>
      </c>
      <c r="G9" s="464" t="s">
        <v>1342</v>
      </c>
      <c r="H9" s="465">
        <v>51</v>
      </c>
    </row>
    <row r="10" spans="1:8" x14ac:dyDescent="0.25">
      <c r="A10" t="s">
        <v>889</v>
      </c>
      <c r="B10">
        <v>3</v>
      </c>
      <c r="C10" t="s">
        <v>1329</v>
      </c>
      <c r="D10" t="str">
        <f t="shared" si="0"/>
        <v xml:space="preserve">Valeri Gomis </v>
      </c>
      <c r="G10" s="464" t="s">
        <v>1343</v>
      </c>
      <c r="H10" s="465">
        <v>47</v>
      </c>
    </row>
    <row r="11" spans="1:8" x14ac:dyDescent="0.25">
      <c r="A11" t="s">
        <v>890</v>
      </c>
      <c r="B11">
        <v>2</v>
      </c>
      <c r="C11" t="s">
        <v>1329</v>
      </c>
      <c r="D11" t="str">
        <f t="shared" si="0"/>
        <v xml:space="preserve">Wil Duffill </v>
      </c>
      <c r="G11" s="464" t="s">
        <v>1344</v>
      </c>
      <c r="H11" s="465">
        <v>43</v>
      </c>
    </row>
    <row r="12" spans="1:8" x14ac:dyDescent="0.25">
      <c r="A12" t="s">
        <v>891</v>
      </c>
      <c r="B12">
        <v>2</v>
      </c>
      <c r="C12" t="s">
        <v>1329</v>
      </c>
      <c r="D12" t="str">
        <f t="shared" si="0"/>
        <v xml:space="preserve">Juan García Peñuela </v>
      </c>
      <c r="G12" s="464" t="s">
        <v>1345</v>
      </c>
      <c r="H12" s="465">
        <v>39</v>
      </c>
    </row>
    <row r="13" spans="1:8" x14ac:dyDescent="0.25">
      <c r="A13" t="s">
        <v>892</v>
      </c>
      <c r="B13">
        <v>2</v>
      </c>
      <c r="C13" t="s">
        <v>1329</v>
      </c>
      <c r="D13" t="str">
        <f t="shared" si="0"/>
        <v xml:space="preserve">Meraj Siddiqui </v>
      </c>
      <c r="G13" s="464" t="s">
        <v>1346</v>
      </c>
      <c r="H13" s="465">
        <v>38</v>
      </c>
    </row>
    <row r="14" spans="1:8" x14ac:dyDescent="0.25">
      <c r="A14" t="s">
        <v>911</v>
      </c>
      <c r="B14">
        <v>19</v>
      </c>
      <c r="C14" t="s">
        <v>884</v>
      </c>
      <c r="D14" t="str">
        <f t="shared" si="0"/>
        <v xml:space="preserve">Enrique Cubas </v>
      </c>
      <c r="G14" s="464" t="s">
        <v>1347</v>
      </c>
      <c r="H14" s="465">
        <v>33</v>
      </c>
    </row>
    <row r="15" spans="1:8" x14ac:dyDescent="0.25">
      <c r="A15" t="s">
        <v>911</v>
      </c>
      <c r="B15">
        <v>10</v>
      </c>
      <c r="C15" t="s">
        <v>884</v>
      </c>
      <c r="D15" t="str">
        <f t="shared" si="0"/>
        <v xml:space="preserve">Enrique Cubas </v>
      </c>
      <c r="G15" s="464" t="s">
        <v>1348</v>
      </c>
      <c r="H15" s="465">
        <v>31</v>
      </c>
    </row>
    <row r="16" spans="1:8" x14ac:dyDescent="0.25">
      <c r="A16" t="s">
        <v>911</v>
      </c>
      <c r="B16">
        <v>9</v>
      </c>
      <c r="C16" t="s">
        <v>884</v>
      </c>
      <c r="D16" t="str">
        <f t="shared" si="0"/>
        <v xml:space="preserve">Enrique Cubas </v>
      </c>
      <c r="G16" s="464" t="s">
        <v>1349</v>
      </c>
      <c r="H16" s="465">
        <v>30</v>
      </c>
    </row>
    <row r="17" spans="1:8" x14ac:dyDescent="0.25">
      <c r="A17" t="s">
        <v>911</v>
      </c>
      <c r="B17">
        <v>8</v>
      </c>
      <c r="C17" t="s">
        <v>884</v>
      </c>
      <c r="D17" t="str">
        <f t="shared" si="0"/>
        <v xml:space="preserve">Enrique Cubas </v>
      </c>
      <c r="G17" s="464" t="s">
        <v>1350</v>
      </c>
      <c r="H17" s="465">
        <v>30</v>
      </c>
    </row>
    <row r="18" spans="1:8" x14ac:dyDescent="0.25">
      <c r="A18" t="s">
        <v>883</v>
      </c>
      <c r="B18">
        <v>12</v>
      </c>
      <c r="C18" t="s">
        <v>884</v>
      </c>
      <c r="D18" t="str">
        <f t="shared" si="0"/>
        <v xml:space="preserve">Rodolfo Rinaldo Paso </v>
      </c>
      <c r="G18" s="464" t="s">
        <v>1351</v>
      </c>
      <c r="H18" s="465">
        <v>29</v>
      </c>
    </row>
    <row r="19" spans="1:8" x14ac:dyDescent="0.25">
      <c r="A19" t="s">
        <v>883</v>
      </c>
      <c r="B19">
        <v>14</v>
      </c>
      <c r="C19" t="s">
        <v>884</v>
      </c>
      <c r="D19" t="str">
        <f t="shared" si="0"/>
        <v xml:space="preserve">Rodolfo Rinaldo Paso </v>
      </c>
      <c r="G19" s="464" t="s">
        <v>1352</v>
      </c>
      <c r="H19" s="465">
        <v>27</v>
      </c>
    </row>
    <row r="20" spans="1:8" x14ac:dyDescent="0.25">
      <c r="A20" t="s">
        <v>883</v>
      </c>
      <c r="B20">
        <v>10</v>
      </c>
      <c r="C20" t="s">
        <v>884</v>
      </c>
      <c r="D20" t="str">
        <f t="shared" si="0"/>
        <v xml:space="preserve">Rodolfo Rinaldo Paso </v>
      </c>
      <c r="G20" s="464" t="s">
        <v>1353</v>
      </c>
      <c r="H20" s="465">
        <v>24</v>
      </c>
    </row>
    <row r="21" spans="1:8" x14ac:dyDescent="0.25">
      <c r="A21" t="s">
        <v>995</v>
      </c>
      <c r="B21">
        <v>6</v>
      </c>
      <c r="C21" t="s">
        <v>884</v>
      </c>
      <c r="D21" t="str">
        <f t="shared" si="0"/>
        <v xml:space="preserve">Wil Duffill </v>
      </c>
      <c r="G21" s="464" t="s">
        <v>1354</v>
      </c>
      <c r="H21" s="465">
        <v>24</v>
      </c>
    </row>
    <row r="22" spans="1:8" x14ac:dyDescent="0.25">
      <c r="A22" t="s">
        <v>960</v>
      </c>
      <c r="B22">
        <v>2</v>
      </c>
      <c r="C22" t="s">
        <v>884</v>
      </c>
      <c r="D22" t="str">
        <f t="shared" si="0"/>
        <v xml:space="preserve">Berto Abandero </v>
      </c>
      <c r="G22" s="464" t="s">
        <v>1355</v>
      </c>
      <c r="H22" s="465">
        <v>24</v>
      </c>
    </row>
    <row r="23" spans="1:8" x14ac:dyDescent="0.25">
      <c r="A23" t="s">
        <v>941</v>
      </c>
      <c r="B23">
        <v>2</v>
      </c>
      <c r="C23" t="s">
        <v>884</v>
      </c>
      <c r="D23" t="str">
        <f t="shared" si="0"/>
        <v xml:space="preserve">Francesc Añigas </v>
      </c>
      <c r="G23" s="464" t="s">
        <v>1356</v>
      </c>
      <c r="H23" s="465">
        <v>24</v>
      </c>
    </row>
    <row r="24" spans="1:8" x14ac:dyDescent="0.25">
      <c r="A24" t="s">
        <v>931</v>
      </c>
      <c r="B24">
        <v>2</v>
      </c>
      <c r="C24" t="s">
        <v>884</v>
      </c>
      <c r="D24" t="str">
        <f t="shared" si="0"/>
        <v xml:space="preserve">Iván Real Figueroa </v>
      </c>
      <c r="G24" s="464" t="s">
        <v>1357</v>
      </c>
      <c r="H24" s="465">
        <v>24</v>
      </c>
    </row>
    <row r="25" spans="1:8" x14ac:dyDescent="0.25">
      <c r="A25" t="s">
        <v>920</v>
      </c>
      <c r="B25">
        <v>4</v>
      </c>
      <c r="C25" t="s">
        <v>884</v>
      </c>
      <c r="D25" t="str">
        <f t="shared" si="0"/>
        <v xml:space="preserve">Valeri Gomis </v>
      </c>
      <c r="G25" s="464" t="s">
        <v>1358</v>
      </c>
      <c r="H25" s="465">
        <v>22</v>
      </c>
    </row>
    <row r="26" spans="1:8" x14ac:dyDescent="0.25">
      <c r="A26" t="s">
        <v>920</v>
      </c>
      <c r="B26">
        <v>3</v>
      </c>
      <c r="C26" t="s">
        <v>884</v>
      </c>
      <c r="D26" t="str">
        <f t="shared" si="0"/>
        <v xml:space="preserve">Valeri Gomis </v>
      </c>
      <c r="G26" s="464" t="s">
        <v>1359</v>
      </c>
      <c r="H26" s="465">
        <v>22</v>
      </c>
    </row>
    <row r="27" spans="1:8" x14ac:dyDescent="0.25">
      <c r="A27" t="s">
        <v>920</v>
      </c>
      <c r="B27">
        <v>1</v>
      </c>
      <c r="C27" t="s">
        <v>884</v>
      </c>
      <c r="D27" t="str">
        <f t="shared" si="0"/>
        <v xml:space="preserve">Valeri Gomis </v>
      </c>
      <c r="G27" s="464" t="s">
        <v>1360</v>
      </c>
      <c r="H27" s="465">
        <v>22</v>
      </c>
    </row>
    <row r="28" spans="1:8" x14ac:dyDescent="0.25">
      <c r="A28" t="s">
        <v>904</v>
      </c>
      <c r="B28">
        <v>3</v>
      </c>
      <c r="C28" t="s">
        <v>884</v>
      </c>
      <c r="D28" t="str">
        <f t="shared" si="0"/>
        <v xml:space="preserve">Venanci Oset </v>
      </c>
      <c r="G28" s="464" t="s">
        <v>1361</v>
      </c>
      <c r="H28" s="465">
        <v>22</v>
      </c>
    </row>
    <row r="29" spans="1:8" x14ac:dyDescent="0.25">
      <c r="A29" t="s">
        <v>942</v>
      </c>
      <c r="B29">
        <v>1</v>
      </c>
      <c r="C29" t="s">
        <v>884</v>
      </c>
      <c r="D29" t="str">
        <f t="shared" si="0"/>
        <v xml:space="preserve">Berto Abandero </v>
      </c>
      <c r="G29" s="464" t="s">
        <v>1362</v>
      </c>
      <c r="H29" s="465">
        <v>21</v>
      </c>
    </row>
    <row r="30" spans="1:8" x14ac:dyDescent="0.25">
      <c r="A30" t="s">
        <v>921</v>
      </c>
      <c r="B30">
        <v>3</v>
      </c>
      <c r="C30" t="s">
        <v>884</v>
      </c>
      <c r="D30" t="str">
        <f t="shared" si="0"/>
        <v xml:space="preserve">Iván Real Figueroa </v>
      </c>
      <c r="G30" s="464" t="s">
        <v>1363</v>
      </c>
      <c r="H30" s="465">
        <v>19</v>
      </c>
    </row>
    <row r="31" spans="1:8" x14ac:dyDescent="0.25">
      <c r="A31" t="s">
        <v>905</v>
      </c>
      <c r="B31">
        <v>3</v>
      </c>
      <c r="C31" t="s">
        <v>884</v>
      </c>
      <c r="D31" t="str">
        <f t="shared" si="0"/>
        <v xml:space="preserve">Leandro Faias </v>
      </c>
      <c r="G31" s="464" t="s">
        <v>1364</v>
      </c>
      <c r="H31" s="465">
        <v>19</v>
      </c>
    </row>
    <row r="32" spans="1:8" x14ac:dyDescent="0.25">
      <c r="A32" t="s">
        <v>932</v>
      </c>
      <c r="B32">
        <v>2</v>
      </c>
      <c r="C32" t="s">
        <v>884</v>
      </c>
      <c r="D32" t="str">
        <f t="shared" si="0"/>
        <v xml:space="preserve">Venanci Oset </v>
      </c>
      <c r="G32" s="464" t="s">
        <v>1365</v>
      </c>
      <c r="H32" s="465">
        <v>19</v>
      </c>
    </row>
    <row r="33" spans="1:8" x14ac:dyDescent="0.25">
      <c r="A33" t="s">
        <v>906</v>
      </c>
      <c r="B33">
        <v>2</v>
      </c>
      <c r="C33" t="s">
        <v>884</v>
      </c>
      <c r="D33" t="str">
        <f t="shared" si="0"/>
        <v xml:space="preserve">Berto Abandero </v>
      </c>
      <c r="G33" s="464" t="s">
        <v>1366</v>
      </c>
      <c r="H33" s="465">
        <v>18</v>
      </c>
    </row>
    <row r="34" spans="1:8" x14ac:dyDescent="0.25">
      <c r="A34" t="s">
        <v>922</v>
      </c>
      <c r="B34">
        <v>3</v>
      </c>
      <c r="C34" t="s">
        <v>884</v>
      </c>
      <c r="D34" t="str">
        <f t="shared" si="0"/>
        <v xml:space="preserve">Francesc Añigas </v>
      </c>
      <c r="G34" s="464" t="s">
        <v>1367</v>
      </c>
      <c r="H34" s="465">
        <v>18</v>
      </c>
    </row>
    <row r="35" spans="1:8" x14ac:dyDescent="0.25">
      <c r="A35" t="s">
        <v>922</v>
      </c>
      <c r="B35">
        <v>2</v>
      </c>
      <c r="C35" t="s">
        <v>884</v>
      </c>
      <c r="D35" t="str">
        <f t="shared" si="0"/>
        <v xml:space="preserve">Francesc Añigas </v>
      </c>
      <c r="G35" s="464" t="s">
        <v>1368</v>
      </c>
      <c r="H35" s="465">
        <v>18</v>
      </c>
    </row>
    <row r="36" spans="1:8" x14ac:dyDescent="0.25">
      <c r="A36" t="s">
        <v>975</v>
      </c>
      <c r="B36">
        <v>1</v>
      </c>
      <c r="C36" t="s">
        <v>884</v>
      </c>
      <c r="D36" t="str">
        <f t="shared" si="0"/>
        <v xml:space="preserve">Iván Real Figueroa </v>
      </c>
      <c r="G36" s="464" t="s">
        <v>1369</v>
      </c>
      <c r="H36" s="465">
        <v>17</v>
      </c>
    </row>
    <row r="37" spans="1:8" x14ac:dyDescent="0.25">
      <c r="A37" t="s">
        <v>933</v>
      </c>
      <c r="B37">
        <v>1</v>
      </c>
      <c r="C37" t="s">
        <v>884</v>
      </c>
      <c r="D37" t="str">
        <f t="shared" si="0"/>
        <v xml:space="preserve">Valeri Gomis </v>
      </c>
      <c r="G37" s="464" t="s">
        <v>1370</v>
      </c>
      <c r="H37" s="465">
        <v>17</v>
      </c>
    </row>
    <row r="38" spans="1:8" x14ac:dyDescent="0.25">
      <c r="A38" t="s">
        <v>933</v>
      </c>
      <c r="B38">
        <v>1</v>
      </c>
      <c r="C38" t="s">
        <v>884</v>
      </c>
      <c r="D38" t="str">
        <f t="shared" si="0"/>
        <v xml:space="preserve">Valeri Gomis </v>
      </c>
      <c r="G38" s="464" t="s">
        <v>1371</v>
      </c>
      <c r="H38" s="465">
        <v>17</v>
      </c>
    </row>
    <row r="39" spans="1:8" x14ac:dyDescent="0.25">
      <c r="A39" t="s">
        <v>962</v>
      </c>
      <c r="B39">
        <v>2</v>
      </c>
      <c r="C39" t="s">
        <v>884</v>
      </c>
      <c r="D39" t="str">
        <f t="shared" si="0"/>
        <v xml:space="preserve">Venanci Oset </v>
      </c>
      <c r="G39" s="464" t="s">
        <v>1372</v>
      </c>
      <c r="H39" s="465">
        <v>16</v>
      </c>
    </row>
    <row r="40" spans="1:8" x14ac:dyDescent="0.25">
      <c r="A40" t="s">
        <v>993</v>
      </c>
      <c r="B40">
        <v>1</v>
      </c>
      <c r="C40" t="s">
        <v>884</v>
      </c>
      <c r="D40" t="str">
        <f t="shared" si="0"/>
        <v xml:space="preserve">Wil Duffill </v>
      </c>
      <c r="G40" s="464" t="s">
        <v>1373</v>
      </c>
      <c r="H40" s="465">
        <v>16</v>
      </c>
    </row>
    <row r="41" spans="1:8" x14ac:dyDescent="0.25">
      <c r="A41" t="s">
        <v>907</v>
      </c>
      <c r="B41">
        <v>2</v>
      </c>
      <c r="C41" t="s">
        <v>884</v>
      </c>
      <c r="D41" t="str">
        <f t="shared" si="0"/>
        <v xml:space="preserve">Guillermo Pedrajas </v>
      </c>
      <c r="G41" s="464" t="s">
        <v>1374</v>
      </c>
      <c r="H41" s="465">
        <v>15</v>
      </c>
    </row>
    <row r="42" spans="1:8" x14ac:dyDescent="0.25">
      <c r="A42" t="s">
        <v>907</v>
      </c>
      <c r="B42">
        <v>2</v>
      </c>
      <c r="C42" t="s">
        <v>884</v>
      </c>
      <c r="D42" t="str">
        <f t="shared" si="0"/>
        <v xml:space="preserve">Guillermo Pedrajas </v>
      </c>
      <c r="G42" s="464" t="s">
        <v>1375</v>
      </c>
      <c r="H42" s="465">
        <v>14</v>
      </c>
    </row>
    <row r="43" spans="1:8" x14ac:dyDescent="0.25">
      <c r="A43" t="s">
        <v>944</v>
      </c>
      <c r="B43">
        <v>1</v>
      </c>
      <c r="C43" t="s">
        <v>884</v>
      </c>
      <c r="D43" t="str">
        <f t="shared" si="0"/>
        <v xml:space="preserve">Iván Real Figueroa </v>
      </c>
      <c r="G43" s="464" t="s">
        <v>1376</v>
      </c>
      <c r="H43" s="465">
        <v>14</v>
      </c>
    </row>
    <row r="44" spans="1:8" x14ac:dyDescent="0.25">
      <c r="A44" t="s">
        <v>944</v>
      </c>
      <c r="B44">
        <v>2</v>
      </c>
      <c r="C44" t="s">
        <v>884</v>
      </c>
      <c r="D44" t="str">
        <f t="shared" si="0"/>
        <v xml:space="preserve">Iván Real Figueroa </v>
      </c>
      <c r="G44" s="464" t="s">
        <v>1377</v>
      </c>
      <c r="H44" s="465">
        <v>13</v>
      </c>
    </row>
    <row r="45" spans="1:8" x14ac:dyDescent="0.25">
      <c r="A45" t="s">
        <v>923</v>
      </c>
      <c r="B45">
        <v>3</v>
      </c>
      <c r="C45" t="s">
        <v>884</v>
      </c>
      <c r="D45" t="str">
        <f t="shared" si="0"/>
        <v xml:space="preserve">Leandro Faias </v>
      </c>
      <c r="G45" s="464" t="s">
        <v>1378</v>
      </c>
      <c r="H45" s="465">
        <v>13</v>
      </c>
    </row>
    <row r="46" spans="1:8" x14ac:dyDescent="0.25">
      <c r="A46" t="s">
        <v>924</v>
      </c>
      <c r="B46">
        <v>2</v>
      </c>
      <c r="C46" t="s">
        <v>884</v>
      </c>
      <c r="D46" t="str">
        <f t="shared" si="0"/>
        <v xml:space="preserve">Berto Abandero </v>
      </c>
      <c r="G46" s="464" t="s">
        <v>1379</v>
      </c>
      <c r="H46" s="465">
        <v>13</v>
      </c>
    </row>
    <row r="47" spans="1:8" x14ac:dyDescent="0.25">
      <c r="A47" t="s">
        <v>924</v>
      </c>
      <c r="B47">
        <v>1</v>
      </c>
      <c r="C47" t="s">
        <v>884</v>
      </c>
      <c r="D47" t="str">
        <f t="shared" si="0"/>
        <v xml:space="preserve">Berto Abandero </v>
      </c>
      <c r="G47" s="464" t="s">
        <v>1380</v>
      </c>
      <c r="H47" s="465">
        <v>13</v>
      </c>
    </row>
    <row r="48" spans="1:8" x14ac:dyDescent="0.25">
      <c r="A48" t="s">
        <v>1016</v>
      </c>
      <c r="B48">
        <v>1</v>
      </c>
      <c r="C48" t="s">
        <v>884</v>
      </c>
      <c r="D48" t="str">
        <f t="shared" si="0"/>
        <v xml:space="preserve">Francesc Añigas </v>
      </c>
      <c r="G48" s="464" t="s">
        <v>1381</v>
      </c>
      <c r="H48" s="465">
        <v>12</v>
      </c>
    </row>
    <row r="49" spans="1:8" x14ac:dyDescent="0.25">
      <c r="A49" t="s">
        <v>954</v>
      </c>
      <c r="B49">
        <v>2</v>
      </c>
      <c r="C49" t="s">
        <v>884</v>
      </c>
      <c r="D49" t="str">
        <f t="shared" si="0"/>
        <v xml:space="preserve">Iván Real Figueroa </v>
      </c>
      <c r="G49" s="464" t="s">
        <v>1382</v>
      </c>
      <c r="H49" s="465">
        <v>12</v>
      </c>
    </row>
    <row r="50" spans="1:8" x14ac:dyDescent="0.25">
      <c r="A50" t="s">
        <v>954</v>
      </c>
      <c r="B50">
        <v>1</v>
      </c>
      <c r="C50" t="s">
        <v>884</v>
      </c>
      <c r="D50" t="str">
        <f t="shared" si="0"/>
        <v xml:space="preserve">Iván Real Figueroa </v>
      </c>
      <c r="G50" s="464" t="s">
        <v>1383</v>
      </c>
      <c r="H50" s="465">
        <v>12</v>
      </c>
    </row>
    <row r="51" spans="1:8" x14ac:dyDescent="0.25">
      <c r="A51" t="s">
        <v>908</v>
      </c>
      <c r="B51">
        <v>2</v>
      </c>
      <c r="C51" t="s">
        <v>884</v>
      </c>
      <c r="D51" t="str">
        <f t="shared" si="0"/>
        <v xml:space="preserve">Valeri Gomis </v>
      </c>
      <c r="G51" s="464" t="s">
        <v>1384</v>
      </c>
      <c r="H51" s="465">
        <v>12</v>
      </c>
    </row>
    <row r="52" spans="1:8" x14ac:dyDescent="0.25">
      <c r="A52" t="s">
        <v>945</v>
      </c>
      <c r="B52">
        <v>1</v>
      </c>
      <c r="C52" t="s">
        <v>884</v>
      </c>
      <c r="D52" t="str">
        <f t="shared" si="0"/>
        <v xml:space="preserve">Venanci Oset </v>
      </c>
      <c r="G52" s="464" t="s">
        <v>1385</v>
      </c>
      <c r="H52" s="465">
        <v>11</v>
      </c>
    </row>
    <row r="53" spans="1:8" x14ac:dyDescent="0.25">
      <c r="A53" t="s">
        <v>935</v>
      </c>
      <c r="B53">
        <v>1</v>
      </c>
      <c r="C53" t="s">
        <v>884</v>
      </c>
      <c r="D53" t="str">
        <f t="shared" si="0"/>
        <v xml:space="preserve">Guillermo Pedrajas </v>
      </c>
      <c r="G53" s="464" t="s">
        <v>1386</v>
      </c>
      <c r="H53" s="465">
        <v>11</v>
      </c>
    </row>
    <row r="54" spans="1:8" x14ac:dyDescent="0.25">
      <c r="A54" t="s">
        <v>909</v>
      </c>
      <c r="B54">
        <v>1</v>
      </c>
      <c r="C54" t="s">
        <v>884</v>
      </c>
      <c r="D54" t="str">
        <f t="shared" si="0"/>
        <v xml:space="preserve">Iván Real Figueroa </v>
      </c>
      <c r="G54" s="464" t="s">
        <v>1387</v>
      </c>
      <c r="H54" s="465">
        <v>11</v>
      </c>
    </row>
    <row r="55" spans="1:8" x14ac:dyDescent="0.25">
      <c r="A55" t="s">
        <v>910</v>
      </c>
      <c r="B55">
        <v>1</v>
      </c>
      <c r="C55" t="s">
        <v>884</v>
      </c>
      <c r="D55" t="str">
        <f t="shared" si="0"/>
        <v xml:space="preserve">Cosme Fonteboa </v>
      </c>
      <c r="G55" s="464" t="s">
        <v>1388</v>
      </c>
      <c r="H55" s="465">
        <v>11</v>
      </c>
    </row>
    <row r="56" spans="1:8" x14ac:dyDescent="0.25">
      <c r="A56" t="s">
        <v>965</v>
      </c>
      <c r="B56">
        <v>1</v>
      </c>
      <c r="C56" t="s">
        <v>884</v>
      </c>
      <c r="D56" t="str">
        <f t="shared" si="0"/>
        <v xml:space="preserve">Guillermo Pedrajas </v>
      </c>
      <c r="G56" s="464" t="s">
        <v>1389</v>
      </c>
      <c r="H56" s="465">
        <v>10</v>
      </c>
    </row>
    <row r="57" spans="1:8" x14ac:dyDescent="0.25">
      <c r="A57" t="s">
        <v>966</v>
      </c>
      <c r="B57">
        <v>1</v>
      </c>
      <c r="C57" t="s">
        <v>884</v>
      </c>
      <c r="D57" t="str">
        <f t="shared" si="0"/>
        <v xml:space="preserve">Cosme Fonteboa </v>
      </c>
      <c r="G57" s="464" t="s">
        <v>1390</v>
      </c>
      <c r="H57" s="465">
        <v>10</v>
      </c>
    </row>
    <row r="58" spans="1:8" x14ac:dyDescent="0.25">
      <c r="A58" t="s">
        <v>978</v>
      </c>
      <c r="B58">
        <v>8</v>
      </c>
      <c r="C58" t="s">
        <v>884</v>
      </c>
      <c r="D58" t="str">
        <f t="shared" si="0"/>
        <v xml:space="preserve">Enrique Cubas </v>
      </c>
      <c r="G58" s="464" t="s">
        <v>1391</v>
      </c>
      <c r="H58" s="465">
        <v>10</v>
      </c>
    </row>
    <row r="59" spans="1:8" x14ac:dyDescent="0.25">
      <c r="A59" t="s">
        <v>968</v>
      </c>
      <c r="B59">
        <v>6</v>
      </c>
      <c r="C59" t="s">
        <v>884</v>
      </c>
      <c r="D59" t="str">
        <f t="shared" si="0"/>
        <v xml:space="preserve">Francesc Añigas </v>
      </c>
      <c r="G59" s="464" t="s">
        <v>1392</v>
      </c>
      <c r="H59" s="465">
        <v>10</v>
      </c>
    </row>
    <row r="60" spans="1:8" x14ac:dyDescent="0.25">
      <c r="A60" t="s">
        <v>968</v>
      </c>
      <c r="B60">
        <v>3</v>
      </c>
      <c r="C60" t="s">
        <v>884</v>
      </c>
      <c r="D60" t="str">
        <f t="shared" si="0"/>
        <v xml:space="preserve">Francesc Añigas </v>
      </c>
      <c r="G60" s="464" t="s">
        <v>1393</v>
      </c>
      <c r="H60" s="465">
        <v>10</v>
      </c>
    </row>
    <row r="61" spans="1:8" x14ac:dyDescent="0.25">
      <c r="A61" t="s">
        <v>996</v>
      </c>
      <c r="B61">
        <v>5</v>
      </c>
      <c r="C61" t="s">
        <v>884</v>
      </c>
      <c r="D61" t="str">
        <f t="shared" si="0"/>
        <v xml:space="preserve">Juan García Peñuela </v>
      </c>
      <c r="G61" s="464" t="s">
        <v>1394</v>
      </c>
      <c r="H61" s="465">
        <v>9</v>
      </c>
    </row>
    <row r="62" spans="1:8" x14ac:dyDescent="0.25">
      <c r="A62" t="s">
        <v>912</v>
      </c>
      <c r="B62">
        <v>15</v>
      </c>
      <c r="C62" t="s">
        <v>884</v>
      </c>
      <c r="D62" t="str">
        <f t="shared" si="0"/>
        <v xml:space="preserve">Wil Duffill </v>
      </c>
      <c r="G62" s="464" t="s">
        <v>1395</v>
      </c>
      <c r="H62" s="465">
        <v>9</v>
      </c>
    </row>
    <row r="63" spans="1:8" x14ac:dyDescent="0.25">
      <c r="A63" t="s">
        <v>912</v>
      </c>
      <c r="B63">
        <v>9</v>
      </c>
      <c r="C63" t="s">
        <v>884</v>
      </c>
      <c r="D63" t="str">
        <f t="shared" si="0"/>
        <v xml:space="preserve">Wil Duffill </v>
      </c>
      <c r="G63" s="464" t="s">
        <v>1396</v>
      </c>
      <c r="H63" s="465">
        <v>9</v>
      </c>
    </row>
    <row r="64" spans="1:8" x14ac:dyDescent="0.25">
      <c r="A64" t="s">
        <v>897</v>
      </c>
      <c r="B64">
        <v>7</v>
      </c>
      <c r="C64" t="s">
        <v>884</v>
      </c>
      <c r="D64" t="str">
        <f t="shared" si="0"/>
        <v xml:space="preserve">Enrique Cubas </v>
      </c>
      <c r="G64" s="464" t="s">
        <v>1397</v>
      </c>
      <c r="H64" s="465">
        <v>9</v>
      </c>
    </row>
    <row r="65" spans="1:8" x14ac:dyDescent="0.25">
      <c r="A65" t="s">
        <v>897</v>
      </c>
      <c r="B65">
        <v>8</v>
      </c>
      <c r="C65" t="s">
        <v>884</v>
      </c>
      <c r="D65" t="str">
        <f t="shared" si="0"/>
        <v xml:space="preserve">Enrique Cubas </v>
      </c>
      <c r="G65" s="464" t="s">
        <v>1398</v>
      </c>
      <c r="H65" s="465">
        <v>8</v>
      </c>
    </row>
    <row r="66" spans="1:8" x14ac:dyDescent="0.25">
      <c r="A66" t="s">
        <v>897</v>
      </c>
      <c r="B66">
        <v>12</v>
      </c>
      <c r="C66" t="s">
        <v>884</v>
      </c>
      <c r="D66" t="str">
        <f t="shared" si="0"/>
        <v xml:space="preserve">Enrique Cubas </v>
      </c>
      <c r="G66" s="464" t="s">
        <v>1399</v>
      </c>
      <c r="H66" s="465">
        <v>8</v>
      </c>
    </row>
    <row r="67" spans="1:8" x14ac:dyDescent="0.25">
      <c r="A67" t="s">
        <v>897</v>
      </c>
      <c r="B67">
        <v>4</v>
      </c>
      <c r="C67" t="s">
        <v>884</v>
      </c>
      <c r="D67" t="str">
        <f t="shared" ref="D67:D130" si="1">MID(A67,SEARCH(" ",A67)+1,150)</f>
        <v xml:space="preserve">Enrique Cubas </v>
      </c>
      <c r="G67" s="464" t="s">
        <v>1400</v>
      </c>
      <c r="H67" s="465">
        <v>8</v>
      </c>
    </row>
    <row r="68" spans="1:8" x14ac:dyDescent="0.25">
      <c r="A68" t="s">
        <v>913</v>
      </c>
      <c r="B68">
        <v>13</v>
      </c>
      <c r="C68" t="s">
        <v>884</v>
      </c>
      <c r="D68" t="str">
        <f t="shared" si="1"/>
        <v xml:space="preserve">Meraj Siddiqui </v>
      </c>
      <c r="G68" s="464" t="s">
        <v>1401</v>
      </c>
      <c r="H68" s="465">
        <v>8</v>
      </c>
    </row>
    <row r="69" spans="1:8" x14ac:dyDescent="0.25">
      <c r="A69" t="s">
        <v>927</v>
      </c>
      <c r="B69">
        <v>8</v>
      </c>
      <c r="C69" t="s">
        <v>884</v>
      </c>
      <c r="D69" t="str">
        <f t="shared" si="1"/>
        <v xml:space="preserve">Wil Duffill </v>
      </c>
      <c r="G69" s="464" t="s">
        <v>1402</v>
      </c>
      <c r="H69" s="465">
        <v>8</v>
      </c>
    </row>
    <row r="70" spans="1:8" x14ac:dyDescent="0.25">
      <c r="A70" t="s">
        <v>936</v>
      </c>
      <c r="B70">
        <v>6</v>
      </c>
      <c r="C70" t="s">
        <v>884</v>
      </c>
      <c r="D70" t="str">
        <f t="shared" si="1"/>
        <v xml:space="preserve">Juan García Peñuela </v>
      </c>
      <c r="G70" s="464" t="s">
        <v>1403</v>
      </c>
      <c r="H70" s="465">
        <v>7</v>
      </c>
    </row>
    <row r="71" spans="1:8" x14ac:dyDescent="0.25">
      <c r="A71" t="s">
        <v>936</v>
      </c>
      <c r="B71">
        <v>7</v>
      </c>
      <c r="C71" t="s">
        <v>884</v>
      </c>
      <c r="D71" t="str">
        <f t="shared" si="1"/>
        <v xml:space="preserve">Juan García Peñuela </v>
      </c>
      <c r="G71" s="464" t="s">
        <v>1404</v>
      </c>
      <c r="H71" s="465">
        <v>7</v>
      </c>
    </row>
    <row r="72" spans="1:8" x14ac:dyDescent="0.25">
      <c r="A72" t="s">
        <v>936</v>
      </c>
      <c r="B72">
        <v>4</v>
      </c>
      <c r="C72" t="s">
        <v>884</v>
      </c>
      <c r="D72" t="str">
        <f t="shared" si="1"/>
        <v xml:space="preserve">Juan García Peñuela </v>
      </c>
      <c r="G72" s="464" t="s">
        <v>1405</v>
      </c>
      <c r="H72" s="465">
        <v>7</v>
      </c>
    </row>
    <row r="73" spans="1:8" x14ac:dyDescent="0.25">
      <c r="A73" t="s">
        <v>936</v>
      </c>
      <c r="B73">
        <v>2</v>
      </c>
      <c r="C73" t="s">
        <v>884</v>
      </c>
      <c r="D73" t="str">
        <f t="shared" si="1"/>
        <v xml:space="preserve">Juan García Peñuela </v>
      </c>
      <c r="G73" s="464" t="s">
        <v>1406</v>
      </c>
      <c r="H73" s="465">
        <v>7</v>
      </c>
    </row>
    <row r="74" spans="1:8" x14ac:dyDescent="0.25">
      <c r="A74" t="s">
        <v>898</v>
      </c>
      <c r="B74">
        <v>6</v>
      </c>
      <c r="C74" t="s">
        <v>884</v>
      </c>
      <c r="D74" t="str">
        <f t="shared" si="1"/>
        <v xml:space="preserve">Julian Gräbitz </v>
      </c>
      <c r="G74" s="464" t="s">
        <v>1407</v>
      </c>
      <c r="H74" s="465">
        <v>7</v>
      </c>
    </row>
    <row r="75" spans="1:8" x14ac:dyDescent="0.25">
      <c r="A75" t="s">
        <v>914</v>
      </c>
      <c r="B75">
        <v>12</v>
      </c>
      <c r="C75" t="s">
        <v>884</v>
      </c>
      <c r="D75" t="str">
        <f t="shared" si="1"/>
        <v xml:space="preserve">Rodolfo Rinaldo Paso </v>
      </c>
      <c r="G75" s="464" t="s">
        <v>1408</v>
      </c>
      <c r="H75" s="465">
        <v>7</v>
      </c>
    </row>
    <row r="76" spans="1:8" x14ac:dyDescent="0.25">
      <c r="A76" t="s">
        <v>1006</v>
      </c>
      <c r="B76">
        <v>2</v>
      </c>
      <c r="C76" t="s">
        <v>884</v>
      </c>
      <c r="D76" t="str">
        <f t="shared" si="1"/>
        <v xml:space="preserve">Valeri Gomis </v>
      </c>
      <c r="G76" s="464" t="s">
        <v>1409</v>
      </c>
      <c r="H76" s="465">
        <v>7</v>
      </c>
    </row>
    <row r="77" spans="1:8" x14ac:dyDescent="0.25">
      <c r="A77" t="s">
        <v>948</v>
      </c>
      <c r="B77">
        <v>6</v>
      </c>
      <c r="C77" t="s">
        <v>884</v>
      </c>
      <c r="D77" t="str">
        <f t="shared" si="1"/>
        <v xml:space="preserve">Wil Duffill </v>
      </c>
      <c r="G77" s="464" t="s">
        <v>1410</v>
      </c>
      <c r="H77" s="465">
        <v>7</v>
      </c>
    </row>
    <row r="78" spans="1:8" x14ac:dyDescent="0.25">
      <c r="A78" t="s">
        <v>948</v>
      </c>
      <c r="B78">
        <v>5</v>
      </c>
      <c r="C78" t="s">
        <v>884</v>
      </c>
      <c r="D78" t="str">
        <f t="shared" si="1"/>
        <v xml:space="preserve">Wil Duffill </v>
      </c>
      <c r="G78" s="464" t="s">
        <v>1411</v>
      </c>
      <c r="H78" s="465">
        <v>6</v>
      </c>
    </row>
    <row r="79" spans="1:8" x14ac:dyDescent="0.25">
      <c r="A79" t="s">
        <v>949</v>
      </c>
      <c r="B79">
        <v>6</v>
      </c>
      <c r="C79" t="s">
        <v>884</v>
      </c>
      <c r="D79" t="str">
        <f t="shared" si="1"/>
        <v xml:space="preserve">Francesc Añigas </v>
      </c>
      <c r="G79" s="464" t="s">
        <v>1412</v>
      </c>
      <c r="H79" s="465">
        <v>6</v>
      </c>
    </row>
    <row r="80" spans="1:8" x14ac:dyDescent="0.25">
      <c r="A80" t="s">
        <v>937</v>
      </c>
      <c r="B80">
        <v>5</v>
      </c>
      <c r="C80" t="s">
        <v>884</v>
      </c>
      <c r="D80" t="str">
        <f t="shared" si="1"/>
        <v xml:space="preserve">Guillermo Pedrajas </v>
      </c>
      <c r="G80" s="464" t="s">
        <v>1413</v>
      </c>
      <c r="H80" s="465">
        <v>6</v>
      </c>
    </row>
    <row r="81" spans="1:8" x14ac:dyDescent="0.25">
      <c r="A81" t="s">
        <v>937</v>
      </c>
      <c r="B81">
        <v>4</v>
      </c>
      <c r="C81" t="s">
        <v>884</v>
      </c>
      <c r="D81" t="str">
        <f t="shared" si="1"/>
        <v xml:space="preserve">Guillermo Pedrajas </v>
      </c>
      <c r="G81" s="464" t="s">
        <v>1414</v>
      </c>
      <c r="H81" s="465">
        <v>6</v>
      </c>
    </row>
    <row r="82" spans="1:8" x14ac:dyDescent="0.25">
      <c r="A82" t="s">
        <v>970</v>
      </c>
      <c r="B82">
        <v>5</v>
      </c>
      <c r="C82" t="s">
        <v>884</v>
      </c>
      <c r="D82" t="str">
        <f t="shared" si="1"/>
        <v xml:space="preserve">Juan García Peñuela </v>
      </c>
      <c r="G82" s="464" t="s">
        <v>1415</v>
      </c>
      <c r="H82" s="465">
        <v>6</v>
      </c>
    </row>
    <row r="83" spans="1:8" x14ac:dyDescent="0.25">
      <c r="A83" t="s">
        <v>915</v>
      </c>
      <c r="B83">
        <v>6</v>
      </c>
      <c r="C83" t="s">
        <v>884</v>
      </c>
      <c r="D83" t="str">
        <f t="shared" si="1"/>
        <v xml:space="preserve">Julian Gräbitz </v>
      </c>
      <c r="G83" s="464" t="s">
        <v>1416</v>
      </c>
      <c r="H83" s="465">
        <v>6</v>
      </c>
    </row>
    <row r="84" spans="1:8" x14ac:dyDescent="0.25">
      <c r="A84" t="s">
        <v>915</v>
      </c>
      <c r="B84">
        <v>6</v>
      </c>
      <c r="C84" t="s">
        <v>884</v>
      </c>
      <c r="D84" t="str">
        <f t="shared" si="1"/>
        <v xml:space="preserve">Julian Gräbitz </v>
      </c>
      <c r="G84" s="464" t="s">
        <v>1417</v>
      </c>
      <c r="H84" s="465">
        <v>6</v>
      </c>
    </row>
    <row r="85" spans="1:8" x14ac:dyDescent="0.25">
      <c r="A85" t="s">
        <v>899</v>
      </c>
      <c r="B85">
        <v>6</v>
      </c>
      <c r="C85" t="s">
        <v>884</v>
      </c>
      <c r="D85" t="str">
        <f t="shared" si="1"/>
        <v xml:space="preserve">Nicolás Galaz </v>
      </c>
      <c r="G85" s="464" t="s">
        <v>1418</v>
      </c>
      <c r="H85" s="465">
        <v>6</v>
      </c>
    </row>
    <row r="86" spans="1:8" x14ac:dyDescent="0.25">
      <c r="A86" t="s">
        <v>957</v>
      </c>
      <c r="B86">
        <v>6</v>
      </c>
      <c r="C86" t="s">
        <v>884</v>
      </c>
      <c r="D86" t="str">
        <f t="shared" si="1"/>
        <v xml:space="preserve">Valeri Gomis </v>
      </c>
      <c r="G86" s="464" t="s">
        <v>1419</v>
      </c>
      <c r="H86" s="465">
        <v>6</v>
      </c>
    </row>
    <row r="87" spans="1:8" x14ac:dyDescent="0.25">
      <c r="A87" t="s">
        <v>979</v>
      </c>
      <c r="B87">
        <v>3</v>
      </c>
      <c r="C87" t="s">
        <v>884</v>
      </c>
      <c r="D87" t="str">
        <f t="shared" si="1"/>
        <v xml:space="preserve">Berto Abandero </v>
      </c>
      <c r="G87" s="464" t="s">
        <v>1420</v>
      </c>
      <c r="H87" s="465">
        <v>6</v>
      </c>
    </row>
    <row r="88" spans="1:8" x14ac:dyDescent="0.25">
      <c r="A88" t="s">
        <v>929</v>
      </c>
      <c r="B88">
        <v>6</v>
      </c>
      <c r="C88" t="s">
        <v>884</v>
      </c>
      <c r="D88" t="str">
        <f t="shared" si="1"/>
        <v xml:space="preserve">Enrique Cubas </v>
      </c>
      <c r="G88" s="464" t="s">
        <v>1421</v>
      </c>
      <c r="H88" s="465">
        <v>6</v>
      </c>
    </row>
    <row r="89" spans="1:8" x14ac:dyDescent="0.25">
      <c r="A89" t="s">
        <v>971</v>
      </c>
      <c r="B89">
        <v>4</v>
      </c>
      <c r="C89" t="s">
        <v>884</v>
      </c>
      <c r="D89" t="str">
        <f t="shared" si="1"/>
        <v xml:space="preserve">Guillermo Pedrajas </v>
      </c>
      <c r="G89" s="464" t="s">
        <v>1422</v>
      </c>
      <c r="H89" s="465">
        <v>6</v>
      </c>
    </row>
    <row r="90" spans="1:8" x14ac:dyDescent="0.25">
      <c r="A90" t="s">
        <v>916</v>
      </c>
      <c r="B90">
        <v>5</v>
      </c>
      <c r="C90" t="s">
        <v>884</v>
      </c>
      <c r="D90" t="str">
        <f t="shared" si="1"/>
        <v xml:space="preserve">Juan García Peñuela </v>
      </c>
      <c r="G90" s="464" t="s">
        <v>1423</v>
      </c>
      <c r="H90" s="465">
        <v>6</v>
      </c>
    </row>
    <row r="91" spans="1:8" x14ac:dyDescent="0.25">
      <c r="A91" t="s">
        <v>889</v>
      </c>
      <c r="B91">
        <v>5</v>
      </c>
      <c r="C91" t="s">
        <v>884</v>
      </c>
      <c r="D91" t="str">
        <f t="shared" si="1"/>
        <v xml:space="preserve">Valeri Gomis </v>
      </c>
      <c r="G91" s="464" t="s">
        <v>1424</v>
      </c>
      <c r="H91" s="465">
        <v>6</v>
      </c>
    </row>
    <row r="92" spans="1:8" x14ac:dyDescent="0.25">
      <c r="A92" t="s">
        <v>900</v>
      </c>
      <c r="B92">
        <v>6</v>
      </c>
      <c r="C92" t="s">
        <v>884</v>
      </c>
      <c r="D92" t="str">
        <f t="shared" si="1"/>
        <v xml:space="preserve">Wil Duffill </v>
      </c>
      <c r="G92" s="464" t="s">
        <v>1425</v>
      </c>
      <c r="H92" s="465">
        <v>6</v>
      </c>
    </row>
    <row r="93" spans="1:8" x14ac:dyDescent="0.25">
      <c r="A93" t="s">
        <v>900</v>
      </c>
      <c r="B93">
        <v>6</v>
      </c>
      <c r="C93" t="s">
        <v>884</v>
      </c>
      <c r="D93" t="str">
        <f t="shared" si="1"/>
        <v xml:space="preserve">Wil Duffill </v>
      </c>
      <c r="G93" s="464" t="s">
        <v>1426</v>
      </c>
      <c r="H93" s="465">
        <v>6</v>
      </c>
    </row>
    <row r="94" spans="1:8" x14ac:dyDescent="0.25">
      <c r="A94" t="s">
        <v>972</v>
      </c>
      <c r="B94">
        <v>4</v>
      </c>
      <c r="C94" t="s">
        <v>884</v>
      </c>
      <c r="D94" t="str">
        <f t="shared" si="1"/>
        <v xml:space="preserve">Enrique Cubas </v>
      </c>
      <c r="G94" s="464" t="s">
        <v>1427</v>
      </c>
      <c r="H94" s="465">
        <v>6</v>
      </c>
    </row>
    <row r="95" spans="1:8" x14ac:dyDescent="0.25">
      <c r="A95" t="s">
        <v>901</v>
      </c>
      <c r="B95">
        <v>5</v>
      </c>
      <c r="C95" t="s">
        <v>884</v>
      </c>
      <c r="D95" t="str">
        <f t="shared" si="1"/>
        <v xml:space="preserve">Francesc Añigas </v>
      </c>
      <c r="G95" s="464" t="s">
        <v>1428</v>
      </c>
      <c r="H95" s="465">
        <v>5</v>
      </c>
    </row>
    <row r="96" spans="1:8" x14ac:dyDescent="0.25">
      <c r="A96" t="s">
        <v>901</v>
      </c>
      <c r="B96">
        <v>5</v>
      </c>
      <c r="C96" t="s">
        <v>884</v>
      </c>
      <c r="D96" t="str">
        <f t="shared" si="1"/>
        <v xml:space="preserve">Francesc Añigas </v>
      </c>
      <c r="G96" s="464" t="s">
        <v>1429</v>
      </c>
      <c r="H96" s="465">
        <v>5</v>
      </c>
    </row>
    <row r="97" spans="1:8" x14ac:dyDescent="0.25">
      <c r="A97" t="s">
        <v>901</v>
      </c>
      <c r="B97">
        <v>5</v>
      </c>
      <c r="C97" t="s">
        <v>884</v>
      </c>
      <c r="D97" t="str">
        <f t="shared" si="1"/>
        <v xml:space="preserve">Francesc Añigas </v>
      </c>
      <c r="G97" s="464" t="s">
        <v>1430</v>
      </c>
      <c r="H97" s="465">
        <v>5</v>
      </c>
    </row>
    <row r="98" spans="1:8" x14ac:dyDescent="0.25">
      <c r="A98" t="s">
        <v>917</v>
      </c>
      <c r="B98">
        <v>5</v>
      </c>
      <c r="C98" t="s">
        <v>884</v>
      </c>
      <c r="D98" t="str">
        <f t="shared" si="1"/>
        <v xml:space="preserve">Guillermo Pedrajas </v>
      </c>
      <c r="G98" s="464" t="s">
        <v>1431</v>
      </c>
      <c r="H98" s="465">
        <v>5</v>
      </c>
    </row>
    <row r="99" spans="1:8" x14ac:dyDescent="0.25">
      <c r="A99" t="s">
        <v>1009</v>
      </c>
      <c r="B99">
        <v>2</v>
      </c>
      <c r="C99" t="s">
        <v>884</v>
      </c>
      <c r="D99" t="str">
        <f t="shared" si="1"/>
        <v xml:space="preserve">Juan García Peñuela </v>
      </c>
      <c r="G99" s="464" t="s">
        <v>1432</v>
      </c>
      <c r="H99" s="465">
        <v>5</v>
      </c>
    </row>
    <row r="100" spans="1:8" x14ac:dyDescent="0.25">
      <c r="A100" t="s">
        <v>951</v>
      </c>
      <c r="B100">
        <v>4</v>
      </c>
      <c r="C100" t="s">
        <v>884</v>
      </c>
      <c r="D100" t="str">
        <f t="shared" si="1"/>
        <v xml:space="preserve">Julian Gräbitz </v>
      </c>
      <c r="G100" s="464" t="s">
        <v>1433</v>
      </c>
      <c r="H100" s="465">
        <v>5</v>
      </c>
    </row>
    <row r="101" spans="1:8" x14ac:dyDescent="0.25">
      <c r="A101" t="s">
        <v>989</v>
      </c>
      <c r="B101">
        <v>1</v>
      </c>
      <c r="C101" t="s">
        <v>884</v>
      </c>
      <c r="D101" t="str">
        <f t="shared" si="1"/>
        <v xml:space="preserve">Berto Abandero </v>
      </c>
      <c r="G101" s="464" t="s">
        <v>1434</v>
      </c>
      <c r="H101" s="465">
        <v>5</v>
      </c>
    </row>
    <row r="102" spans="1:8" x14ac:dyDescent="0.25">
      <c r="A102" t="s">
        <v>891</v>
      </c>
      <c r="B102">
        <v>3</v>
      </c>
      <c r="C102" t="s">
        <v>884</v>
      </c>
      <c r="D102" t="str">
        <f t="shared" si="1"/>
        <v xml:space="preserve">Juan García Peñuela </v>
      </c>
      <c r="G102" s="464" t="s">
        <v>1435</v>
      </c>
      <c r="H102" s="465">
        <v>5</v>
      </c>
    </row>
    <row r="103" spans="1:8" x14ac:dyDescent="0.25">
      <c r="A103" t="s">
        <v>891</v>
      </c>
      <c r="B103">
        <v>3</v>
      </c>
      <c r="C103" t="s">
        <v>884</v>
      </c>
      <c r="D103" t="str">
        <f t="shared" si="1"/>
        <v xml:space="preserve">Juan García Peñuela </v>
      </c>
      <c r="G103" s="464" t="s">
        <v>1436</v>
      </c>
      <c r="H103" s="465">
        <v>5</v>
      </c>
    </row>
    <row r="104" spans="1:8" x14ac:dyDescent="0.25">
      <c r="A104" t="s">
        <v>902</v>
      </c>
      <c r="B104">
        <v>4</v>
      </c>
      <c r="C104" t="s">
        <v>884</v>
      </c>
      <c r="D104" t="str">
        <f t="shared" si="1"/>
        <v xml:space="preserve">Meraj Siddiqui </v>
      </c>
      <c r="G104" s="464" t="s">
        <v>1437</v>
      </c>
      <c r="H104" s="465">
        <v>5</v>
      </c>
    </row>
    <row r="105" spans="1:8" x14ac:dyDescent="0.25">
      <c r="A105" t="s">
        <v>981</v>
      </c>
      <c r="B105">
        <v>3</v>
      </c>
      <c r="C105" t="s">
        <v>884</v>
      </c>
      <c r="D105" t="str">
        <f t="shared" si="1"/>
        <v xml:space="preserve">Valeri Gomis </v>
      </c>
      <c r="G105" s="464" t="s">
        <v>1438</v>
      </c>
      <c r="H105" s="465">
        <v>5</v>
      </c>
    </row>
    <row r="106" spans="1:8" x14ac:dyDescent="0.25">
      <c r="A106" t="s">
        <v>918</v>
      </c>
      <c r="B106">
        <v>5</v>
      </c>
      <c r="C106" t="s">
        <v>884</v>
      </c>
      <c r="D106" t="str">
        <f t="shared" si="1"/>
        <v xml:space="preserve">Venanci Oset </v>
      </c>
      <c r="G106" s="464" t="s">
        <v>1439</v>
      </c>
      <c r="H106" s="465">
        <v>5</v>
      </c>
    </row>
    <row r="107" spans="1:8" x14ac:dyDescent="0.25">
      <c r="A107" t="s">
        <v>952</v>
      </c>
      <c r="B107">
        <v>3</v>
      </c>
      <c r="C107" t="s">
        <v>884</v>
      </c>
      <c r="D107" t="str">
        <f t="shared" si="1"/>
        <v xml:space="preserve">Berto Abandero </v>
      </c>
      <c r="G107" s="464" t="s">
        <v>1440</v>
      </c>
      <c r="H107" s="465">
        <v>4</v>
      </c>
    </row>
    <row r="108" spans="1:8" x14ac:dyDescent="0.25">
      <c r="A108" t="s">
        <v>903</v>
      </c>
      <c r="B108">
        <v>3</v>
      </c>
      <c r="C108" t="s">
        <v>884</v>
      </c>
      <c r="D108" t="str">
        <f t="shared" si="1"/>
        <v xml:space="preserve">Juan García Peñuela </v>
      </c>
      <c r="G108" s="464" t="s">
        <v>1441</v>
      </c>
      <c r="H108" s="465">
        <v>4</v>
      </c>
    </row>
    <row r="109" spans="1:8" x14ac:dyDescent="0.25">
      <c r="A109" t="s">
        <v>940</v>
      </c>
      <c r="B109">
        <v>3</v>
      </c>
      <c r="C109" t="s">
        <v>884</v>
      </c>
      <c r="D109" t="str">
        <f t="shared" si="1"/>
        <v xml:space="preserve">Julian Gräbitz </v>
      </c>
      <c r="G109" s="464" t="s">
        <v>1442</v>
      </c>
      <c r="H109" s="465">
        <v>4</v>
      </c>
    </row>
    <row r="110" spans="1:8" x14ac:dyDescent="0.25">
      <c r="A110" t="s">
        <v>982</v>
      </c>
      <c r="B110">
        <v>3</v>
      </c>
      <c r="C110" t="s">
        <v>884</v>
      </c>
      <c r="D110" t="str">
        <f t="shared" si="1"/>
        <v xml:space="preserve">Wil Duffill </v>
      </c>
      <c r="G110" s="464" t="s">
        <v>1443</v>
      </c>
      <c r="H110" s="465">
        <v>4</v>
      </c>
    </row>
    <row r="111" spans="1:8" x14ac:dyDescent="0.25">
      <c r="A111" t="s">
        <v>1044</v>
      </c>
      <c r="B111">
        <v>15</v>
      </c>
      <c r="D111" t="str">
        <f t="shared" si="1"/>
        <v xml:space="preserve">Adam Moss </v>
      </c>
      <c r="G111" s="464" t="s">
        <v>1444</v>
      </c>
      <c r="H111" s="465">
        <v>4</v>
      </c>
    </row>
    <row r="112" spans="1:8" x14ac:dyDescent="0.25">
      <c r="A112" t="s">
        <v>1269</v>
      </c>
      <c r="B112">
        <v>8</v>
      </c>
      <c r="D112" t="str">
        <f t="shared" si="1"/>
        <v xml:space="preserve">Augustin Demaison </v>
      </c>
      <c r="G112" s="464" t="s">
        <v>1445</v>
      </c>
      <c r="H112" s="465">
        <v>4</v>
      </c>
    </row>
    <row r="113" spans="1:8" x14ac:dyDescent="0.25">
      <c r="A113" t="s">
        <v>1167</v>
      </c>
      <c r="B113">
        <v>10</v>
      </c>
      <c r="D113" t="str">
        <f t="shared" si="1"/>
        <v xml:space="preserve">Brunon Chuda </v>
      </c>
      <c r="G113" s="464" t="s">
        <v>1446</v>
      </c>
      <c r="H113" s="465">
        <v>4</v>
      </c>
    </row>
    <row r="114" spans="1:8" x14ac:dyDescent="0.25">
      <c r="A114" t="s">
        <v>967</v>
      </c>
      <c r="B114">
        <v>6</v>
      </c>
      <c r="D114" t="str">
        <f t="shared" si="1"/>
        <v xml:space="preserve">David Garcia-Spiess </v>
      </c>
      <c r="G114" s="464" t="s">
        <v>1447</v>
      </c>
      <c r="H114" s="465">
        <v>4</v>
      </c>
    </row>
    <row r="115" spans="1:8" x14ac:dyDescent="0.25">
      <c r="A115" t="s">
        <v>977</v>
      </c>
      <c r="B115">
        <v>11</v>
      </c>
      <c r="D115" t="str">
        <f t="shared" si="1"/>
        <v xml:space="preserve">Emilio Rojas </v>
      </c>
      <c r="G115" s="464" t="s">
        <v>1448</v>
      </c>
      <c r="H115" s="465">
        <v>4</v>
      </c>
    </row>
    <row r="116" spans="1:8" x14ac:dyDescent="0.25">
      <c r="A116" t="s">
        <v>1186</v>
      </c>
      <c r="B116">
        <v>7</v>
      </c>
      <c r="D116" t="str">
        <f t="shared" si="1"/>
        <v xml:space="preserve">Erik Lemming </v>
      </c>
      <c r="G116" s="464" t="s">
        <v>1449</v>
      </c>
      <c r="H116" s="465">
        <v>4</v>
      </c>
    </row>
    <row r="117" spans="1:8" x14ac:dyDescent="0.25">
      <c r="A117" t="s">
        <v>1105</v>
      </c>
      <c r="B117">
        <v>2</v>
      </c>
      <c r="D117" t="str">
        <f t="shared" si="1"/>
        <v xml:space="preserve">Ilari Santasalmi </v>
      </c>
      <c r="G117" s="464" t="s">
        <v>1450</v>
      </c>
      <c r="H117" s="465">
        <v>4</v>
      </c>
    </row>
    <row r="118" spans="1:8" x14ac:dyDescent="0.25">
      <c r="A118" t="s">
        <v>1133</v>
      </c>
      <c r="B118">
        <v>15</v>
      </c>
      <c r="D118" t="str">
        <f t="shared" si="1"/>
        <v xml:space="preserve">Joãozinho do Mato </v>
      </c>
      <c r="G118" s="464" t="s">
        <v>1451</v>
      </c>
      <c r="H118" s="465">
        <v>4</v>
      </c>
    </row>
    <row r="119" spans="1:8" x14ac:dyDescent="0.25">
      <c r="A119" t="s">
        <v>955</v>
      </c>
      <c r="B119">
        <v>17</v>
      </c>
      <c r="D119" t="str">
        <f t="shared" si="1"/>
        <v xml:space="preserve">Leo Hilpinen </v>
      </c>
      <c r="G119" s="464" t="s">
        <v>1452</v>
      </c>
      <c r="H119" s="465">
        <v>4</v>
      </c>
    </row>
    <row r="120" spans="1:8" x14ac:dyDescent="0.25">
      <c r="A120" t="s">
        <v>1070</v>
      </c>
      <c r="B120">
        <v>18</v>
      </c>
      <c r="D120" t="str">
        <f t="shared" si="1"/>
        <v xml:space="preserve">Leonardo Baltico </v>
      </c>
      <c r="G120" s="464" t="s">
        <v>1453</v>
      </c>
      <c r="H120" s="465">
        <v>4</v>
      </c>
    </row>
    <row r="121" spans="1:8" x14ac:dyDescent="0.25">
      <c r="A121" t="s">
        <v>1070</v>
      </c>
      <c r="B121">
        <v>12</v>
      </c>
      <c r="D121" t="str">
        <f t="shared" si="1"/>
        <v xml:space="preserve">Leonardo Baltico </v>
      </c>
      <c r="G121" s="464" t="s">
        <v>1454</v>
      </c>
      <c r="H121" s="465">
        <v>4</v>
      </c>
    </row>
    <row r="122" spans="1:8" x14ac:dyDescent="0.25">
      <c r="A122" t="s">
        <v>1070</v>
      </c>
      <c r="B122">
        <v>14</v>
      </c>
      <c r="D122" t="str">
        <f t="shared" si="1"/>
        <v xml:space="preserve">Leonardo Baltico </v>
      </c>
      <c r="G122" s="464" t="s">
        <v>1455</v>
      </c>
      <c r="H122" s="465">
        <v>3</v>
      </c>
    </row>
    <row r="123" spans="1:8" x14ac:dyDescent="0.25">
      <c r="A123" t="s">
        <v>1201</v>
      </c>
      <c r="B123">
        <v>9</v>
      </c>
      <c r="D123" t="str">
        <f t="shared" si="1"/>
        <v xml:space="preserve">Malte Neulinger </v>
      </c>
      <c r="G123" s="464" t="s">
        <v>1456</v>
      </c>
      <c r="H123" s="465">
        <v>3</v>
      </c>
    </row>
    <row r="124" spans="1:8" x14ac:dyDescent="0.25">
      <c r="A124" t="s">
        <v>1201</v>
      </c>
      <c r="B124">
        <v>7</v>
      </c>
      <c r="D124" t="str">
        <f t="shared" si="1"/>
        <v xml:space="preserve">Malte Neulinger </v>
      </c>
      <c r="G124" s="464" t="s">
        <v>1457</v>
      </c>
      <c r="H124" s="465">
        <v>3</v>
      </c>
    </row>
    <row r="125" spans="1:8" x14ac:dyDescent="0.25">
      <c r="A125" t="s">
        <v>1201</v>
      </c>
      <c r="B125">
        <v>9</v>
      </c>
      <c r="D125" t="str">
        <f t="shared" si="1"/>
        <v xml:space="preserve">Malte Neulinger </v>
      </c>
      <c r="G125" s="464" t="s">
        <v>1458</v>
      </c>
      <c r="H125" s="465">
        <v>3</v>
      </c>
    </row>
    <row r="126" spans="1:8" x14ac:dyDescent="0.25">
      <c r="A126" t="s">
        <v>1305</v>
      </c>
      <c r="B126">
        <v>6</v>
      </c>
      <c r="D126" t="str">
        <f t="shared" si="1"/>
        <v xml:space="preserve">Manolo Negrín </v>
      </c>
      <c r="G126" s="464" t="s">
        <v>1459</v>
      </c>
      <c r="H126" s="465">
        <v>3</v>
      </c>
    </row>
    <row r="127" spans="1:8" x14ac:dyDescent="0.25">
      <c r="A127" t="s">
        <v>1318</v>
      </c>
      <c r="B127">
        <v>6</v>
      </c>
      <c r="D127" t="str">
        <f t="shared" si="1"/>
        <v xml:space="preserve">Martin Kilev </v>
      </c>
      <c r="G127" s="464" t="s">
        <v>1460</v>
      </c>
      <c r="H127" s="465">
        <v>3</v>
      </c>
    </row>
    <row r="128" spans="1:8" x14ac:dyDescent="0.25">
      <c r="A128" t="s">
        <v>1287</v>
      </c>
      <c r="B128">
        <v>9</v>
      </c>
      <c r="D128" t="str">
        <f t="shared" si="1"/>
        <v xml:space="preserve">Melcior Calmet </v>
      </c>
      <c r="G128" s="464" t="s">
        <v>1461</v>
      </c>
      <c r="H128" s="465">
        <v>3</v>
      </c>
    </row>
    <row r="129" spans="1:8" x14ac:dyDescent="0.25">
      <c r="A129" t="s">
        <v>1115</v>
      </c>
      <c r="B129">
        <v>14</v>
      </c>
      <c r="D129" t="str">
        <f t="shared" si="1"/>
        <v xml:space="preserve">Nikolas Lakkotripi </v>
      </c>
      <c r="G129" s="464" t="s">
        <v>1462</v>
      </c>
      <c r="H129" s="465">
        <v>3</v>
      </c>
    </row>
    <row r="130" spans="1:8" x14ac:dyDescent="0.25">
      <c r="A130" t="s">
        <v>1245</v>
      </c>
      <c r="B130">
        <v>8</v>
      </c>
      <c r="D130" t="str">
        <f t="shared" si="1"/>
        <v xml:space="preserve">Pere Beltran </v>
      </c>
      <c r="G130" s="464" t="s">
        <v>1463</v>
      </c>
      <c r="H130" s="465">
        <v>3</v>
      </c>
    </row>
    <row r="131" spans="1:8" x14ac:dyDescent="0.25">
      <c r="A131" t="s">
        <v>1150</v>
      </c>
      <c r="B131">
        <v>14</v>
      </c>
      <c r="D131" t="str">
        <f t="shared" ref="D131:D194" si="2">MID(A131,SEARCH(" ",A131)+1,150)</f>
        <v xml:space="preserve">Roelant Bierman </v>
      </c>
      <c r="G131" s="464" t="s">
        <v>1464</v>
      </c>
      <c r="H131" s="465">
        <v>3</v>
      </c>
    </row>
    <row r="132" spans="1:8" x14ac:dyDescent="0.25">
      <c r="A132" t="s">
        <v>1018</v>
      </c>
      <c r="B132">
        <v>15</v>
      </c>
      <c r="D132" t="str">
        <f t="shared" si="2"/>
        <v xml:space="preserve">Saúl Piña </v>
      </c>
      <c r="G132" s="464" t="s">
        <v>1465</v>
      </c>
      <c r="H132" s="465">
        <v>3</v>
      </c>
    </row>
    <row r="133" spans="1:8" x14ac:dyDescent="0.25">
      <c r="A133" t="s">
        <v>1018</v>
      </c>
      <c r="B133">
        <v>13</v>
      </c>
      <c r="D133" t="str">
        <f t="shared" si="2"/>
        <v xml:space="preserve">Saúl Piña </v>
      </c>
      <c r="G133" s="464" t="s">
        <v>1466</v>
      </c>
      <c r="H133" s="465">
        <v>3</v>
      </c>
    </row>
    <row r="134" spans="1:8" x14ac:dyDescent="0.25">
      <c r="A134" t="s">
        <v>1018</v>
      </c>
      <c r="B134">
        <v>22</v>
      </c>
      <c r="D134" t="str">
        <f t="shared" si="2"/>
        <v xml:space="preserve">Saúl Piña </v>
      </c>
      <c r="G134" s="464" t="s">
        <v>1467</v>
      </c>
      <c r="H134" s="465">
        <v>3</v>
      </c>
    </row>
    <row r="135" spans="1:8" x14ac:dyDescent="0.25">
      <c r="A135" t="s">
        <v>1124</v>
      </c>
      <c r="B135">
        <v>3</v>
      </c>
      <c r="D135" t="str">
        <f t="shared" si="2"/>
        <v xml:space="preserve">? (Ho) ?? (Minwei) </v>
      </c>
      <c r="G135" s="464" t="s">
        <v>1468</v>
      </c>
      <c r="H135" s="465">
        <v>3</v>
      </c>
    </row>
    <row r="136" spans="1:8" x14ac:dyDescent="0.25">
      <c r="A136" t="s">
        <v>1195</v>
      </c>
      <c r="B136">
        <v>2</v>
      </c>
      <c r="D136" t="str">
        <f t="shared" si="2"/>
        <v xml:space="preserve">Adamantios Fikias </v>
      </c>
      <c r="G136" s="464" t="s">
        <v>1469</v>
      </c>
      <c r="H136" s="465">
        <v>3</v>
      </c>
    </row>
    <row r="137" spans="1:8" x14ac:dyDescent="0.25">
      <c r="A137" t="s">
        <v>1209</v>
      </c>
      <c r="B137">
        <v>1</v>
      </c>
      <c r="D137" t="str">
        <f t="shared" si="2"/>
        <v xml:space="preserve">Andrija Miškovic </v>
      </c>
      <c r="G137" s="464" t="s">
        <v>1470</v>
      </c>
      <c r="H137" s="465">
        <v>3</v>
      </c>
    </row>
    <row r="138" spans="1:8" x14ac:dyDescent="0.25">
      <c r="A138" t="s">
        <v>1141</v>
      </c>
      <c r="B138">
        <v>4</v>
      </c>
      <c r="D138" t="str">
        <f t="shared" si="2"/>
        <v xml:space="preserve">Andrin Bärtsch </v>
      </c>
      <c r="G138" s="464" t="s">
        <v>1471</v>
      </c>
      <c r="H138" s="465">
        <v>3</v>
      </c>
    </row>
    <row r="139" spans="1:8" x14ac:dyDescent="0.25">
      <c r="A139" t="s">
        <v>1066</v>
      </c>
      <c r="B139">
        <v>4</v>
      </c>
      <c r="D139" t="str">
        <f t="shared" si="2"/>
        <v xml:space="preserve">Antoine Dupré </v>
      </c>
      <c r="G139" s="464" t="s">
        <v>1472</v>
      </c>
      <c r="H139" s="465">
        <v>3</v>
      </c>
    </row>
    <row r="140" spans="1:8" x14ac:dyDescent="0.25">
      <c r="A140" t="s">
        <v>1066</v>
      </c>
      <c r="B140">
        <v>6</v>
      </c>
      <c r="D140" t="str">
        <f t="shared" si="2"/>
        <v xml:space="preserve">Antoine Dupré </v>
      </c>
      <c r="G140" s="464" t="s">
        <v>1473</v>
      </c>
      <c r="H140" s="465">
        <v>3</v>
      </c>
    </row>
    <row r="141" spans="1:8" x14ac:dyDescent="0.25">
      <c r="A141" t="s">
        <v>1027</v>
      </c>
      <c r="B141">
        <v>2</v>
      </c>
      <c r="D141" t="str">
        <f t="shared" si="2"/>
        <v xml:space="preserve">Cezary Pauch </v>
      </c>
      <c r="G141" s="464" t="s">
        <v>1474</v>
      </c>
      <c r="H141" s="465">
        <v>3</v>
      </c>
    </row>
    <row r="142" spans="1:8" x14ac:dyDescent="0.25">
      <c r="A142" t="s">
        <v>1253</v>
      </c>
      <c r="B142">
        <v>3</v>
      </c>
      <c r="D142" t="str">
        <f t="shared" si="2"/>
        <v xml:space="preserve">Clifford Smallwood </v>
      </c>
      <c r="G142" s="464" t="s">
        <v>1475</v>
      </c>
      <c r="H142" s="465">
        <v>2</v>
      </c>
    </row>
    <row r="143" spans="1:8" x14ac:dyDescent="0.25">
      <c r="A143" t="s">
        <v>1002</v>
      </c>
      <c r="B143">
        <v>1</v>
      </c>
      <c r="D143" t="str">
        <f t="shared" si="2"/>
        <v xml:space="preserve">Eckardt Hägerling </v>
      </c>
      <c r="G143" s="464" t="s">
        <v>1476</v>
      </c>
      <c r="H143" s="465">
        <v>2</v>
      </c>
    </row>
    <row r="144" spans="1:8" x14ac:dyDescent="0.25">
      <c r="A144" t="s">
        <v>1176</v>
      </c>
      <c r="B144">
        <v>3</v>
      </c>
      <c r="D144" t="str">
        <f t="shared" si="2"/>
        <v xml:space="preserve">Erik Lemming </v>
      </c>
      <c r="G144" s="464" t="s">
        <v>1477</v>
      </c>
      <c r="H144" s="465">
        <v>2</v>
      </c>
    </row>
    <row r="145" spans="1:8" x14ac:dyDescent="0.25">
      <c r="A145" t="s">
        <v>1219</v>
      </c>
      <c r="B145">
        <v>2</v>
      </c>
      <c r="D145" t="str">
        <f t="shared" si="2"/>
        <v xml:space="preserve">Fabien Goncalves </v>
      </c>
      <c r="G145" s="464" t="s">
        <v>1478</v>
      </c>
      <c r="H145" s="465">
        <v>2</v>
      </c>
    </row>
    <row r="146" spans="1:8" x14ac:dyDescent="0.25">
      <c r="A146" t="s">
        <v>1052</v>
      </c>
      <c r="B146">
        <v>3</v>
      </c>
      <c r="D146" t="str">
        <f t="shared" si="2"/>
        <v xml:space="preserve">Gregor Freischläger </v>
      </c>
      <c r="G146" s="464" t="s">
        <v>1479</v>
      </c>
      <c r="H146" s="465">
        <v>2</v>
      </c>
    </row>
    <row r="147" spans="1:8" x14ac:dyDescent="0.25">
      <c r="A147" t="s">
        <v>1234</v>
      </c>
      <c r="B147">
        <v>2</v>
      </c>
      <c r="D147" t="str">
        <f t="shared" si="2"/>
        <v xml:space="preserve">Jacobo Ferrueros </v>
      </c>
      <c r="G147" s="464" t="s">
        <v>1480</v>
      </c>
      <c r="H147" s="465">
        <v>2</v>
      </c>
    </row>
    <row r="148" spans="1:8" x14ac:dyDescent="0.25">
      <c r="A148" t="s">
        <v>1040</v>
      </c>
      <c r="B148">
        <v>2</v>
      </c>
      <c r="D148" t="str">
        <f t="shared" si="2"/>
        <v xml:space="preserve">Jorge Walter Whitaker </v>
      </c>
      <c r="G148" s="464" t="s">
        <v>1481</v>
      </c>
      <c r="H148" s="465">
        <v>2</v>
      </c>
    </row>
    <row r="149" spans="1:8" x14ac:dyDescent="0.25">
      <c r="A149" t="s">
        <v>983</v>
      </c>
      <c r="B149">
        <v>2</v>
      </c>
      <c r="D149" t="str">
        <f t="shared" si="2"/>
        <v xml:space="preserve">Jurgen Muësen </v>
      </c>
      <c r="G149" s="464" t="s">
        <v>1482</v>
      </c>
      <c r="H149" s="465">
        <v>2</v>
      </c>
    </row>
    <row r="150" spans="1:8" x14ac:dyDescent="0.25">
      <c r="A150" t="s">
        <v>1086</v>
      </c>
      <c r="B150">
        <v>3</v>
      </c>
      <c r="D150" t="str">
        <f t="shared" si="2"/>
        <v xml:space="preserve">Károly Serfel </v>
      </c>
      <c r="G150" s="464" t="s">
        <v>1483</v>
      </c>
      <c r="H150" s="465">
        <v>2</v>
      </c>
    </row>
    <row r="151" spans="1:8" x14ac:dyDescent="0.25">
      <c r="A151" t="s">
        <v>1114</v>
      </c>
      <c r="B151">
        <v>1</v>
      </c>
      <c r="D151" t="str">
        <f t="shared" si="2"/>
        <v xml:space="preserve">Lars Pouilliers </v>
      </c>
      <c r="G151" s="464" t="s">
        <v>1484</v>
      </c>
      <c r="H151" s="465">
        <v>2</v>
      </c>
    </row>
    <row r="152" spans="1:8" x14ac:dyDescent="0.25">
      <c r="A152" t="s">
        <v>1327</v>
      </c>
      <c r="B152">
        <v>2</v>
      </c>
      <c r="D152" t="str">
        <f t="shared" si="2"/>
        <v xml:space="preserve">Manolo Negrín </v>
      </c>
      <c r="G152" s="464" t="s">
        <v>1485</v>
      </c>
      <c r="H152" s="465">
        <v>2</v>
      </c>
    </row>
    <row r="153" spans="1:8" x14ac:dyDescent="0.25">
      <c r="A153" t="s">
        <v>1277</v>
      </c>
      <c r="B153">
        <v>2</v>
      </c>
      <c r="D153" t="str">
        <f t="shared" si="2"/>
        <v xml:space="preserve">Markus Currie </v>
      </c>
      <c r="G153" s="464" t="s">
        <v>1486</v>
      </c>
      <c r="H153" s="465">
        <v>2</v>
      </c>
    </row>
    <row r="154" spans="1:8" x14ac:dyDescent="0.25">
      <c r="A154" t="s">
        <v>1012</v>
      </c>
      <c r="B154">
        <v>1</v>
      </c>
      <c r="D154" t="str">
        <f t="shared" si="2"/>
        <v xml:space="preserve">Morgan Thomas </v>
      </c>
      <c r="G154" s="464" t="s">
        <v>1487</v>
      </c>
      <c r="H154" s="465">
        <v>2</v>
      </c>
    </row>
    <row r="155" spans="1:8" x14ac:dyDescent="0.25">
      <c r="A155" t="s">
        <v>1159</v>
      </c>
      <c r="B155">
        <v>4</v>
      </c>
      <c r="D155" t="str">
        <f t="shared" si="2"/>
        <v xml:space="preserve">Nicolai Stentoft </v>
      </c>
      <c r="G155" s="464" t="s">
        <v>1488</v>
      </c>
      <c r="H155" s="465">
        <v>2</v>
      </c>
    </row>
    <row r="156" spans="1:8" x14ac:dyDescent="0.25">
      <c r="A156" t="s">
        <v>1296</v>
      </c>
      <c r="B156">
        <v>2</v>
      </c>
      <c r="D156" t="str">
        <f t="shared" si="2"/>
        <v xml:space="preserve">Ofek Azuri </v>
      </c>
      <c r="G156" s="464" t="s">
        <v>1489</v>
      </c>
      <c r="H156" s="465">
        <v>2</v>
      </c>
    </row>
    <row r="157" spans="1:8" x14ac:dyDescent="0.25">
      <c r="A157" t="s">
        <v>1314</v>
      </c>
      <c r="B157">
        <v>1</v>
      </c>
      <c r="D157" t="str">
        <f t="shared" si="2"/>
        <v xml:space="preserve">Olli Rambow </v>
      </c>
      <c r="G157" s="464" t="s">
        <v>1490</v>
      </c>
      <c r="H157" s="465">
        <v>2</v>
      </c>
    </row>
    <row r="158" spans="1:8" x14ac:dyDescent="0.25">
      <c r="A158" t="s">
        <v>991</v>
      </c>
      <c r="B158">
        <v>1</v>
      </c>
      <c r="D158" t="str">
        <f t="shared" si="2"/>
        <v xml:space="preserve">Roberto Montero </v>
      </c>
      <c r="G158" s="464" t="s">
        <v>1491</v>
      </c>
      <c r="H158" s="465">
        <v>2</v>
      </c>
    </row>
    <row r="159" spans="1:8" x14ac:dyDescent="0.25">
      <c r="A159" t="s">
        <v>1098</v>
      </c>
      <c r="B159">
        <v>5</v>
      </c>
      <c r="D159" t="str">
        <f t="shared" si="2"/>
        <v xml:space="preserve">Saúl Piña </v>
      </c>
      <c r="G159" s="464" t="s">
        <v>1492</v>
      </c>
      <c r="H159" s="465">
        <v>2</v>
      </c>
    </row>
    <row r="160" spans="1:8" x14ac:dyDescent="0.25">
      <c r="A160" t="s">
        <v>1160</v>
      </c>
      <c r="B160">
        <v>4</v>
      </c>
      <c r="D160" t="str">
        <f t="shared" si="2"/>
        <v xml:space="preserve">Adamantios Fikias </v>
      </c>
      <c r="G160" s="464" t="s">
        <v>1493</v>
      </c>
      <c r="H160" s="465">
        <v>2</v>
      </c>
    </row>
    <row r="161" spans="1:8" x14ac:dyDescent="0.25">
      <c r="A161" t="s">
        <v>1087</v>
      </c>
      <c r="B161">
        <v>1</v>
      </c>
      <c r="D161" t="str">
        <f t="shared" si="2"/>
        <v xml:space="preserve">Adolfo Vitulli </v>
      </c>
      <c r="G161" s="464" t="s">
        <v>1494</v>
      </c>
      <c r="H161" s="465">
        <v>2</v>
      </c>
    </row>
    <row r="162" spans="1:8" x14ac:dyDescent="0.25">
      <c r="A162" t="s">
        <v>1076</v>
      </c>
      <c r="B162">
        <v>5</v>
      </c>
      <c r="D162" t="str">
        <f t="shared" si="2"/>
        <v xml:space="preserve">Aleksi Alarotu </v>
      </c>
      <c r="G162" s="464" t="s">
        <v>1495</v>
      </c>
      <c r="H162" s="465">
        <v>2</v>
      </c>
    </row>
    <row r="163" spans="1:8" x14ac:dyDescent="0.25">
      <c r="A163" t="s">
        <v>1254</v>
      </c>
      <c r="B163">
        <v>2</v>
      </c>
      <c r="D163" t="str">
        <f t="shared" si="2"/>
        <v xml:space="preserve">Aureliusz Staszczuk </v>
      </c>
      <c r="G163" s="464" t="s">
        <v>1496</v>
      </c>
      <c r="H163" s="465">
        <v>2</v>
      </c>
    </row>
    <row r="164" spans="1:8" x14ac:dyDescent="0.25">
      <c r="A164" t="s">
        <v>1210</v>
      </c>
      <c r="B164">
        <v>1</v>
      </c>
      <c r="D164" t="str">
        <f t="shared" si="2"/>
        <v xml:space="preserve">Barnabás Borsányi </v>
      </c>
      <c r="G164" s="464" t="s">
        <v>1497</v>
      </c>
      <c r="H164" s="465">
        <v>2</v>
      </c>
    </row>
    <row r="165" spans="1:8" x14ac:dyDescent="0.25">
      <c r="A165" t="s">
        <v>1041</v>
      </c>
      <c r="B165">
        <v>1</v>
      </c>
      <c r="D165" t="str">
        <f t="shared" si="2"/>
        <v xml:space="preserve">Boleslaw Starzomski </v>
      </c>
      <c r="G165" s="464" t="s">
        <v>1498</v>
      </c>
      <c r="H165" s="465">
        <v>2</v>
      </c>
    </row>
    <row r="166" spans="1:8" x14ac:dyDescent="0.25">
      <c r="A166" t="s">
        <v>1028</v>
      </c>
      <c r="B166">
        <v>1</v>
      </c>
      <c r="D166" t="str">
        <f t="shared" si="2"/>
        <v xml:space="preserve">Emilio Mochelato </v>
      </c>
      <c r="G166" s="464" t="s">
        <v>1499</v>
      </c>
      <c r="H166" s="465">
        <v>2</v>
      </c>
    </row>
    <row r="167" spans="1:8" x14ac:dyDescent="0.25">
      <c r="A167" t="s">
        <v>961</v>
      </c>
      <c r="B167">
        <v>2</v>
      </c>
      <c r="D167" t="str">
        <f t="shared" si="2"/>
        <v xml:space="preserve">Fabien Fabre </v>
      </c>
      <c r="G167" s="464" t="s">
        <v>1500</v>
      </c>
      <c r="H167" s="465">
        <v>2</v>
      </c>
    </row>
    <row r="168" spans="1:8" x14ac:dyDescent="0.25">
      <c r="A168" t="s">
        <v>961</v>
      </c>
      <c r="B168">
        <v>1</v>
      </c>
      <c r="D168" t="str">
        <f t="shared" si="2"/>
        <v xml:space="preserve">Fabien Fabre </v>
      </c>
      <c r="G168" s="464" t="s">
        <v>1501</v>
      </c>
      <c r="H168" s="465">
        <v>1</v>
      </c>
    </row>
    <row r="169" spans="1:8" x14ac:dyDescent="0.25">
      <c r="A169" t="s">
        <v>1177</v>
      </c>
      <c r="B169">
        <v>3</v>
      </c>
      <c r="D169" t="str">
        <f t="shared" si="2"/>
        <v xml:space="preserve">Honesto Cousa </v>
      </c>
      <c r="G169" s="464" t="s">
        <v>1502</v>
      </c>
      <c r="H169" s="465">
        <v>1</v>
      </c>
    </row>
    <row r="170" spans="1:8" x14ac:dyDescent="0.25">
      <c r="A170" t="s">
        <v>1297</v>
      </c>
      <c r="B170">
        <v>2</v>
      </c>
      <c r="D170" t="str">
        <f t="shared" si="2"/>
        <v xml:space="preserve">Karl Edwin </v>
      </c>
      <c r="G170" s="464" t="s">
        <v>1503</v>
      </c>
      <c r="H170" s="465">
        <v>1</v>
      </c>
    </row>
    <row r="171" spans="1:8" x14ac:dyDescent="0.25">
      <c r="A171" t="s">
        <v>1142</v>
      </c>
      <c r="B171">
        <v>4</v>
      </c>
      <c r="D171" t="str">
        <f t="shared" si="2"/>
        <v xml:space="preserve">Lars Pouilliers </v>
      </c>
      <c r="G171" s="464" t="s">
        <v>1504</v>
      </c>
      <c r="H171" s="465">
        <v>1</v>
      </c>
    </row>
    <row r="172" spans="1:8" x14ac:dyDescent="0.25">
      <c r="A172" t="s">
        <v>1125</v>
      </c>
      <c r="B172">
        <v>3</v>
      </c>
      <c r="D172" t="str">
        <f t="shared" si="2"/>
        <v xml:space="preserve">Leonardo Baltico </v>
      </c>
      <c r="G172" s="464" t="s">
        <v>1505</v>
      </c>
      <c r="H172" s="465">
        <v>1</v>
      </c>
    </row>
    <row r="173" spans="1:8" x14ac:dyDescent="0.25">
      <c r="A173" t="s">
        <v>1315</v>
      </c>
      <c r="B173">
        <v>1</v>
      </c>
      <c r="D173" t="str">
        <f t="shared" si="2"/>
        <v xml:space="preserve">Martin Kilev </v>
      </c>
      <c r="G173" s="464" t="s">
        <v>1506</v>
      </c>
      <c r="H173" s="465">
        <v>1</v>
      </c>
    </row>
    <row r="174" spans="1:8" x14ac:dyDescent="0.25">
      <c r="A174" t="s">
        <v>953</v>
      </c>
      <c r="B174">
        <v>2</v>
      </c>
      <c r="D174" t="str">
        <f t="shared" si="2"/>
        <v xml:space="preserve">Miguel Fernández </v>
      </c>
      <c r="G174" s="464" t="s">
        <v>1507</v>
      </c>
      <c r="H174" s="465">
        <v>1</v>
      </c>
    </row>
    <row r="175" spans="1:8" x14ac:dyDescent="0.25">
      <c r="A175" t="s">
        <v>953</v>
      </c>
      <c r="B175">
        <v>2</v>
      </c>
      <c r="D175" t="str">
        <f t="shared" si="2"/>
        <v xml:space="preserve">Miguel Fernández </v>
      </c>
      <c r="G175" s="464" t="s">
        <v>1508</v>
      </c>
      <c r="H175" s="465">
        <v>1</v>
      </c>
    </row>
    <row r="176" spans="1:8" x14ac:dyDescent="0.25">
      <c r="A176" t="s">
        <v>1053</v>
      </c>
      <c r="B176">
        <v>2</v>
      </c>
      <c r="D176" t="str">
        <f t="shared" si="2"/>
        <v xml:space="preserve">Morgan Thomas </v>
      </c>
      <c r="G176" s="464" t="s">
        <v>1509</v>
      </c>
      <c r="H176" s="465">
        <v>1</v>
      </c>
    </row>
    <row r="177" spans="1:8" x14ac:dyDescent="0.25">
      <c r="A177" t="s">
        <v>1067</v>
      </c>
      <c r="B177">
        <v>3</v>
      </c>
      <c r="D177" t="str">
        <f t="shared" si="2"/>
        <v xml:space="preserve">Patrick Werner </v>
      </c>
      <c r="G177" s="464" t="s">
        <v>1510</v>
      </c>
      <c r="H177" s="465">
        <v>1</v>
      </c>
    </row>
    <row r="178" spans="1:8" x14ac:dyDescent="0.25">
      <c r="A178" t="s">
        <v>1278</v>
      </c>
      <c r="B178">
        <v>2</v>
      </c>
      <c r="D178" t="str">
        <f t="shared" si="2"/>
        <v xml:space="preserve">Percy Alfredsson </v>
      </c>
      <c r="G178" s="464" t="s">
        <v>1511</v>
      </c>
      <c r="H178" s="465">
        <v>1</v>
      </c>
    </row>
    <row r="179" spans="1:8" x14ac:dyDescent="0.25">
      <c r="A179" t="s">
        <v>1196</v>
      </c>
      <c r="B179">
        <v>2</v>
      </c>
      <c r="D179" t="str">
        <f t="shared" si="2"/>
        <v xml:space="preserve">Pere Beltran </v>
      </c>
      <c r="G179" s="464" t="s">
        <v>1512</v>
      </c>
      <c r="H179" s="465">
        <v>1</v>
      </c>
    </row>
    <row r="180" spans="1:8" x14ac:dyDescent="0.25">
      <c r="A180" t="s">
        <v>1013</v>
      </c>
      <c r="B180">
        <v>1</v>
      </c>
      <c r="D180" t="str">
        <f t="shared" si="2"/>
        <v xml:space="preserve">Rasheed Da'na </v>
      </c>
      <c r="G180" s="464" t="s">
        <v>1513</v>
      </c>
      <c r="H180" s="465">
        <v>1</v>
      </c>
    </row>
    <row r="181" spans="1:8" x14ac:dyDescent="0.25">
      <c r="A181" t="s">
        <v>1013</v>
      </c>
      <c r="B181">
        <v>4</v>
      </c>
      <c r="D181" t="str">
        <f t="shared" si="2"/>
        <v xml:space="preserve">Rasheed Da'na </v>
      </c>
      <c r="G181" s="464" t="s">
        <v>1514</v>
      </c>
      <c r="H181" s="465">
        <v>1</v>
      </c>
    </row>
    <row r="182" spans="1:8" x14ac:dyDescent="0.25">
      <c r="A182" t="s">
        <v>1003</v>
      </c>
      <c r="B182">
        <v>1</v>
      </c>
      <c r="D182" t="str">
        <f t="shared" si="2"/>
        <v xml:space="preserve">Roberto Montero </v>
      </c>
      <c r="G182" s="464" t="s">
        <v>1515</v>
      </c>
      <c r="H182" s="465">
        <v>1</v>
      </c>
    </row>
    <row r="183" spans="1:8" x14ac:dyDescent="0.25">
      <c r="A183" t="s">
        <v>1220</v>
      </c>
      <c r="B183">
        <v>2</v>
      </c>
      <c r="D183" t="str">
        <f t="shared" si="2"/>
        <v xml:space="preserve">Romain Grière </v>
      </c>
      <c r="G183" s="464" t="s">
        <v>1516</v>
      </c>
      <c r="H183" s="465">
        <v>1</v>
      </c>
    </row>
    <row r="184" spans="1:8" x14ac:dyDescent="0.25">
      <c r="A184" t="s">
        <v>992</v>
      </c>
      <c r="B184">
        <v>1</v>
      </c>
      <c r="D184" t="str">
        <f t="shared" si="2"/>
        <v xml:space="preserve">Seran Aranguren </v>
      </c>
      <c r="G184" s="464" t="s">
        <v>1517</v>
      </c>
      <c r="H184" s="465">
        <v>1</v>
      </c>
    </row>
    <row r="185" spans="1:8" x14ac:dyDescent="0.25">
      <c r="A185" t="s">
        <v>1328</v>
      </c>
      <c r="B185">
        <v>1</v>
      </c>
      <c r="D185" t="str">
        <f t="shared" si="2"/>
        <v xml:space="preserve">Serapio Castrelos </v>
      </c>
      <c r="G185" s="464" t="s">
        <v>1518</v>
      </c>
      <c r="H185" s="465">
        <v>1</v>
      </c>
    </row>
    <row r="186" spans="1:8" x14ac:dyDescent="0.25">
      <c r="A186" t="s">
        <v>1235</v>
      </c>
      <c r="B186">
        <v>2</v>
      </c>
      <c r="D186" t="str">
        <f t="shared" si="2"/>
        <v xml:space="preserve">Uday Adeeb </v>
      </c>
      <c r="G186" s="464" t="s">
        <v>1519</v>
      </c>
      <c r="H186" s="465">
        <v>1</v>
      </c>
    </row>
    <row r="187" spans="1:8" x14ac:dyDescent="0.25">
      <c r="A187" t="s">
        <v>1029</v>
      </c>
      <c r="B187">
        <v>1</v>
      </c>
      <c r="D187" t="str">
        <f t="shared" si="2"/>
        <v xml:space="preserve">Andrea Califano </v>
      </c>
      <c r="G187" s="464" t="s">
        <v>1520</v>
      </c>
      <c r="H187" s="465">
        <v>1</v>
      </c>
    </row>
    <row r="188" spans="1:8" x14ac:dyDescent="0.25">
      <c r="A188" t="s">
        <v>1068</v>
      </c>
      <c r="B188">
        <v>2</v>
      </c>
      <c r="D188" t="str">
        <f t="shared" si="2"/>
        <v xml:space="preserve">Arnold Kalckstein </v>
      </c>
      <c r="G188" s="464" t="s">
        <v>1521</v>
      </c>
      <c r="H188" s="465">
        <v>1</v>
      </c>
    </row>
    <row r="189" spans="1:8" x14ac:dyDescent="0.25">
      <c r="A189" t="s">
        <v>1077</v>
      </c>
      <c r="B189">
        <v>4</v>
      </c>
      <c r="D189" t="str">
        <f t="shared" si="2"/>
        <v xml:space="preserve">Christophe Reinhart </v>
      </c>
      <c r="G189" s="464" t="s">
        <v>1522</v>
      </c>
      <c r="H189" s="465">
        <v>1</v>
      </c>
    </row>
    <row r="190" spans="1:8" x14ac:dyDescent="0.25">
      <c r="A190" t="s">
        <v>1042</v>
      </c>
      <c r="B190">
        <v>1</v>
      </c>
      <c r="D190" t="str">
        <f t="shared" si="2"/>
        <v xml:space="preserve">Csaba Mezo </v>
      </c>
      <c r="G190" s="464" t="s">
        <v>1523</v>
      </c>
      <c r="H190" s="465">
        <v>1</v>
      </c>
    </row>
    <row r="191" spans="1:8" x14ac:dyDescent="0.25">
      <c r="A191" t="s">
        <v>943</v>
      </c>
      <c r="B191">
        <v>1</v>
      </c>
      <c r="D191" t="str">
        <f t="shared" si="2"/>
        <v xml:space="preserve">David Garcia-Spiess </v>
      </c>
      <c r="G191" s="464" t="s">
        <v>1524</v>
      </c>
      <c r="H191" s="465">
        <v>1</v>
      </c>
    </row>
    <row r="192" spans="1:8" x14ac:dyDescent="0.25">
      <c r="A192" t="s">
        <v>943</v>
      </c>
      <c r="B192">
        <v>2</v>
      </c>
      <c r="D192" t="str">
        <f t="shared" si="2"/>
        <v xml:space="preserve">David Garcia-Spiess </v>
      </c>
      <c r="G192" s="464" t="s">
        <v>1525</v>
      </c>
      <c r="H192" s="465">
        <v>1</v>
      </c>
    </row>
    <row r="193" spans="1:8" x14ac:dyDescent="0.25">
      <c r="A193" t="s">
        <v>1236</v>
      </c>
      <c r="B193">
        <v>2</v>
      </c>
      <c r="D193" t="str">
        <f t="shared" si="2"/>
        <v xml:space="preserve">David Knuff </v>
      </c>
      <c r="G193" s="464" t="s">
        <v>1526</v>
      </c>
      <c r="H193" s="465">
        <v>1</v>
      </c>
    </row>
    <row r="194" spans="1:8" x14ac:dyDescent="0.25">
      <c r="A194" t="s">
        <v>1143</v>
      </c>
      <c r="B194">
        <v>3</v>
      </c>
      <c r="D194" t="str">
        <f t="shared" si="2"/>
        <v xml:space="preserve">Dolf Fohringer </v>
      </c>
      <c r="G194" s="464" t="s">
        <v>1527</v>
      </c>
      <c r="H194" s="465">
        <v>1</v>
      </c>
    </row>
    <row r="195" spans="1:8" x14ac:dyDescent="0.25">
      <c r="A195" t="s">
        <v>1014</v>
      </c>
      <c r="B195">
        <v>1</v>
      </c>
      <c r="D195" t="str">
        <f t="shared" ref="D195:D258" si="3">MID(A195,SEARCH(" ",A195)+1,150)</f>
        <v xml:space="preserve">Eckardt Hägerling </v>
      </c>
      <c r="G195" s="464" t="s">
        <v>1528</v>
      </c>
      <c r="H195" s="465">
        <v>1</v>
      </c>
    </row>
    <row r="196" spans="1:8" x14ac:dyDescent="0.25">
      <c r="A196" t="s">
        <v>1054</v>
      </c>
      <c r="B196">
        <v>2</v>
      </c>
      <c r="D196" t="str">
        <f t="shared" si="3"/>
        <v xml:space="preserve">Emilio Mochelato </v>
      </c>
      <c r="G196" s="464" t="s">
        <v>1529</v>
      </c>
      <c r="H196" s="465">
        <v>1</v>
      </c>
    </row>
    <row r="197" spans="1:8" x14ac:dyDescent="0.25">
      <c r="A197" t="s">
        <v>1178</v>
      </c>
      <c r="B197">
        <v>2</v>
      </c>
      <c r="D197" t="str">
        <f t="shared" si="3"/>
        <v xml:space="preserve">Gino van Hoesel </v>
      </c>
      <c r="G197" s="464" t="s">
        <v>1530</v>
      </c>
      <c r="H197" s="465">
        <v>1</v>
      </c>
    </row>
    <row r="198" spans="1:8" x14ac:dyDescent="0.25">
      <c r="A198" t="s">
        <v>1255</v>
      </c>
      <c r="B198">
        <v>2</v>
      </c>
      <c r="D198" t="str">
        <f t="shared" si="3"/>
        <v xml:space="preserve">Igli Volpicelli </v>
      </c>
      <c r="G198" s="464" t="s">
        <v>1531</v>
      </c>
      <c r="H198" s="465">
        <v>1</v>
      </c>
    </row>
    <row r="199" spans="1:8" x14ac:dyDescent="0.25">
      <c r="A199" t="s">
        <v>1161</v>
      </c>
      <c r="B199">
        <v>4</v>
      </c>
      <c r="D199" t="str">
        <f t="shared" si="3"/>
        <v xml:space="preserve">Jos Pittoors </v>
      </c>
      <c r="G199" s="464" t="s">
        <v>1333</v>
      </c>
      <c r="H199" s="465"/>
    </row>
    <row r="200" spans="1:8" x14ac:dyDescent="0.25">
      <c r="A200" t="s">
        <v>1099</v>
      </c>
      <c r="B200">
        <v>4</v>
      </c>
      <c r="D200" t="str">
        <f t="shared" si="3"/>
        <v xml:space="preserve">Károly Serfel </v>
      </c>
      <c r="G200" s="466" t="s">
        <v>412</v>
      </c>
      <c r="H200" s="467">
        <v>2054</v>
      </c>
    </row>
    <row r="201" spans="1:8" x14ac:dyDescent="0.25">
      <c r="A201" t="s">
        <v>1298</v>
      </c>
      <c r="B201">
        <v>2</v>
      </c>
      <c r="D201" t="str">
        <f t="shared" si="3"/>
        <v xml:space="preserve">Lauri Piminäinen </v>
      </c>
    </row>
    <row r="202" spans="1:8" x14ac:dyDescent="0.25">
      <c r="A202" t="s">
        <v>1126</v>
      </c>
      <c r="B202">
        <v>3</v>
      </c>
      <c r="D202" t="str">
        <f t="shared" si="3"/>
        <v xml:space="preserve">Ludwik Mojescik </v>
      </c>
    </row>
    <row r="203" spans="1:8" x14ac:dyDescent="0.25">
      <c r="A203" t="s">
        <v>1126</v>
      </c>
      <c r="B203">
        <v>2</v>
      </c>
      <c r="D203" t="str">
        <f t="shared" si="3"/>
        <v xml:space="preserve">Ludwik Mojescik </v>
      </c>
    </row>
    <row r="204" spans="1:8" x14ac:dyDescent="0.25">
      <c r="A204" t="s">
        <v>1279</v>
      </c>
      <c r="B204">
        <v>1</v>
      </c>
      <c r="D204" t="str">
        <f t="shared" si="3"/>
        <v xml:space="preserve">Massimiliano Jula </v>
      </c>
    </row>
    <row r="205" spans="1:8" x14ac:dyDescent="0.25">
      <c r="A205" t="s">
        <v>1316</v>
      </c>
      <c r="B205">
        <v>1</v>
      </c>
      <c r="D205" t="str">
        <f t="shared" si="3"/>
        <v xml:space="preserve">Pieter Pelleboer </v>
      </c>
    </row>
    <row r="206" spans="1:8" x14ac:dyDescent="0.25">
      <c r="A206" t="s">
        <v>1088</v>
      </c>
      <c r="B206">
        <v>1</v>
      </c>
      <c r="D206" t="str">
        <f t="shared" si="3"/>
        <v xml:space="preserve">Raffaele Sitter </v>
      </c>
    </row>
    <row r="207" spans="1:8" x14ac:dyDescent="0.25">
      <c r="A207" t="s">
        <v>1221</v>
      </c>
      <c r="B207">
        <v>1</v>
      </c>
      <c r="D207" t="str">
        <f t="shared" si="3"/>
        <v xml:space="preserve">Steve Mckinnon </v>
      </c>
    </row>
    <row r="208" spans="1:8" x14ac:dyDescent="0.25">
      <c r="A208" t="s">
        <v>1211</v>
      </c>
      <c r="B208">
        <v>1</v>
      </c>
      <c r="D208" t="str">
        <f t="shared" si="3"/>
        <v xml:space="preserve">Tomasz Artymiuk </v>
      </c>
    </row>
    <row r="209" spans="1:4" x14ac:dyDescent="0.25">
      <c r="A209" t="s">
        <v>1317</v>
      </c>
      <c r="B209">
        <v>1</v>
      </c>
      <c r="D209" t="str">
        <f t="shared" si="3"/>
        <v xml:space="preserve">? (Pan) ?? (Yuandong) </v>
      </c>
    </row>
    <row r="210" spans="1:4" x14ac:dyDescent="0.25">
      <c r="A210" t="s">
        <v>1237</v>
      </c>
      <c r="B210">
        <v>1</v>
      </c>
      <c r="D210" t="str">
        <f t="shared" si="3"/>
        <v xml:space="preserve">Aamos Vara </v>
      </c>
    </row>
    <row r="211" spans="1:4" x14ac:dyDescent="0.25">
      <c r="A211" t="s">
        <v>1100</v>
      </c>
      <c r="B211">
        <v>3</v>
      </c>
      <c r="D211" t="str">
        <f t="shared" si="3"/>
        <v xml:space="preserve">Arjo Olthuis </v>
      </c>
    </row>
    <row r="212" spans="1:4" x14ac:dyDescent="0.25">
      <c r="A212" t="s">
        <v>1069</v>
      </c>
      <c r="B212">
        <v>1</v>
      </c>
      <c r="D212" t="str">
        <f t="shared" si="3"/>
        <v xml:space="preserve">Christophe Reinhart </v>
      </c>
    </row>
    <row r="213" spans="1:4" x14ac:dyDescent="0.25">
      <c r="A213" t="s">
        <v>1069</v>
      </c>
      <c r="B213">
        <v>1</v>
      </c>
      <c r="D213" t="str">
        <f t="shared" si="3"/>
        <v xml:space="preserve">Christophe Reinhart </v>
      </c>
    </row>
    <row r="214" spans="1:4" x14ac:dyDescent="0.25">
      <c r="A214" t="s">
        <v>984</v>
      </c>
      <c r="B214">
        <v>2</v>
      </c>
      <c r="D214" t="str">
        <f t="shared" si="3"/>
        <v xml:space="preserve">Cornel Caraba </v>
      </c>
    </row>
    <row r="215" spans="1:4" x14ac:dyDescent="0.25">
      <c r="A215" t="s">
        <v>1043</v>
      </c>
      <c r="B215">
        <v>1</v>
      </c>
      <c r="D215" t="str">
        <f t="shared" si="3"/>
        <v xml:space="preserve">Emilio Mochelato </v>
      </c>
    </row>
    <row r="216" spans="1:4" x14ac:dyDescent="0.25">
      <c r="A216" t="s">
        <v>1212</v>
      </c>
      <c r="B216">
        <v>1</v>
      </c>
      <c r="D216" t="str">
        <f t="shared" si="3"/>
        <v xml:space="preserve">Fere Pulido </v>
      </c>
    </row>
    <row r="217" spans="1:4" x14ac:dyDescent="0.25">
      <c r="A217" t="s">
        <v>1015</v>
      </c>
      <c r="B217">
        <v>1</v>
      </c>
      <c r="D217" t="str">
        <f t="shared" si="3"/>
        <v xml:space="preserve">Fernando Gazón </v>
      </c>
    </row>
    <row r="218" spans="1:4" x14ac:dyDescent="0.25">
      <c r="A218" t="s">
        <v>1144</v>
      </c>
      <c r="B218">
        <v>3</v>
      </c>
      <c r="D218" t="str">
        <f t="shared" si="3"/>
        <v xml:space="preserve">Gino van Hoesel </v>
      </c>
    </row>
    <row r="219" spans="1:4" x14ac:dyDescent="0.25">
      <c r="A219" t="s">
        <v>1078</v>
      </c>
      <c r="B219">
        <v>3</v>
      </c>
      <c r="D219" t="str">
        <f t="shared" si="3"/>
        <v xml:space="preserve">Horacy Dzienis </v>
      </c>
    </row>
    <row r="220" spans="1:4" x14ac:dyDescent="0.25">
      <c r="A220" t="s">
        <v>1299</v>
      </c>
      <c r="B220">
        <v>2</v>
      </c>
      <c r="D220" t="str">
        <f t="shared" si="3"/>
        <v xml:space="preserve">Jacobo Ferrueros </v>
      </c>
    </row>
    <row r="221" spans="1:4" x14ac:dyDescent="0.25">
      <c r="A221" t="s">
        <v>1179</v>
      </c>
      <c r="B221">
        <v>2</v>
      </c>
      <c r="D221" t="str">
        <f t="shared" si="3"/>
        <v xml:space="preserve">Jos Pittoors </v>
      </c>
    </row>
    <row r="222" spans="1:4" x14ac:dyDescent="0.25">
      <c r="A222" t="s">
        <v>1030</v>
      </c>
      <c r="B222">
        <v>1</v>
      </c>
      <c r="D222" t="str">
        <f t="shared" si="3"/>
        <v xml:space="preserve">Mario Omarini </v>
      </c>
    </row>
    <row r="223" spans="1:4" x14ac:dyDescent="0.25">
      <c r="A223" t="s">
        <v>1256</v>
      </c>
      <c r="B223">
        <v>2</v>
      </c>
      <c r="D223" t="str">
        <f t="shared" si="3"/>
        <v xml:space="preserve">Matteo Omacini </v>
      </c>
    </row>
    <row r="224" spans="1:4" x14ac:dyDescent="0.25">
      <c r="A224" t="s">
        <v>1256</v>
      </c>
      <c r="B224">
        <v>1</v>
      </c>
      <c r="D224" t="str">
        <f t="shared" si="3"/>
        <v xml:space="preserve">Matteo Omacini </v>
      </c>
    </row>
    <row r="225" spans="1:4" x14ac:dyDescent="0.25">
      <c r="A225" t="s">
        <v>976</v>
      </c>
      <c r="B225">
        <v>1</v>
      </c>
      <c r="D225" t="str">
        <f t="shared" si="3"/>
        <v xml:space="preserve">Miguel Fernández </v>
      </c>
    </row>
    <row r="226" spans="1:4" x14ac:dyDescent="0.25">
      <c r="A226" t="s">
        <v>1162</v>
      </c>
      <c r="B226">
        <v>4</v>
      </c>
      <c r="D226" t="str">
        <f t="shared" si="3"/>
        <v xml:space="preserve">Nikolay Gerasimenko </v>
      </c>
    </row>
    <row r="227" spans="1:4" x14ac:dyDescent="0.25">
      <c r="A227" t="s">
        <v>1197</v>
      </c>
      <c r="B227">
        <v>1</v>
      </c>
      <c r="D227" t="str">
        <f t="shared" si="3"/>
        <v xml:space="preserve">Pasqual Vilar </v>
      </c>
    </row>
    <row r="228" spans="1:4" x14ac:dyDescent="0.25">
      <c r="A228" t="s">
        <v>1222</v>
      </c>
      <c r="B228">
        <v>1</v>
      </c>
      <c r="D228" t="str">
        <f t="shared" si="3"/>
        <v xml:space="preserve">Pau Redondo </v>
      </c>
    </row>
    <row r="229" spans="1:4" x14ac:dyDescent="0.25">
      <c r="A229" t="s">
        <v>1127</v>
      </c>
      <c r="B229">
        <v>2</v>
      </c>
      <c r="D229" t="str">
        <f t="shared" si="3"/>
        <v xml:space="preserve">Pere Beltran </v>
      </c>
    </row>
    <row r="230" spans="1:4" x14ac:dyDescent="0.25">
      <c r="A230" t="s">
        <v>1055</v>
      </c>
      <c r="B230">
        <v>2</v>
      </c>
      <c r="D230" t="str">
        <f t="shared" si="3"/>
        <v xml:space="preserve">Raffaele Sitter </v>
      </c>
    </row>
    <row r="231" spans="1:4" x14ac:dyDescent="0.25">
      <c r="A231" t="s">
        <v>934</v>
      </c>
      <c r="B231">
        <v>1</v>
      </c>
      <c r="D231" t="str">
        <f t="shared" si="3"/>
        <v xml:space="preserve">Ryan Clarke </v>
      </c>
    </row>
    <row r="232" spans="1:4" x14ac:dyDescent="0.25">
      <c r="A232" t="s">
        <v>994</v>
      </c>
      <c r="B232">
        <v>1</v>
      </c>
      <c r="D232" t="str">
        <f t="shared" si="3"/>
        <v xml:space="preserve">Xofre Taín </v>
      </c>
    </row>
    <row r="233" spans="1:4" x14ac:dyDescent="0.25">
      <c r="A233" t="s">
        <v>1300</v>
      </c>
      <c r="B233">
        <v>2</v>
      </c>
      <c r="D233" t="str">
        <f t="shared" si="3"/>
        <v xml:space="preserve">Arkadiusz Dembek </v>
      </c>
    </row>
    <row r="234" spans="1:4" x14ac:dyDescent="0.25">
      <c r="A234" t="s">
        <v>1223</v>
      </c>
      <c r="B234">
        <v>1</v>
      </c>
      <c r="D234" t="str">
        <f t="shared" si="3"/>
        <v xml:space="preserve">Ellák Deák </v>
      </c>
    </row>
    <row r="235" spans="1:4" x14ac:dyDescent="0.25">
      <c r="A235" t="s">
        <v>1089</v>
      </c>
      <c r="B235">
        <v>1</v>
      </c>
      <c r="D235" t="str">
        <f t="shared" si="3"/>
        <v xml:space="preserve">Gianfranco Rezza </v>
      </c>
    </row>
    <row r="236" spans="1:4" x14ac:dyDescent="0.25">
      <c r="A236" t="s">
        <v>1101</v>
      </c>
      <c r="B236">
        <v>3</v>
      </c>
      <c r="D236" t="str">
        <f t="shared" si="3"/>
        <v xml:space="preserve">Lech Sipinski </v>
      </c>
    </row>
    <row r="237" spans="1:4" x14ac:dyDescent="0.25">
      <c r="A237" t="s">
        <v>1031</v>
      </c>
      <c r="B237">
        <v>1</v>
      </c>
      <c r="D237" t="str">
        <f t="shared" si="3"/>
        <v xml:space="preserve">Mateusz Brzostowski </v>
      </c>
    </row>
    <row r="238" spans="1:4" x14ac:dyDescent="0.25">
      <c r="A238" t="s">
        <v>1280</v>
      </c>
      <c r="B238">
        <v>1</v>
      </c>
      <c r="D238" t="str">
        <f t="shared" si="3"/>
        <v xml:space="preserve">Melcior Calmet </v>
      </c>
    </row>
    <row r="239" spans="1:4" x14ac:dyDescent="0.25">
      <c r="A239" t="s">
        <v>963</v>
      </c>
      <c r="B239">
        <v>1</v>
      </c>
      <c r="D239" t="str">
        <f t="shared" si="3"/>
        <v xml:space="preserve">Miklós Gábriel </v>
      </c>
    </row>
    <row r="240" spans="1:4" x14ac:dyDescent="0.25">
      <c r="A240" t="s">
        <v>1238</v>
      </c>
      <c r="B240">
        <v>1</v>
      </c>
      <c r="D240" t="str">
        <f t="shared" si="3"/>
        <v xml:space="preserve">Pere Beltran </v>
      </c>
    </row>
    <row r="241" spans="1:4" x14ac:dyDescent="0.25">
      <c r="A241" t="s">
        <v>1079</v>
      </c>
      <c r="B241">
        <v>3</v>
      </c>
      <c r="D241" t="str">
        <f t="shared" si="3"/>
        <v xml:space="preserve">Raffaele Sitter </v>
      </c>
    </row>
    <row r="242" spans="1:4" x14ac:dyDescent="0.25">
      <c r="A242" t="s">
        <v>1145</v>
      </c>
      <c r="B242">
        <v>3</v>
      </c>
      <c r="D242" t="str">
        <f t="shared" si="3"/>
        <v xml:space="preserve">Ragip Övgü </v>
      </c>
    </row>
    <row r="243" spans="1:4" x14ac:dyDescent="0.25">
      <c r="A243" t="s">
        <v>1145</v>
      </c>
      <c r="B243">
        <v>2</v>
      </c>
      <c r="D243" t="str">
        <f t="shared" si="3"/>
        <v xml:space="preserve">Ragip Övgü </v>
      </c>
    </row>
    <row r="244" spans="1:4" x14ac:dyDescent="0.25">
      <c r="A244" t="s">
        <v>1163</v>
      </c>
      <c r="B244">
        <v>3</v>
      </c>
      <c r="D244" t="str">
        <f t="shared" si="3"/>
        <v xml:space="preserve">Ricardo Esquerdo </v>
      </c>
    </row>
    <row r="245" spans="1:4" x14ac:dyDescent="0.25">
      <c r="A245" t="s">
        <v>1056</v>
      </c>
      <c r="B245">
        <v>1</v>
      </c>
      <c r="D245" t="str">
        <f t="shared" si="3"/>
        <v xml:space="preserve">Sansão Trindade Oliveira </v>
      </c>
    </row>
    <row r="246" spans="1:4" x14ac:dyDescent="0.25">
      <c r="A246" t="s">
        <v>1056</v>
      </c>
      <c r="B246">
        <v>1</v>
      </c>
      <c r="D246" t="str">
        <f t="shared" si="3"/>
        <v xml:space="preserve">Sansão Trindade Oliveira </v>
      </c>
    </row>
    <row r="247" spans="1:4" x14ac:dyDescent="0.25">
      <c r="A247" t="s">
        <v>1257</v>
      </c>
      <c r="B247">
        <v>2</v>
      </c>
      <c r="D247" t="str">
        <f t="shared" si="3"/>
        <v xml:space="preserve">Sascha Gilch </v>
      </c>
    </row>
    <row r="248" spans="1:4" x14ac:dyDescent="0.25">
      <c r="A248" t="s">
        <v>1128</v>
      </c>
      <c r="B248">
        <v>2</v>
      </c>
      <c r="D248" t="str">
        <f t="shared" si="3"/>
        <v xml:space="preserve">Stefano Spanu </v>
      </c>
    </row>
    <row r="249" spans="1:4" x14ac:dyDescent="0.25">
      <c r="A249" t="s">
        <v>1198</v>
      </c>
      <c r="B249">
        <v>1</v>
      </c>
      <c r="D249" t="str">
        <f t="shared" si="3"/>
        <v xml:space="preserve">Vincent Gautsch </v>
      </c>
    </row>
    <row r="250" spans="1:4" x14ac:dyDescent="0.25">
      <c r="A250" t="s">
        <v>1199</v>
      </c>
      <c r="B250">
        <v>1</v>
      </c>
      <c r="D250" t="str">
        <f t="shared" si="3"/>
        <v xml:space="preserve">Andrea Chiu </v>
      </c>
    </row>
    <row r="251" spans="1:4" x14ac:dyDescent="0.25">
      <c r="A251" t="s">
        <v>1224</v>
      </c>
      <c r="B251">
        <v>1</v>
      </c>
      <c r="D251" t="str">
        <f t="shared" si="3"/>
        <v xml:space="preserve">Carlos Ipinza </v>
      </c>
    </row>
    <row r="252" spans="1:4" x14ac:dyDescent="0.25">
      <c r="A252" t="s">
        <v>1057</v>
      </c>
      <c r="B252">
        <v>1</v>
      </c>
      <c r="D252" t="str">
        <f t="shared" si="3"/>
        <v xml:space="preserve">Csaba Mezo </v>
      </c>
    </row>
    <row r="253" spans="1:4" x14ac:dyDescent="0.25">
      <c r="A253" t="s">
        <v>1301</v>
      </c>
      <c r="B253">
        <v>1</v>
      </c>
      <c r="D253" t="str">
        <f t="shared" si="3"/>
        <v xml:space="preserve">Dan Lindgren </v>
      </c>
    </row>
    <row r="254" spans="1:4" x14ac:dyDescent="0.25">
      <c r="A254" t="s">
        <v>964</v>
      </c>
      <c r="B254">
        <v>1</v>
      </c>
      <c r="D254" t="str">
        <f t="shared" si="3"/>
        <v xml:space="preserve">Fernando Gazón </v>
      </c>
    </row>
    <row r="255" spans="1:4" x14ac:dyDescent="0.25">
      <c r="A255" t="s">
        <v>1239</v>
      </c>
      <c r="B255">
        <v>1</v>
      </c>
      <c r="D255" t="str">
        <f t="shared" si="3"/>
        <v xml:space="preserve">Francesc Giró </v>
      </c>
    </row>
    <row r="256" spans="1:4" x14ac:dyDescent="0.25">
      <c r="A256" t="s">
        <v>1090</v>
      </c>
      <c r="B256">
        <v>1</v>
      </c>
      <c r="D256" t="str">
        <f t="shared" si="3"/>
        <v xml:space="preserve">Hjalte Egede </v>
      </c>
    </row>
    <row r="257" spans="1:4" x14ac:dyDescent="0.25">
      <c r="A257" t="s">
        <v>1129</v>
      </c>
      <c r="B257">
        <v>2</v>
      </c>
      <c r="D257" t="str">
        <f t="shared" si="3"/>
        <v xml:space="preserve">Jos Pittoors </v>
      </c>
    </row>
    <row r="258" spans="1:4" x14ac:dyDescent="0.25">
      <c r="A258" t="s">
        <v>925</v>
      </c>
      <c r="B258">
        <v>1</v>
      </c>
      <c r="D258" t="str">
        <f t="shared" si="3"/>
        <v xml:space="preserve">Miguel Fernández </v>
      </c>
    </row>
    <row r="259" spans="1:4" x14ac:dyDescent="0.25">
      <c r="A259" t="s">
        <v>1146</v>
      </c>
      <c r="B259">
        <v>2</v>
      </c>
      <c r="D259" t="str">
        <f t="shared" ref="D259:D322" si="4">MID(A259,SEARCH(" ",A259)+1,150)</f>
        <v xml:space="preserve">Pasqual Vilar </v>
      </c>
    </row>
    <row r="260" spans="1:4" x14ac:dyDescent="0.25">
      <c r="A260" t="s">
        <v>1146</v>
      </c>
      <c r="B260">
        <v>2</v>
      </c>
      <c r="D260" t="str">
        <f t="shared" si="4"/>
        <v xml:space="preserve">Pasqual Vilar </v>
      </c>
    </row>
    <row r="261" spans="1:4" x14ac:dyDescent="0.25">
      <c r="A261" t="s">
        <v>1164</v>
      </c>
      <c r="B261">
        <v>2</v>
      </c>
      <c r="D261" t="str">
        <f t="shared" si="4"/>
        <v xml:space="preserve">Pere Beltran </v>
      </c>
    </row>
    <row r="262" spans="1:4" x14ac:dyDescent="0.25">
      <c r="A262" t="s">
        <v>1017</v>
      </c>
      <c r="B262">
        <v>1</v>
      </c>
      <c r="D262" t="str">
        <f t="shared" si="4"/>
        <v xml:space="preserve">Roberto Montero </v>
      </c>
    </row>
    <row r="263" spans="1:4" x14ac:dyDescent="0.25">
      <c r="A263" t="s">
        <v>1102</v>
      </c>
      <c r="B263">
        <v>3</v>
      </c>
      <c r="D263" t="str">
        <f t="shared" si="4"/>
        <v xml:space="preserve">Tristan Voet </v>
      </c>
    </row>
    <row r="264" spans="1:4" x14ac:dyDescent="0.25">
      <c r="A264" t="s">
        <v>1258</v>
      </c>
      <c r="B264">
        <v>2</v>
      </c>
      <c r="D264" t="str">
        <f t="shared" si="4"/>
        <v xml:space="preserve">Uday Adeeb </v>
      </c>
    </row>
    <row r="265" spans="1:4" x14ac:dyDescent="0.25">
      <c r="A265" t="s">
        <v>1281</v>
      </c>
      <c r="B265">
        <v>1</v>
      </c>
      <c r="D265" t="str">
        <f t="shared" si="4"/>
        <v xml:space="preserve">Zsolt Novák </v>
      </c>
    </row>
    <row r="266" spans="1:4" x14ac:dyDescent="0.25">
      <c r="A266" t="s">
        <v>1130</v>
      </c>
      <c r="B266">
        <v>1</v>
      </c>
      <c r="D266" t="str">
        <f t="shared" si="4"/>
        <v xml:space="preserve">Adamantios Fikias </v>
      </c>
    </row>
    <row r="267" spans="1:4" x14ac:dyDescent="0.25">
      <c r="A267" t="s">
        <v>1130</v>
      </c>
      <c r="B267">
        <v>1</v>
      </c>
      <c r="D267" t="str">
        <f t="shared" si="4"/>
        <v xml:space="preserve">Adamantios Fikias </v>
      </c>
    </row>
    <row r="268" spans="1:4" x14ac:dyDescent="0.25">
      <c r="A268" t="s">
        <v>1200</v>
      </c>
      <c r="B268">
        <v>1</v>
      </c>
      <c r="D268" t="str">
        <f t="shared" si="4"/>
        <v xml:space="preserve">Andrija Miškovic </v>
      </c>
    </row>
    <row r="269" spans="1:4" x14ac:dyDescent="0.25">
      <c r="A269" t="s">
        <v>1282</v>
      </c>
      <c r="B269">
        <v>1</v>
      </c>
      <c r="D269" t="str">
        <f t="shared" si="4"/>
        <v xml:space="preserve">Dan Veneau </v>
      </c>
    </row>
    <row r="270" spans="1:4" x14ac:dyDescent="0.25">
      <c r="A270" t="s">
        <v>1240</v>
      </c>
      <c r="B270">
        <v>1</v>
      </c>
      <c r="D270" t="str">
        <f t="shared" si="4"/>
        <v xml:space="preserve">Gastone Cianelli </v>
      </c>
    </row>
    <row r="271" spans="1:4" x14ac:dyDescent="0.25">
      <c r="A271" t="s">
        <v>1091</v>
      </c>
      <c r="B271">
        <v>1</v>
      </c>
      <c r="D271" t="str">
        <f t="shared" si="4"/>
        <v xml:space="preserve">Horacy Dzienis </v>
      </c>
    </row>
    <row r="272" spans="1:4" x14ac:dyDescent="0.25">
      <c r="A272" t="s">
        <v>1165</v>
      </c>
      <c r="B272">
        <v>2</v>
      </c>
      <c r="D272" t="str">
        <f t="shared" si="4"/>
        <v xml:space="preserve">Joãozinho do Mato </v>
      </c>
    </row>
    <row r="273" spans="1:4" x14ac:dyDescent="0.25">
      <c r="A273" t="s">
        <v>1180</v>
      </c>
      <c r="B273">
        <v>1</v>
      </c>
      <c r="D273" t="str">
        <f t="shared" si="4"/>
        <v xml:space="preserve">José Luis Valdés Saavedra </v>
      </c>
    </row>
    <row r="274" spans="1:4" x14ac:dyDescent="0.25">
      <c r="A274" t="s">
        <v>1302</v>
      </c>
      <c r="B274">
        <v>1</v>
      </c>
      <c r="D274" t="str">
        <f t="shared" si="4"/>
        <v xml:space="preserve">Ludovic Gygax </v>
      </c>
    </row>
    <row r="275" spans="1:4" x14ac:dyDescent="0.25">
      <c r="A275" t="s">
        <v>1147</v>
      </c>
      <c r="B275">
        <v>2</v>
      </c>
      <c r="D275" t="str">
        <f t="shared" si="4"/>
        <v xml:space="preserve">Ludwik Mojescik </v>
      </c>
    </row>
    <row r="276" spans="1:4" x14ac:dyDescent="0.25">
      <c r="A276" t="s">
        <v>1103</v>
      </c>
      <c r="B276">
        <v>2</v>
      </c>
      <c r="D276" t="str">
        <f t="shared" si="4"/>
        <v xml:space="preserve">Martijn Collinet </v>
      </c>
    </row>
    <row r="277" spans="1:4" x14ac:dyDescent="0.25">
      <c r="A277" t="s">
        <v>1259</v>
      </c>
      <c r="B277">
        <v>2</v>
      </c>
      <c r="D277" t="str">
        <f t="shared" si="4"/>
        <v xml:space="preserve">Ulf Schenkel </v>
      </c>
    </row>
    <row r="278" spans="1:4" x14ac:dyDescent="0.25">
      <c r="A278" t="s">
        <v>1225</v>
      </c>
      <c r="B278">
        <v>1</v>
      </c>
      <c r="D278" t="str">
        <f t="shared" si="4"/>
        <v xml:space="preserve">Andres Kalvet </v>
      </c>
    </row>
    <row r="279" spans="1:4" x14ac:dyDescent="0.25">
      <c r="A279" t="s">
        <v>1166</v>
      </c>
      <c r="B279">
        <v>1</v>
      </c>
      <c r="D279" t="str">
        <f t="shared" si="4"/>
        <v xml:space="preserve">Catalin Corobea </v>
      </c>
    </row>
    <row r="280" spans="1:4" x14ac:dyDescent="0.25">
      <c r="A280" t="s">
        <v>1131</v>
      </c>
      <c r="B280">
        <v>1</v>
      </c>
      <c r="D280" t="str">
        <f t="shared" si="4"/>
        <v xml:space="preserve">Dimitris Prokos </v>
      </c>
    </row>
    <row r="281" spans="1:4" x14ac:dyDescent="0.25">
      <c r="A281" t="s">
        <v>1283</v>
      </c>
      <c r="B281">
        <v>1</v>
      </c>
      <c r="D281" t="str">
        <f t="shared" si="4"/>
        <v xml:space="preserve">Ellák Deák </v>
      </c>
    </row>
    <row r="282" spans="1:4" x14ac:dyDescent="0.25">
      <c r="A282" t="s">
        <v>1104</v>
      </c>
      <c r="B282">
        <v>1</v>
      </c>
      <c r="D282" t="str">
        <f t="shared" si="4"/>
        <v xml:space="preserve">Fernando Juárez Sierra </v>
      </c>
    </row>
    <row r="283" spans="1:4" x14ac:dyDescent="0.25">
      <c r="A283" t="s">
        <v>1241</v>
      </c>
      <c r="B283">
        <v>1</v>
      </c>
      <c r="D283" t="str">
        <f t="shared" si="4"/>
        <v xml:space="preserve">Iacob Sarpe </v>
      </c>
    </row>
    <row r="284" spans="1:4" x14ac:dyDescent="0.25">
      <c r="A284" t="s">
        <v>1303</v>
      </c>
      <c r="B284">
        <v>1</v>
      </c>
      <c r="D284" t="str">
        <f t="shared" si="4"/>
        <v xml:space="preserve">Krzysztof Buras </v>
      </c>
    </row>
    <row r="285" spans="1:4" x14ac:dyDescent="0.25">
      <c r="A285" t="s">
        <v>1181</v>
      </c>
      <c r="B285">
        <v>1</v>
      </c>
      <c r="D285" t="str">
        <f t="shared" si="4"/>
        <v xml:space="preserve">Morgan Gomes </v>
      </c>
    </row>
    <row r="286" spans="1:4" x14ac:dyDescent="0.25">
      <c r="A286" t="s">
        <v>1148</v>
      </c>
      <c r="B286">
        <v>2</v>
      </c>
      <c r="D286" t="str">
        <f t="shared" si="4"/>
        <v xml:space="preserve">Nicolai Stentoft </v>
      </c>
    </row>
    <row r="287" spans="1:4" x14ac:dyDescent="0.25">
      <c r="A287" t="s">
        <v>1260</v>
      </c>
      <c r="B287">
        <v>1</v>
      </c>
      <c r="D287" t="str">
        <f t="shared" si="4"/>
        <v xml:space="preserve">Zsolt Novák </v>
      </c>
    </row>
    <row r="288" spans="1:4" x14ac:dyDescent="0.25">
      <c r="A288" t="s">
        <v>1242</v>
      </c>
      <c r="B288">
        <v>1</v>
      </c>
      <c r="D288" t="str">
        <f t="shared" si="4"/>
        <v xml:space="preserve">Carlos Ipinza </v>
      </c>
    </row>
    <row r="289" spans="1:4" x14ac:dyDescent="0.25">
      <c r="A289" t="s">
        <v>1132</v>
      </c>
      <c r="B289">
        <v>1</v>
      </c>
      <c r="D289" t="str">
        <f t="shared" si="4"/>
        <v xml:space="preserve">Dolf Fohringer </v>
      </c>
    </row>
    <row r="290" spans="1:4" x14ac:dyDescent="0.25">
      <c r="A290" t="s">
        <v>1284</v>
      </c>
      <c r="B290">
        <v>1</v>
      </c>
      <c r="D290" t="str">
        <f t="shared" si="4"/>
        <v xml:space="preserve">Finlay MacGrory </v>
      </c>
    </row>
    <row r="291" spans="1:4" x14ac:dyDescent="0.25">
      <c r="A291" t="s">
        <v>1304</v>
      </c>
      <c r="B291">
        <v>1</v>
      </c>
      <c r="D291" t="str">
        <f t="shared" si="4"/>
        <v xml:space="preserve">Marcin Lulewicz </v>
      </c>
    </row>
    <row r="292" spans="1:4" x14ac:dyDescent="0.25">
      <c r="A292" t="s">
        <v>1182</v>
      </c>
      <c r="B292">
        <v>1</v>
      </c>
      <c r="D292" t="str">
        <f t="shared" si="4"/>
        <v xml:space="preserve">Nicolau Caraduxe </v>
      </c>
    </row>
    <row r="293" spans="1:4" x14ac:dyDescent="0.25">
      <c r="A293" t="s">
        <v>1261</v>
      </c>
      <c r="B293">
        <v>1</v>
      </c>
      <c r="D293" t="str">
        <f t="shared" si="4"/>
        <v xml:space="preserve">Pau Redondo </v>
      </c>
    </row>
    <row r="294" spans="1:4" x14ac:dyDescent="0.25">
      <c r="A294" t="s">
        <v>1149</v>
      </c>
      <c r="B294">
        <v>1</v>
      </c>
      <c r="D294" t="str">
        <f t="shared" si="4"/>
        <v xml:space="preserve">Stefano Spanu </v>
      </c>
    </row>
    <row r="295" spans="1:4" x14ac:dyDescent="0.25">
      <c r="A295" t="s">
        <v>1243</v>
      </c>
      <c r="B295">
        <v>1</v>
      </c>
      <c r="D295" t="str">
        <f t="shared" si="4"/>
        <v xml:space="preserve">Christophe Méjean </v>
      </c>
    </row>
    <row r="296" spans="1:4" x14ac:dyDescent="0.25">
      <c r="A296" t="s">
        <v>1183</v>
      </c>
      <c r="B296">
        <v>1</v>
      </c>
      <c r="D296" t="str">
        <f t="shared" si="4"/>
        <v xml:space="preserve">Fere Pulido </v>
      </c>
    </row>
    <row r="297" spans="1:4" x14ac:dyDescent="0.25">
      <c r="A297" t="s">
        <v>1285</v>
      </c>
      <c r="B297">
        <v>1</v>
      </c>
      <c r="D297" t="str">
        <f t="shared" si="4"/>
        <v xml:space="preserve">Gawel Nanowski </v>
      </c>
    </row>
    <row r="298" spans="1:4" x14ac:dyDescent="0.25">
      <c r="A298" t="s">
        <v>1262</v>
      </c>
      <c r="B298">
        <v>1</v>
      </c>
      <c r="D298" t="str">
        <f t="shared" si="4"/>
        <v xml:space="preserve">Jacobo Ferrueros </v>
      </c>
    </row>
    <row r="299" spans="1:4" x14ac:dyDescent="0.25">
      <c r="A299" t="s">
        <v>1032</v>
      </c>
      <c r="B299">
        <v>9</v>
      </c>
      <c r="D299" t="str">
        <f t="shared" si="4"/>
        <v xml:space="preserve">Adam Moss </v>
      </c>
    </row>
    <row r="300" spans="1:4" x14ac:dyDescent="0.25">
      <c r="A300" t="s">
        <v>1168</v>
      </c>
      <c r="B300">
        <v>8</v>
      </c>
      <c r="D300" t="str">
        <f t="shared" si="4"/>
        <v xml:space="preserve">Adamantios Fikias </v>
      </c>
    </row>
    <row r="301" spans="1:4" x14ac:dyDescent="0.25">
      <c r="A301" t="s">
        <v>1246</v>
      </c>
      <c r="B301">
        <v>6</v>
      </c>
      <c r="D301" t="str">
        <f t="shared" si="4"/>
        <v xml:space="preserve">Alex Txantre </v>
      </c>
    </row>
    <row r="302" spans="1:4" x14ac:dyDescent="0.25">
      <c r="A302" t="s">
        <v>1116</v>
      </c>
      <c r="B302">
        <v>10</v>
      </c>
      <c r="D302" t="str">
        <f t="shared" si="4"/>
        <v xml:space="preserve">Andrin Bärtsch </v>
      </c>
    </row>
    <row r="303" spans="1:4" x14ac:dyDescent="0.25">
      <c r="A303" t="s">
        <v>1202</v>
      </c>
      <c r="B303">
        <v>5</v>
      </c>
      <c r="D303" t="str">
        <f t="shared" si="4"/>
        <v xml:space="preserve">Brunon Chuda </v>
      </c>
    </row>
    <row r="304" spans="1:4" x14ac:dyDescent="0.25">
      <c r="A304" t="s">
        <v>1226</v>
      </c>
      <c r="B304">
        <v>7</v>
      </c>
      <c r="D304" t="str">
        <f t="shared" si="4"/>
        <v xml:space="preserve">Co Wolbers </v>
      </c>
    </row>
    <row r="305" spans="1:4" x14ac:dyDescent="0.25">
      <c r="A305" t="s">
        <v>1134</v>
      </c>
      <c r="B305">
        <v>10</v>
      </c>
      <c r="D305" t="str">
        <f t="shared" si="4"/>
        <v xml:space="preserve">Cornel Boicea </v>
      </c>
    </row>
    <row r="306" spans="1:4" x14ac:dyDescent="0.25">
      <c r="A306" t="s">
        <v>956</v>
      </c>
      <c r="B306">
        <v>15</v>
      </c>
      <c r="D306" t="str">
        <f t="shared" si="4"/>
        <v xml:space="preserve">David Garcia-Spiess </v>
      </c>
    </row>
    <row r="307" spans="1:4" x14ac:dyDescent="0.25">
      <c r="A307" t="s">
        <v>1019</v>
      </c>
      <c r="B307">
        <v>7</v>
      </c>
      <c r="D307" t="str">
        <f t="shared" si="4"/>
        <v xml:space="preserve">Gianfranco Rezza </v>
      </c>
    </row>
    <row r="308" spans="1:4" x14ac:dyDescent="0.25">
      <c r="A308" t="s">
        <v>1106</v>
      </c>
      <c r="B308">
        <v>2</v>
      </c>
      <c r="D308" t="str">
        <f t="shared" si="4"/>
        <v xml:space="preserve">Joãozinho do Mato </v>
      </c>
    </row>
    <row r="309" spans="1:4" x14ac:dyDescent="0.25">
      <c r="A309" t="s">
        <v>1187</v>
      </c>
      <c r="B309">
        <v>6</v>
      </c>
      <c r="D309" t="str">
        <f t="shared" si="4"/>
        <v xml:space="preserve">John Chung </v>
      </c>
    </row>
    <row r="310" spans="1:4" x14ac:dyDescent="0.25">
      <c r="A310" t="s">
        <v>1071</v>
      </c>
      <c r="B310">
        <v>16</v>
      </c>
      <c r="D310" t="str">
        <f t="shared" si="4"/>
        <v xml:space="preserve">Kendor Nagiturri </v>
      </c>
    </row>
    <row r="311" spans="1:4" x14ac:dyDescent="0.25">
      <c r="A311" t="s">
        <v>1071</v>
      </c>
      <c r="B311">
        <v>8</v>
      </c>
      <c r="D311" t="str">
        <f t="shared" si="4"/>
        <v xml:space="preserve">Kendor Nagiturri </v>
      </c>
    </row>
    <row r="312" spans="1:4" x14ac:dyDescent="0.25">
      <c r="A312" t="s">
        <v>946</v>
      </c>
      <c r="B312">
        <v>7</v>
      </c>
      <c r="D312" t="str">
        <f t="shared" si="4"/>
        <v xml:space="preserve">Leo Hilpinen </v>
      </c>
    </row>
    <row r="313" spans="1:4" x14ac:dyDescent="0.25">
      <c r="A313" t="s">
        <v>1288</v>
      </c>
      <c r="B313">
        <v>7</v>
      </c>
      <c r="D313" t="str">
        <f t="shared" si="4"/>
        <v xml:space="preserve">Manolo Negrín </v>
      </c>
    </row>
    <row r="314" spans="1:4" x14ac:dyDescent="0.25">
      <c r="A314" t="s">
        <v>1319</v>
      </c>
      <c r="B314">
        <v>4</v>
      </c>
      <c r="D314" t="str">
        <f t="shared" si="4"/>
        <v xml:space="preserve">Mattia Sambri </v>
      </c>
    </row>
    <row r="315" spans="1:4" x14ac:dyDescent="0.25">
      <c r="A315" t="s">
        <v>1306</v>
      </c>
      <c r="B315">
        <v>6</v>
      </c>
      <c r="D315" t="str">
        <f t="shared" si="4"/>
        <v xml:space="preserve">Melcior Calmet </v>
      </c>
    </row>
    <row r="316" spans="1:4" x14ac:dyDescent="0.25">
      <c r="A316" t="s">
        <v>1151</v>
      </c>
      <c r="B316">
        <v>9</v>
      </c>
      <c r="D316" t="str">
        <f t="shared" si="4"/>
        <v xml:space="preserve">Nicolau Caraduxe </v>
      </c>
    </row>
    <row r="317" spans="1:4" x14ac:dyDescent="0.25">
      <c r="A317" t="s">
        <v>1213</v>
      </c>
      <c r="B317">
        <v>5</v>
      </c>
      <c r="D317" t="str">
        <f t="shared" si="4"/>
        <v xml:space="preserve">Pere Beltran </v>
      </c>
    </row>
    <row r="318" spans="1:4" x14ac:dyDescent="0.25">
      <c r="A318" t="s">
        <v>1213</v>
      </c>
      <c r="B318">
        <v>4</v>
      </c>
      <c r="D318" t="str">
        <f t="shared" si="4"/>
        <v xml:space="preserve">Pere Beltran </v>
      </c>
    </row>
    <row r="319" spans="1:4" x14ac:dyDescent="0.25">
      <c r="A319" t="s">
        <v>1058</v>
      </c>
      <c r="B319">
        <v>13</v>
      </c>
      <c r="D319" t="str">
        <f t="shared" si="4"/>
        <v xml:space="preserve">Rasheed Da'na </v>
      </c>
    </row>
    <row r="320" spans="1:4" x14ac:dyDescent="0.25">
      <c r="A320" t="s">
        <v>896</v>
      </c>
      <c r="B320">
        <v>7</v>
      </c>
      <c r="D320" t="str">
        <f t="shared" si="4"/>
        <v xml:space="preserve">Renato Galeano </v>
      </c>
    </row>
    <row r="321" spans="1:4" x14ac:dyDescent="0.25">
      <c r="A321" t="s">
        <v>1004</v>
      </c>
      <c r="B321">
        <v>5</v>
      </c>
      <c r="D321" t="str">
        <f t="shared" si="4"/>
        <v xml:space="preserve">Roberto Abenoza </v>
      </c>
    </row>
    <row r="322" spans="1:4" x14ac:dyDescent="0.25">
      <c r="A322" t="s">
        <v>1045</v>
      </c>
      <c r="B322">
        <v>14</v>
      </c>
      <c r="D322" t="str">
        <f t="shared" si="4"/>
        <v xml:space="preserve">Saúl Piña </v>
      </c>
    </row>
    <row r="323" spans="1:4" x14ac:dyDescent="0.25">
      <c r="A323" t="s">
        <v>1045</v>
      </c>
      <c r="B323">
        <v>10</v>
      </c>
      <c r="D323" t="str">
        <f t="shared" ref="D323:D386" si="5">MID(A323,SEARCH(" ",A323)+1,150)</f>
        <v xml:space="preserve">Saúl Piña </v>
      </c>
    </row>
    <row r="324" spans="1:4" x14ac:dyDescent="0.25">
      <c r="A324" t="s">
        <v>926</v>
      </c>
      <c r="B324">
        <v>12</v>
      </c>
      <c r="D324" t="str">
        <f t="shared" si="5"/>
        <v xml:space="preserve">Tommaso Niscola </v>
      </c>
    </row>
    <row r="325" spans="1:4" x14ac:dyDescent="0.25">
      <c r="A325" t="s">
        <v>1244</v>
      </c>
      <c r="B325">
        <v>1</v>
      </c>
      <c r="D325" t="str">
        <f t="shared" si="5"/>
        <v xml:space="preserve">David Erbiti </v>
      </c>
    </row>
    <row r="326" spans="1:4" x14ac:dyDescent="0.25">
      <c r="A326" t="s">
        <v>1184</v>
      </c>
      <c r="B326">
        <v>1</v>
      </c>
      <c r="D326" t="str">
        <f t="shared" si="5"/>
        <v xml:space="preserve">David Knuff </v>
      </c>
    </row>
    <row r="327" spans="1:4" x14ac:dyDescent="0.25">
      <c r="A327" t="s">
        <v>1286</v>
      </c>
      <c r="B327">
        <v>1</v>
      </c>
      <c r="D327" t="str">
        <f t="shared" si="5"/>
        <v xml:space="preserve">Harald Georg Berchthold </v>
      </c>
    </row>
    <row r="328" spans="1:4" x14ac:dyDescent="0.25">
      <c r="A328" t="s">
        <v>1263</v>
      </c>
      <c r="B328">
        <v>1</v>
      </c>
      <c r="D328" t="str">
        <f t="shared" si="5"/>
        <v xml:space="preserve">Jan Jessen </v>
      </c>
    </row>
    <row r="329" spans="1:4" x14ac:dyDescent="0.25">
      <c r="A329" t="s">
        <v>1185</v>
      </c>
      <c r="B329">
        <v>1</v>
      </c>
      <c r="D329" t="str">
        <f t="shared" si="5"/>
        <v xml:space="preserve">Enis Kalan </v>
      </c>
    </row>
    <row r="330" spans="1:4" x14ac:dyDescent="0.25">
      <c r="A330" t="s">
        <v>1264</v>
      </c>
      <c r="B330">
        <v>1</v>
      </c>
      <c r="D330" t="str">
        <f t="shared" si="5"/>
        <v xml:space="preserve">José Manuel Carneiro </v>
      </c>
    </row>
    <row r="331" spans="1:4" x14ac:dyDescent="0.25">
      <c r="A331" t="s">
        <v>1265</v>
      </c>
      <c r="B331">
        <v>1</v>
      </c>
      <c r="D331" t="str">
        <f t="shared" si="5"/>
        <v xml:space="preserve">Ludvig Andreasson </v>
      </c>
    </row>
    <row r="332" spans="1:4" x14ac:dyDescent="0.25">
      <c r="A332" t="s">
        <v>1266</v>
      </c>
      <c r="B332">
        <v>1</v>
      </c>
      <c r="D332" t="str">
        <f t="shared" si="5"/>
        <v xml:space="preserve">Luigi Tripodo </v>
      </c>
    </row>
    <row r="333" spans="1:4" x14ac:dyDescent="0.25">
      <c r="A333" t="s">
        <v>1267</v>
      </c>
      <c r="B333">
        <v>1</v>
      </c>
      <c r="D333" t="str">
        <f t="shared" si="5"/>
        <v xml:space="preserve">Christophe Méjean </v>
      </c>
    </row>
    <row r="334" spans="1:4" x14ac:dyDescent="0.25">
      <c r="A334" t="s">
        <v>1268</v>
      </c>
      <c r="B334">
        <v>1</v>
      </c>
      <c r="D334" t="str">
        <f t="shared" si="5"/>
        <v xml:space="preserve">Aamos Vara </v>
      </c>
    </row>
    <row r="335" spans="1:4" x14ac:dyDescent="0.25">
      <c r="A335" t="s">
        <v>1072</v>
      </c>
      <c r="B335">
        <v>14</v>
      </c>
      <c r="D335" t="str">
        <f t="shared" si="5"/>
        <v xml:space="preserve">Adam Moss </v>
      </c>
    </row>
    <row r="336" spans="1:4" x14ac:dyDescent="0.25">
      <c r="A336" t="s">
        <v>1227</v>
      </c>
      <c r="B336">
        <v>5</v>
      </c>
      <c r="D336" t="str">
        <f t="shared" si="5"/>
        <v xml:space="preserve">Adamantios Fikias </v>
      </c>
    </row>
    <row r="337" spans="1:4" x14ac:dyDescent="0.25">
      <c r="A337" t="s">
        <v>1080</v>
      </c>
      <c r="B337">
        <v>10</v>
      </c>
      <c r="D337" t="str">
        <f t="shared" si="5"/>
        <v xml:space="preserve">Andrin Bärtsch </v>
      </c>
    </row>
    <row r="338" spans="1:4" x14ac:dyDescent="0.25">
      <c r="A338" t="s">
        <v>1080</v>
      </c>
      <c r="B338">
        <v>7</v>
      </c>
      <c r="D338" t="str">
        <f t="shared" si="5"/>
        <v xml:space="preserve">Andrin Bärtsch </v>
      </c>
    </row>
    <row r="339" spans="1:4" x14ac:dyDescent="0.25">
      <c r="A339" t="s">
        <v>1152</v>
      </c>
      <c r="B339">
        <v>8</v>
      </c>
      <c r="D339" t="str">
        <f t="shared" si="5"/>
        <v xml:space="preserve">Brunon Chuda </v>
      </c>
    </row>
    <row r="340" spans="1:4" x14ac:dyDescent="0.25">
      <c r="A340" t="s">
        <v>1152</v>
      </c>
      <c r="B340">
        <v>5</v>
      </c>
      <c r="D340" t="str">
        <f t="shared" si="5"/>
        <v xml:space="preserve">Brunon Chuda </v>
      </c>
    </row>
    <row r="341" spans="1:4" x14ac:dyDescent="0.25">
      <c r="A341" t="s">
        <v>1247</v>
      </c>
      <c r="B341">
        <v>6</v>
      </c>
      <c r="D341" t="str">
        <f t="shared" si="5"/>
        <v xml:space="preserve">Co Wolbers </v>
      </c>
    </row>
    <row r="342" spans="1:4" x14ac:dyDescent="0.25">
      <c r="A342" t="s">
        <v>1117</v>
      </c>
      <c r="B342">
        <v>9</v>
      </c>
      <c r="D342" t="str">
        <f t="shared" si="5"/>
        <v xml:space="preserve">Cornel Boicea </v>
      </c>
    </row>
    <row r="343" spans="1:4" x14ac:dyDescent="0.25">
      <c r="A343" t="s">
        <v>1307</v>
      </c>
      <c r="B343">
        <v>3</v>
      </c>
      <c r="D343" t="str">
        <f t="shared" si="5"/>
        <v xml:space="preserve">Damiano Clementi </v>
      </c>
    </row>
    <row r="344" spans="1:4" x14ac:dyDescent="0.25">
      <c r="A344" t="s">
        <v>1059</v>
      </c>
      <c r="B344">
        <v>11</v>
      </c>
      <c r="D344" t="str">
        <f t="shared" si="5"/>
        <v xml:space="preserve">Gianfranco Rezza </v>
      </c>
    </row>
    <row r="345" spans="1:4" x14ac:dyDescent="0.25">
      <c r="A345" t="s">
        <v>1289</v>
      </c>
      <c r="B345">
        <v>4</v>
      </c>
      <c r="D345" t="str">
        <f t="shared" si="5"/>
        <v xml:space="preserve">Harald Georg Berchthold </v>
      </c>
    </row>
    <row r="346" spans="1:4" x14ac:dyDescent="0.25">
      <c r="A346" t="s">
        <v>1169</v>
      </c>
      <c r="B346">
        <v>8</v>
      </c>
      <c r="D346" t="str">
        <f t="shared" si="5"/>
        <v xml:space="preserve">John Chung </v>
      </c>
    </row>
    <row r="347" spans="1:4" x14ac:dyDescent="0.25">
      <c r="A347" t="s">
        <v>1135</v>
      </c>
      <c r="B347">
        <v>8</v>
      </c>
      <c r="D347" t="str">
        <f t="shared" si="5"/>
        <v xml:space="preserve">Jos Pittoors </v>
      </c>
    </row>
    <row r="348" spans="1:4" x14ac:dyDescent="0.25">
      <c r="A348" t="s">
        <v>1107</v>
      </c>
      <c r="B348">
        <v>2</v>
      </c>
      <c r="D348" t="str">
        <f t="shared" si="5"/>
        <v xml:space="preserve">Leonardo Baltico </v>
      </c>
    </row>
    <row r="349" spans="1:4" x14ac:dyDescent="0.25">
      <c r="A349" t="s">
        <v>1033</v>
      </c>
      <c r="B349">
        <v>7</v>
      </c>
      <c r="D349" t="str">
        <f t="shared" si="5"/>
        <v xml:space="preserve">Mario Omarini </v>
      </c>
    </row>
    <row r="350" spans="1:4" x14ac:dyDescent="0.25">
      <c r="A350" t="s">
        <v>969</v>
      </c>
      <c r="B350">
        <v>6</v>
      </c>
      <c r="D350" t="str">
        <f t="shared" si="5"/>
        <v xml:space="preserve">Miklós Gábriel </v>
      </c>
    </row>
    <row r="351" spans="1:4" x14ac:dyDescent="0.25">
      <c r="A351" t="s">
        <v>969</v>
      </c>
      <c r="B351">
        <v>5</v>
      </c>
      <c r="D351" t="str">
        <f t="shared" si="5"/>
        <v xml:space="preserve">Miklós Gábriel </v>
      </c>
    </row>
    <row r="352" spans="1:4" x14ac:dyDescent="0.25">
      <c r="A352" t="s">
        <v>1188</v>
      </c>
      <c r="B352">
        <v>5</v>
      </c>
      <c r="D352" t="str">
        <f t="shared" si="5"/>
        <v xml:space="preserve">Nikolay Gerasimenko </v>
      </c>
    </row>
    <row r="353" spans="1:4" x14ac:dyDescent="0.25">
      <c r="A353" t="s">
        <v>1188</v>
      </c>
      <c r="B353">
        <v>3</v>
      </c>
      <c r="D353" t="str">
        <f t="shared" si="5"/>
        <v xml:space="preserve">Nikolay Gerasimenko </v>
      </c>
    </row>
    <row r="354" spans="1:4" x14ac:dyDescent="0.25">
      <c r="A354" t="s">
        <v>1320</v>
      </c>
      <c r="B354">
        <v>4</v>
      </c>
      <c r="D354" t="str">
        <f t="shared" si="5"/>
        <v xml:space="preserve">Pablo Gil Fano </v>
      </c>
    </row>
    <row r="355" spans="1:4" x14ac:dyDescent="0.25">
      <c r="A355" t="s">
        <v>1020</v>
      </c>
      <c r="B355">
        <v>6</v>
      </c>
      <c r="D355" t="str">
        <f t="shared" si="5"/>
        <v xml:space="preserve">Rasheed Da'na </v>
      </c>
    </row>
    <row r="356" spans="1:4" x14ac:dyDescent="0.25">
      <c r="A356" t="s">
        <v>1020</v>
      </c>
      <c r="B356">
        <v>13</v>
      </c>
      <c r="D356" t="str">
        <f t="shared" si="5"/>
        <v xml:space="preserve">Rasheed Da'na </v>
      </c>
    </row>
    <row r="357" spans="1:4" x14ac:dyDescent="0.25">
      <c r="A357" t="s">
        <v>1005</v>
      </c>
      <c r="B357">
        <v>2</v>
      </c>
      <c r="D357" t="str">
        <f t="shared" si="5"/>
        <v xml:space="preserve">Raúl Riquelme </v>
      </c>
    </row>
    <row r="358" spans="1:4" x14ac:dyDescent="0.25">
      <c r="A358" t="s">
        <v>985</v>
      </c>
      <c r="B358">
        <v>3</v>
      </c>
      <c r="D358" t="str">
        <f t="shared" si="5"/>
        <v xml:space="preserve">Roberto Abenoza </v>
      </c>
    </row>
    <row r="359" spans="1:4" x14ac:dyDescent="0.25">
      <c r="A359" t="s">
        <v>1270</v>
      </c>
      <c r="B359">
        <v>4</v>
      </c>
      <c r="D359" t="str">
        <f t="shared" si="5"/>
        <v xml:space="preserve">Sejo Sáenz Marín </v>
      </c>
    </row>
    <row r="360" spans="1:4" x14ac:dyDescent="0.25">
      <c r="A360" t="s">
        <v>947</v>
      </c>
      <c r="B360">
        <v>7</v>
      </c>
      <c r="D360" t="str">
        <f t="shared" si="5"/>
        <v xml:space="preserve">Tommaso Niscola </v>
      </c>
    </row>
    <row r="361" spans="1:4" x14ac:dyDescent="0.25">
      <c r="A361" t="s">
        <v>1118</v>
      </c>
      <c r="B361">
        <v>9</v>
      </c>
      <c r="D361" t="str">
        <f t="shared" si="5"/>
        <v xml:space="preserve">Aimar Lasalde </v>
      </c>
    </row>
    <row r="362" spans="1:4" x14ac:dyDescent="0.25">
      <c r="A362" t="s">
        <v>1228</v>
      </c>
      <c r="B362">
        <v>5</v>
      </c>
      <c r="D362" t="str">
        <f t="shared" si="5"/>
        <v xml:space="preserve">Ellák Deák </v>
      </c>
    </row>
    <row r="363" spans="1:4" x14ac:dyDescent="0.25">
      <c r="A363" t="s">
        <v>1228</v>
      </c>
      <c r="B363">
        <v>6</v>
      </c>
      <c r="D363" t="str">
        <f t="shared" si="5"/>
        <v xml:space="preserve">Ellák Deák </v>
      </c>
    </row>
    <row r="364" spans="1:4" x14ac:dyDescent="0.25">
      <c r="A364" t="s">
        <v>1034</v>
      </c>
      <c r="B364">
        <v>6</v>
      </c>
      <c r="D364" t="str">
        <f t="shared" si="5"/>
        <v xml:space="preserve">Gianfranco Rezza </v>
      </c>
    </row>
    <row r="365" spans="1:4" x14ac:dyDescent="0.25">
      <c r="A365" t="s">
        <v>1034</v>
      </c>
      <c r="B365">
        <v>12</v>
      </c>
      <c r="D365" t="str">
        <f t="shared" si="5"/>
        <v xml:space="preserve">Gianfranco Rezza </v>
      </c>
    </row>
    <row r="366" spans="1:4" x14ac:dyDescent="0.25">
      <c r="A366" t="s">
        <v>1092</v>
      </c>
      <c r="B366">
        <v>7</v>
      </c>
      <c r="D366" t="str">
        <f t="shared" si="5"/>
        <v xml:space="preserve">Gongotzon Ialdebere </v>
      </c>
    </row>
    <row r="367" spans="1:4" x14ac:dyDescent="0.25">
      <c r="A367" t="s">
        <v>1321</v>
      </c>
      <c r="B367">
        <v>4</v>
      </c>
      <c r="D367" t="str">
        <f t="shared" si="5"/>
        <v xml:space="preserve">Hansjürg Devier </v>
      </c>
    </row>
    <row r="368" spans="1:4" x14ac:dyDescent="0.25">
      <c r="A368" t="s">
        <v>1021</v>
      </c>
      <c r="B368">
        <v>6</v>
      </c>
      <c r="D368" t="str">
        <f t="shared" si="5"/>
        <v xml:space="preserve">Iyad Chaabo </v>
      </c>
    </row>
    <row r="369" spans="1:4" x14ac:dyDescent="0.25">
      <c r="A369" t="s">
        <v>1290</v>
      </c>
      <c r="B369">
        <v>4</v>
      </c>
      <c r="D369" t="str">
        <f t="shared" si="5"/>
        <v xml:space="preserve">Jörg Londorf </v>
      </c>
    </row>
    <row r="370" spans="1:4" x14ac:dyDescent="0.25">
      <c r="A370" t="s">
        <v>1060</v>
      </c>
      <c r="B370">
        <v>11</v>
      </c>
      <c r="D370" t="str">
        <f t="shared" si="5"/>
        <v xml:space="preserve">Leonardo Baltico </v>
      </c>
    </row>
    <row r="371" spans="1:4" x14ac:dyDescent="0.25">
      <c r="A371" t="s">
        <v>1153</v>
      </c>
      <c r="B371">
        <v>7</v>
      </c>
      <c r="D371" t="str">
        <f t="shared" si="5"/>
        <v xml:space="preserve">Ludwik Mojescik </v>
      </c>
    </row>
    <row r="372" spans="1:4" x14ac:dyDescent="0.25">
      <c r="A372" t="s">
        <v>1136</v>
      </c>
      <c r="B372">
        <v>7</v>
      </c>
      <c r="D372" t="str">
        <f t="shared" si="5"/>
        <v xml:space="preserve">Nikolas Lakkotripi </v>
      </c>
    </row>
    <row r="373" spans="1:4" x14ac:dyDescent="0.25">
      <c r="A373" t="s">
        <v>1170</v>
      </c>
      <c r="B373">
        <v>8</v>
      </c>
      <c r="D373" t="str">
        <f t="shared" si="5"/>
        <v xml:space="preserve">Nikolay Gerasimenko </v>
      </c>
    </row>
    <row r="374" spans="1:4" x14ac:dyDescent="0.25">
      <c r="A374" t="s">
        <v>1046</v>
      </c>
      <c r="B374">
        <v>6</v>
      </c>
      <c r="D374" t="str">
        <f t="shared" si="5"/>
        <v xml:space="preserve">Pepijn Zwaan </v>
      </c>
    </row>
    <row r="375" spans="1:4" x14ac:dyDescent="0.25">
      <c r="A375" t="s">
        <v>1108</v>
      </c>
      <c r="B375">
        <v>2</v>
      </c>
      <c r="D375" t="str">
        <f t="shared" si="5"/>
        <v xml:space="preserve">Pere Beltran </v>
      </c>
    </row>
    <row r="376" spans="1:4" x14ac:dyDescent="0.25">
      <c r="A376" t="s">
        <v>1308</v>
      </c>
      <c r="B376">
        <v>3</v>
      </c>
      <c r="D376" t="str">
        <f t="shared" si="5"/>
        <v xml:space="preserve">Petru Pena </v>
      </c>
    </row>
    <row r="377" spans="1:4" x14ac:dyDescent="0.25">
      <c r="A377" t="s">
        <v>1189</v>
      </c>
      <c r="B377">
        <v>5</v>
      </c>
      <c r="D377" t="str">
        <f t="shared" si="5"/>
        <v xml:space="preserve">Ragip Övgü </v>
      </c>
    </row>
    <row r="378" spans="1:4" x14ac:dyDescent="0.25">
      <c r="A378" t="s">
        <v>1081</v>
      </c>
      <c r="B378">
        <v>9</v>
      </c>
      <c r="D378" t="str">
        <f t="shared" si="5"/>
        <v xml:space="preserve">Rasheed Da'na </v>
      </c>
    </row>
    <row r="379" spans="1:4" x14ac:dyDescent="0.25">
      <c r="A379" t="s">
        <v>1203</v>
      </c>
      <c r="B379">
        <v>3</v>
      </c>
      <c r="D379" t="str">
        <f t="shared" si="5"/>
        <v xml:space="preserve">Relf Härteis </v>
      </c>
    </row>
    <row r="380" spans="1:4" x14ac:dyDescent="0.25">
      <c r="A380" t="s">
        <v>1203</v>
      </c>
      <c r="B380">
        <v>4</v>
      </c>
      <c r="D380" t="str">
        <f t="shared" si="5"/>
        <v xml:space="preserve">Relf Härteis </v>
      </c>
    </row>
    <row r="381" spans="1:4" x14ac:dyDescent="0.25">
      <c r="A381" t="s">
        <v>928</v>
      </c>
      <c r="B381">
        <v>8</v>
      </c>
      <c r="D381" t="str">
        <f t="shared" si="5"/>
        <v xml:space="preserve">Renato Galeano </v>
      </c>
    </row>
    <row r="382" spans="1:4" x14ac:dyDescent="0.25">
      <c r="A382" t="s">
        <v>997</v>
      </c>
      <c r="B382">
        <v>4</v>
      </c>
      <c r="D382" t="str">
        <f t="shared" si="5"/>
        <v xml:space="preserve">Roberto Abenoza </v>
      </c>
    </row>
    <row r="383" spans="1:4" x14ac:dyDescent="0.25">
      <c r="A383" t="s">
        <v>1271</v>
      </c>
      <c r="B383">
        <v>3</v>
      </c>
      <c r="D383" t="str">
        <f t="shared" si="5"/>
        <v xml:space="preserve">Zeno Baets </v>
      </c>
    </row>
    <row r="384" spans="1:4" x14ac:dyDescent="0.25">
      <c r="A384" t="s">
        <v>1061</v>
      </c>
      <c r="B384">
        <v>10</v>
      </c>
      <c r="D384" t="str">
        <f t="shared" si="5"/>
        <v xml:space="preserve">Adam Moss </v>
      </c>
    </row>
    <row r="385" spans="1:4" x14ac:dyDescent="0.25">
      <c r="A385" t="s">
        <v>1061</v>
      </c>
      <c r="B385">
        <v>6</v>
      </c>
      <c r="D385" t="str">
        <f t="shared" si="5"/>
        <v xml:space="preserve">Adam Moss </v>
      </c>
    </row>
    <row r="386" spans="1:4" x14ac:dyDescent="0.25">
      <c r="A386" t="s">
        <v>1137</v>
      </c>
      <c r="B386">
        <v>6</v>
      </c>
      <c r="D386" t="str">
        <f t="shared" si="5"/>
        <v xml:space="preserve">Aimar Lasalde </v>
      </c>
    </row>
    <row r="387" spans="1:4" x14ac:dyDescent="0.25">
      <c r="A387" t="s">
        <v>1322</v>
      </c>
      <c r="B387">
        <v>3</v>
      </c>
      <c r="D387" t="str">
        <f t="shared" ref="D387:D450" si="6">MID(A387,SEARCH(" ",A387)+1,150)</f>
        <v xml:space="preserve">Aiurdi Azpileta </v>
      </c>
    </row>
    <row r="388" spans="1:4" x14ac:dyDescent="0.25">
      <c r="A388" t="s">
        <v>1007</v>
      </c>
      <c r="B388">
        <v>2</v>
      </c>
      <c r="D388" t="str">
        <f t="shared" si="6"/>
        <v xml:space="preserve">Casildo Abraldes </v>
      </c>
    </row>
    <row r="389" spans="1:4" x14ac:dyDescent="0.25">
      <c r="A389" t="s">
        <v>1204</v>
      </c>
      <c r="B389">
        <v>3</v>
      </c>
      <c r="D389" t="str">
        <f t="shared" si="6"/>
        <v xml:space="preserve">David Erbiti </v>
      </c>
    </row>
    <row r="390" spans="1:4" x14ac:dyDescent="0.25">
      <c r="A390" t="s">
        <v>1229</v>
      </c>
      <c r="B390">
        <v>4</v>
      </c>
      <c r="D390" t="str">
        <f t="shared" si="6"/>
        <v xml:space="preserve">Ernst Lammers </v>
      </c>
    </row>
    <row r="391" spans="1:4" x14ac:dyDescent="0.25">
      <c r="A391" t="s">
        <v>1190</v>
      </c>
      <c r="B391">
        <v>5</v>
      </c>
      <c r="D391" t="str">
        <f t="shared" si="6"/>
        <v xml:space="preserve">Fere Pulido </v>
      </c>
    </row>
    <row r="392" spans="1:4" x14ac:dyDescent="0.25">
      <c r="A392" t="s">
        <v>1047</v>
      </c>
      <c r="B392">
        <v>6</v>
      </c>
      <c r="D392" t="str">
        <f t="shared" si="6"/>
        <v xml:space="preserve">Gianfranco Rezza </v>
      </c>
    </row>
    <row r="393" spans="1:4" x14ac:dyDescent="0.25">
      <c r="A393" t="s">
        <v>1154</v>
      </c>
      <c r="B393">
        <v>6</v>
      </c>
      <c r="D393" t="str">
        <f t="shared" si="6"/>
        <v xml:space="preserve">Gino van Hoesel </v>
      </c>
    </row>
    <row r="394" spans="1:4" x14ac:dyDescent="0.25">
      <c r="A394" t="s">
        <v>1093</v>
      </c>
      <c r="B394">
        <v>7</v>
      </c>
      <c r="D394" t="str">
        <f t="shared" si="6"/>
        <v xml:space="preserve">Horacy Dzienis </v>
      </c>
    </row>
    <row r="395" spans="1:4" x14ac:dyDescent="0.25">
      <c r="A395" t="s">
        <v>1022</v>
      </c>
      <c r="B395">
        <v>5</v>
      </c>
      <c r="D395" t="str">
        <f t="shared" si="6"/>
        <v xml:space="preserve">Ibiur Altxakoa </v>
      </c>
    </row>
    <row r="396" spans="1:4" x14ac:dyDescent="0.25">
      <c r="A396" t="s">
        <v>1272</v>
      </c>
      <c r="B396">
        <v>3</v>
      </c>
      <c r="D396" t="str">
        <f t="shared" si="6"/>
        <v xml:space="preserve">Iuliu Pana </v>
      </c>
    </row>
    <row r="397" spans="1:4" x14ac:dyDescent="0.25">
      <c r="A397" t="s">
        <v>1119</v>
      </c>
      <c r="B397">
        <v>8</v>
      </c>
      <c r="D397" t="str">
        <f t="shared" si="6"/>
        <v xml:space="preserve">Joãozinho do Mato </v>
      </c>
    </row>
    <row r="398" spans="1:4" x14ac:dyDescent="0.25">
      <c r="A398" t="s">
        <v>986</v>
      </c>
      <c r="B398">
        <v>2</v>
      </c>
      <c r="D398" t="str">
        <f t="shared" si="6"/>
        <v xml:space="preserve">Mauro Vaz </v>
      </c>
    </row>
    <row r="399" spans="1:4" x14ac:dyDescent="0.25">
      <c r="A399" t="s">
        <v>1248</v>
      </c>
      <c r="B399">
        <v>6</v>
      </c>
      <c r="D399" t="str">
        <f t="shared" si="6"/>
        <v xml:space="preserve">Michele Giampieri </v>
      </c>
    </row>
    <row r="400" spans="1:4" x14ac:dyDescent="0.25">
      <c r="A400" t="s">
        <v>1214</v>
      </c>
      <c r="B400">
        <v>4</v>
      </c>
      <c r="D400" t="str">
        <f t="shared" si="6"/>
        <v xml:space="preserve">Nikolay Gerasimenko </v>
      </c>
    </row>
    <row r="401" spans="1:4" x14ac:dyDescent="0.25">
      <c r="A401" t="s">
        <v>1309</v>
      </c>
      <c r="B401">
        <v>2</v>
      </c>
      <c r="D401" t="str">
        <f t="shared" si="6"/>
        <v xml:space="preserve">Pablo Gil Fano </v>
      </c>
    </row>
    <row r="402" spans="1:4" x14ac:dyDescent="0.25">
      <c r="A402" t="s">
        <v>1171</v>
      </c>
      <c r="B402">
        <v>8</v>
      </c>
      <c r="D402" t="str">
        <f t="shared" si="6"/>
        <v xml:space="preserve">Pere Beltran </v>
      </c>
    </row>
    <row r="403" spans="1:4" x14ac:dyDescent="0.25">
      <c r="A403" t="s">
        <v>1035</v>
      </c>
      <c r="B403">
        <v>6</v>
      </c>
      <c r="D403" t="str">
        <f t="shared" si="6"/>
        <v xml:space="preserve">Rasheed Da'na </v>
      </c>
    </row>
    <row r="404" spans="1:4" x14ac:dyDescent="0.25">
      <c r="A404" t="s">
        <v>1035</v>
      </c>
      <c r="B404">
        <v>11</v>
      </c>
      <c r="D404" t="str">
        <f t="shared" si="6"/>
        <v xml:space="preserve">Rasheed Da'na </v>
      </c>
    </row>
    <row r="405" spans="1:4" x14ac:dyDescent="0.25">
      <c r="A405" t="s">
        <v>998</v>
      </c>
      <c r="B405">
        <v>3</v>
      </c>
      <c r="D405" t="str">
        <f t="shared" si="6"/>
        <v xml:space="preserve">Raúl Riquelme </v>
      </c>
    </row>
    <row r="406" spans="1:4" x14ac:dyDescent="0.25">
      <c r="A406" t="s">
        <v>1291</v>
      </c>
      <c r="B406">
        <v>3</v>
      </c>
      <c r="D406" t="str">
        <f t="shared" si="6"/>
        <v xml:space="preserve">Richey Cowper </v>
      </c>
    </row>
    <row r="407" spans="1:4" x14ac:dyDescent="0.25">
      <c r="A407" t="s">
        <v>1109</v>
      </c>
      <c r="B407">
        <v>1</v>
      </c>
      <c r="D407" t="str">
        <f t="shared" si="6"/>
        <v xml:space="preserve">Zbyšek Hamrozi </v>
      </c>
    </row>
    <row r="408" spans="1:4" x14ac:dyDescent="0.25">
      <c r="A408" t="s">
        <v>1155</v>
      </c>
      <c r="B408">
        <v>6</v>
      </c>
      <c r="D408" t="str">
        <f t="shared" si="6"/>
        <v xml:space="preserve">Aimar Lasalde </v>
      </c>
    </row>
    <row r="409" spans="1:4" x14ac:dyDescent="0.25">
      <c r="A409" t="s">
        <v>1048</v>
      </c>
      <c r="B409">
        <v>5</v>
      </c>
      <c r="D409" t="str">
        <f t="shared" si="6"/>
        <v xml:space="preserve">Boleslaw Starzomski </v>
      </c>
    </row>
    <row r="410" spans="1:4" x14ac:dyDescent="0.25">
      <c r="A410" t="s">
        <v>1191</v>
      </c>
      <c r="B410">
        <v>5</v>
      </c>
      <c r="D410" t="str">
        <f t="shared" si="6"/>
        <v xml:space="preserve">Brunon Chuda </v>
      </c>
    </row>
    <row r="411" spans="1:4" x14ac:dyDescent="0.25">
      <c r="A411" t="s">
        <v>1310</v>
      </c>
      <c r="B411">
        <v>2</v>
      </c>
      <c r="D411" t="str">
        <f t="shared" si="6"/>
        <v xml:space="preserve">Christophe Bodin </v>
      </c>
    </row>
    <row r="412" spans="1:4" x14ac:dyDescent="0.25">
      <c r="A412" t="s">
        <v>1292</v>
      </c>
      <c r="B412">
        <v>3</v>
      </c>
      <c r="D412" t="str">
        <f t="shared" si="6"/>
        <v xml:space="preserve">David Berkenbosch </v>
      </c>
    </row>
    <row r="413" spans="1:4" x14ac:dyDescent="0.25">
      <c r="A413" t="s">
        <v>1205</v>
      </c>
      <c r="B413">
        <v>3</v>
      </c>
      <c r="D413" t="str">
        <f t="shared" si="6"/>
        <v xml:space="preserve">David Knuff </v>
      </c>
    </row>
    <row r="414" spans="1:4" x14ac:dyDescent="0.25">
      <c r="A414" t="s">
        <v>1323</v>
      </c>
      <c r="B414">
        <v>2</v>
      </c>
      <c r="D414" t="str">
        <f t="shared" si="6"/>
        <v xml:space="preserve">Domenic Janjic </v>
      </c>
    </row>
    <row r="415" spans="1:4" x14ac:dyDescent="0.25">
      <c r="A415" t="s">
        <v>987</v>
      </c>
      <c r="B415">
        <v>2</v>
      </c>
      <c r="D415" t="str">
        <f t="shared" si="6"/>
        <v xml:space="preserve">Fernando Gazón </v>
      </c>
    </row>
    <row r="416" spans="1:4" x14ac:dyDescent="0.25">
      <c r="A416" t="s">
        <v>987</v>
      </c>
      <c r="B416">
        <v>2</v>
      </c>
      <c r="D416" t="str">
        <f t="shared" si="6"/>
        <v xml:space="preserve">Fernando Gazón </v>
      </c>
    </row>
    <row r="417" spans="1:4" x14ac:dyDescent="0.25">
      <c r="A417" t="s">
        <v>1215</v>
      </c>
      <c r="B417">
        <v>3</v>
      </c>
      <c r="D417" t="str">
        <f t="shared" si="6"/>
        <v xml:space="preserve">Gastone Cianelli </v>
      </c>
    </row>
    <row r="418" spans="1:4" x14ac:dyDescent="0.25">
      <c r="A418" t="s">
        <v>1036</v>
      </c>
      <c r="B418">
        <v>4</v>
      </c>
      <c r="D418" t="str">
        <f t="shared" si="6"/>
        <v xml:space="preserve">Ibiur Altxakoa </v>
      </c>
    </row>
    <row r="419" spans="1:4" x14ac:dyDescent="0.25">
      <c r="A419" t="s">
        <v>1023</v>
      </c>
      <c r="B419">
        <v>4</v>
      </c>
      <c r="D419" t="str">
        <f t="shared" si="6"/>
        <v xml:space="preserve">Jorge Walter Whitaker </v>
      </c>
    </row>
    <row r="420" spans="1:4" x14ac:dyDescent="0.25">
      <c r="A420" t="s">
        <v>1008</v>
      </c>
      <c r="B420">
        <v>2</v>
      </c>
      <c r="D420" t="str">
        <f t="shared" si="6"/>
        <v xml:space="preserve">Juan Gabriel de Minaya </v>
      </c>
    </row>
    <row r="421" spans="1:4" x14ac:dyDescent="0.25">
      <c r="A421" t="s">
        <v>1082</v>
      </c>
      <c r="B421">
        <v>6</v>
      </c>
      <c r="D421" t="str">
        <f t="shared" si="6"/>
        <v xml:space="preserve">Kendor Nagiturri </v>
      </c>
    </row>
    <row r="422" spans="1:4" x14ac:dyDescent="0.25">
      <c r="A422" t="s">
        <v>1273</v>
      </c>
      <c r="B422">
        <v>3</v>
      </c>
      <c r="D422" t="str">
        <f t="shared" si="6"/>
        <v xml:space="preserve">Krzysztof Buras </v>
      </c>
    </row>
    <row r="423" spans="1:4" x14ac:dyDescent="0.25">
      <c r="A423" t="s">
        <v>1172</v>
      </c>
      <c r="B423">
        <v>7</v>
      </c>
      <c r="D423" t="str">
        <f t="shared" si="6"/>
        <v xml:space="preserve">Ludwik Mojescik </v>
      </c>
    </row>
    <row r="424" spans="1:4" x14ac:dyDescent="0.25">
      <c r="A424" t="s">
        <v>1249</v>
      </c>
      <c r="B424">
        <v>5</v>
      </c>
      <c r="D424" t="str">
        <f t="shared" si="6"/>
        <v xml:space="preserve">Malte Neulinger </v>
      </c>
    </row>
    <row r="425" spans="1:4" x14ac:dyDescent="0.25">
      <c r="A425" t="s">
        <v>1110</v>
      </c>
      <c r="B425">
        <v>1</v>
      </c>
      <c r="D425" t="str">
        <f t="shared" si="6"/>
        <v xml:space="preserve">Nikolas Lakkotripi </v>
      </c>
    </row>
    <row r="426" spans="1:4" x14ac:dyDescent="0.25">
      <c r="A426" t="s">
        <v>1120</v>
      </c>
      <c r="B426">
        <v>7</v>
      </c>
      <c r="D426" t="str">
        <f t="shared" si="6"/>
        <v xml:space="preserve">Pasqual Vilar </v>
      </c>
    </row>
    <row r="427" spans="1:4" x14ac:dyDescent="0.25">
      <c r="A427" t="s">
        <v>1062</v>
      </c>
      <c r="B427">
        <v>10</v>
      </c>
      <c r="D427" t="str">
        <f t="shared" si="6"/>
        <v xml:space="preserve">Pepijn Zwaan </v>
      </c>
    </row>
    <row r="428" spans="1:4" x14ac:dyDescent="0.25">
      <c r="A428" t="s">
        <v>1138</v>
      </c>
      <c r="B428">
        <v>5</v>
      </c>
      <c r="D428" t="str">
        <f t="shared" si="6"/>
        <v xml:space="preserve">Roelant Bierman </v>
      </c>
    </row>
    <row r="429" spans="1:4" x14ac:dyDescent="0.25">
      <c r="A429" t="s">
        <v>1230</v>
      </c>
      <c r="B429">
        <v>4</v>
      </c>
      <c r="D429" t="str">
        <f t="shared" si="6"/>
        <v xml:space="preserve">Romain Grière </v>
      </c>
    </row>
    <row r="430" spans="1:4" x14ac:dyDescent="0.25">
      <c r="A430" t="s">
        <v>1073</v>
      </c>
      <c r="B430">
        <v>11</v>
      </c>
      <c r="D430" t="str">
        <f t="shared" si="6"/>
        <v xml:space="preserve">Saúl Piña </v>
      </c>
    </row>
    <row r="431" spans="1:4" x14ac:dyDescent="0.25">
      <c r="A431" t="s">
        <v>950</v>
      </c>
      <c r="B431">
        <v>5</v>
      </c>
      <c r="D431" t="str">
        <f t="shared" si="6"/>
        <v xml:space="preserve">Stanislaw Zdankiewicz </v>
      </c>
    </row>
    <row r="432" spans="1:4" x14ac:dyDescent="0.25">
      <c r="A432" t="s">
        <v>1094</v>
      </c>
      <c r="B432">
        <v>6</v>
      </c>
      <c r="D432" t="str">
        <f t="shared" si="6"/>
        <v xml:space="preserve">Torsten Kortenhof </v>
      </c>
    </row>
    <row r="433" spans="1:4" x14ac:dyDescent="0.25">
      <c r="A433" t="s">
        <v>1293</v>
      </c>
      <c r="B433">
        <v>3</v>
      </c>
      <c r="D433" t="str">
        <f t="shared" si="6"/>
        <v xml:space="preserve">? (Pan) ?? (Yuandong) </v>
      </c>
    </row>
    <row r="434" spans="1:4" x14ac:dyDescent="0.25">
      <c r="A434" t="s">
        <v>1024</v>
      </c>
      <c r="B434">
        <v>4</v>
      </c>
      <c r="D434" t="str">
        <f t="shared" si="6"/>
        <v xml:space="preserve">Adam Moss </v>
      </c>
    </row>
    <row r="435" spans="1:4" x14ac:dyDescent="0.25">
      <c r="A435" t="s">
        <v>1111</v>
      </c>
      <c r="B435">
        <v>1</v>
      </c>
      <c r="D435" t="str">
        <f t="shared" si="6"/>
        <v xml:space="preserve">Alexander Pahl </v>
      </c>
    </row>
    <row r="436" spans="1:4" x14ac:dyDescent="0.25">
      <c r="A436" t="s">
        <v>1311</v>
      </c>
      <c r="B436">
        <v>1</v>
      </c>
      <c r="D436" t="str">
        <f t="shared" si="6"/>
        <v xml:space="preserve">Alfonso Londoño </v>
      </c>
    </row>
    <row r="437" spans="1:4" x14ac:dyDescent="0.25">
      <c r="A437" t="s">
        <v>1037</v>
      </c>
      <c r="B437">
        <v>4</v>
      </c>
      <c r="D437" t="str">
        <f t="shared" si="6"/>
        <v xml:space="preserve">Andrea Califano </v>
      </c>
    </row>
    <row r="438" spans="1:4" x14ac:dyDescent="0.25">
      <c r="A438" t="s">
        <v>1063</v>
      </c>
      <c r="B438">
        <v>9</v>
      </c>
      <c r="D438" t="str">
        <f t="shared" si="6"/>
        <v xml:space="preserve">Andrin Bärtsch </v>
      </c>
    </row>
    <row r="439" spans="1:4" x14ac:dyDescent="0.25">
      <c r="A439" t="s">
        <v>1063</v>
      </c>
      <c r="B439">
        <v>10</v>
      </c>
      <c r="D439" t="str">
        <f t="shared" si="6"/>
        <v xml:space="preserve">Andrin Bärtsch </v>
      </c>
    </row>
    <row r="440" spans="1:4" x14ac:dyDescent="0.25">
      <c r="A440" t="s">
        <v>1083</v>
      </c>
      <c r="B440">
        <v>6</v>
      </c>
      <c r="D440" t="str">
        <f t="shared" si="6"/>
        <v xml:space="preserve">Arjo Olthuis </v>
      </c>
    </row>
    <row r="441" spans="1:4" x14ac:dyDescent="0.25">
      <c r="A441" t="s">
        <v>1274</v>
      </c>
      <c r="B441">
        <v>3</v>
      </c>
      <c r="D441" t="str">
        <f t="shared" si="6"/>
        <v xml:space="preserve">Aureliusz Staszczuk </v>
      </c>
    </row>
    <row r="442" spans="1:4" x14ac:dyDescent="0.25">
      <c r="A442" t="s">
        <v>988</v>
      </c>
      <c r="B442">
        <v>2</v>
      </c>
      <c r="D442" t="str">
        <f t="shared" si="6"/>
        <v xml:space="preserve">Eckardt Hägerling </v>
      </c>
    </row>
    <row r="443" spans="1:4" x14ac:dyDescent="0.25">
      <c r="A443" t="s">
        <v>980</v>
      </c>
      <c r="B443">
        <v>3</v>
      </c>
      <c r="D443" t="str">
        <f t="shared" si="6"/>
        <v xml:space="preserve">Fabien Fabre </v>
      </c>
    </row>
    <row r="444" spans="1:4" x14ac:dyDescent="0.25">
      <c r="A444" t="s">
        <v>1139</v>
      </c>
      <c r="B444">
        <v>4</v>
      </c>
      <c r="D444" t="str">
        <f t="shared" si="6"/>
        <v xml:space="preserve">Giulio Procaccianti </v>
      </c>
    </row>
    <row r="445" spans="1:4" x14ac:dyDescent="0.25">
      <c r="A445" t="s">
        <v>1192</v>
      </c>
      <c r="B445">
        <v>3</v>
      </c>
      <c r="D445" t="str">
        <f t="shared" si="6"/>
        <v xml:space="preserve">Honesto Cousa </v>
      </c>
    </row>
    <row r="446" spans="1:4" x14ac:dyDescent="0.25">
      <c r="A446" t="s">
        <v>1216</v>
      </c>
      <c r="B446">
        <v>2</v>
      </c>
      <c r="D446" t="str">
        <f t="shared" si="6"/>
        <v xml:space="preserve">Iacob Sarpe </v>
      </c>
    </row>
    <row r="447" spans="1:4" x14ac:dyDescent="0.25">
      <c r="A447" t="s">
        <v>1324</v>
      </c>
      <c r="B447">
        <v>2</v>
      </c>
      <c r="D447" t="str">
        <f t="shared" si="6"/>
        <v xml:space="preserve">Jaime Ocón </v>
      </c>
    </row>
    <row r="448" spans="1:4" x14ac:dyDescent="0.25">
      <c r="A448" t="s">
        <v>1121</v>
      </c>
      <c r="B448">
        <v>5</v>
      </c>
      <c r="D448" t="str">
        <f t="shared" si="6"/>
        <v xml:space="preserve">Lars Pouilliers </v>
      </c>
    </row>
    <row r="449" spans="1:4" x14ac:dyDescent="0.25">
      <c r="A449" t="s">
        <v>999</v>
      </c>
      <c r="B449">
        <v>2</v>
      </c>
      <c r="D449" t="str">
        <f t="shared" si="6"/>
        <v xml:space="preserve">Manuel Parejo </v>
      </c>
    </row>
    <row r="450" spans="1:4" x14ac:dyDescent="0.25">
      <c r="A450" t="s">
        <v>1250</v>
      </c>
      <c r="B450">
        <v>5</v>
      </c>
      <c r="D450" t="str">
        <f t="shared" si="6"/>
        <v xml:space="preserve">Markus Currie </v>
      </c>
    </row>
    <row r="451" spans="1:4" x14ac:dyDescent="0.25">
      <c r="A451" t="s">
        <v>1231</v>
      </c>
      <c r="B451">
        <v>3</v>
      </c>
      <c r="D451" t="str">
        <f t="shared" ref="D451:D511" si="7">MID(A451,SEARCH(" ",A451)+1,150)</f>
        <v xml:space="preserve">Michele Giampieri </v>
      </c>
    </row>
    <row r="452" spans="1:4" x14ac:dyDescent="0.25">
      <c r="A452" t="s">
        <v>1156</v>
      </c>
      <c r="B452">
        <v>6</v>
      </c>
      <c r="D452" t="str">
        <f t="shared" si="7"/>
        <v xml:space="preserve">Pasqual Vilar </v>
      </c>
    </row>
    <row r="453" spans="1:4" x14ac:dyDescent="0.25">
      <c r="A453" t="s">
        <v>1049</v>
      </c>
      <c r="B453">
        <v>5</v>
      </c>
      <c r="D453" t="str">
        <f t="shared" si="7"/>
        <v xml:space="preserve">Patrick Werner </v>
      </c>
    </row>
    <row r="454" spans="1:4" x14ac:dyDescent="0.25">
      <c r="A454" t="s">
        <v>938</v>
      </c>
      <c r="B454">
        <v>3</v>
      </c>
      <c r="D454" t="str">
        <f t="shared" si="7"/>
        <v xml:space="preserve">Stanislaw Zdankiewicz </v>
      </c>
    </row>
    <row r="455" spans="1:4" x14ac:dyDescent="0.25">
      <c r="A455" t="s">
        <v>1173</v>
      </c>
      <c r="B455">
        <v>5</v>
      </c>
      <c r="D455" t="str">
        <f t="shared" si="7"/>
        <v xml:space="preserve">Tomasz Artymiuk </v>
      </c>
    </row>
    <row r="456" spans="1:4" x14ac:dyDescent="0.25">
      <c r="A456" t="s">
        <v>1206</v>
      </c>
      <c r="B456">
        <v>2</v>
      </c>
      <c r="D456" t="str">
        <f t="shared" si="7"/>
        <v xml:space="preserve">Vincent Gautsch </v>
      </c>
    </row>
    <row r="457" spans="1:4" x14ac:dyDescent="0.25">
      <c r="A457" t="s">
        <v>1095</v>
      </c>
      <c r="B457">
        <v>6</v>
      </c>
      <c r="D457" t="str">
        <f t="shared" si="7"/>
        <v xml:space="preserve">Wicher Ossedrijver </v>
      </c>
    </row>
    <row r="458" spans="1:4" x14ac:dyDescent="0.25">
      <c r="A458" t="s">
        <v>1112</v>
      </c>
      <c r="B458">
        <v>1</v>
      </c>
      <c r="D458" t="str">
        <f t="shared" si="7"/>
        <v xml:space="preserve">Andrin Bärtsch </v>
      </c>
    </row>
    <row r="459" spans="1:4" x14ac:dyDescent="0.25">
      <c r="A459" t="s">
        <v>1074</v>
      </c>
      <c r="B459">
        <v>9</v>
      </c>
      <c r="D459" t="str">
        <f t="shared" si="7"/>
        <v xml:space="preserve">Arnold Kalckstein </v>
      </c>
    </row>
    <row r="460" spans="1:4" x14ac:dyDescent="0.25">
      <c r="A460" t="s">
        <v>1207</v>
      </c>
      <c r="B460">
        <v>2</v>
      </c>
      <c r="D460" t="str">
        <f t="shared" si="7"/>
        <v xml:space="preserve">Carlos Ipinza </v>
      </c>
    </row>
    <row r="461" spans="1:4" x14ac:dyDescent="0.25">
      <c r="A461" t="s">
        <v>1275</v>
      </c>
      <c r="B461">
        <v>2</v>
      </c>
      <c r="D461" t="str">
        <f t="shared" si="7"/>
        <v xml:space="preserve">Christophe Méjean </v>
      </c>
    </row>
    <row r="462" spans="1:4" x14ac:dyDescent="0.25">
      <c r="A462" t="s">
        <v>1217</v>
      </c>
      <c r="B462">
        <v>2</v>
      </c>
      <c r="D462" t="str">
        <f t="shared" si="7"/>
        <v xml:space="preserve">Co Wolbers </v>
      </c>
    </row>
    <row r="463" spans="1:4" x14ac:dyDescent="0.25">
      <c r="A463" t="s">
        <v>1025</v>
      </c>
      <c r="B463">
        <v>3</v>
      </c>
      <c r="D463" t="str">
        <f t="shared" si="7"/>
        <v xml:space="preserve">Csaba Mezo </v>
      </c>
    </row>
    <row r="464" spans="1:4" x14ac:dyDescent="0.25">
      <c r="A464" t="s">
        <v>973</v>
      </c>
      <c r="B464">
        <v>3</v>
      </c>
      <c r="D464" t="str">
        <f t="shared" si="7"/>
        <v xml:space="preserve">Emilio Rojas </v>
      </c>
    </row>
    <row r="465" spans="1:4" x14ac:dyDescent="0.25">
      <c r="A465" t="s">
        <v>1193</v>
      </c>
      <c r="B465">
        <v>2</v>
      </c>
      <c r="D465" t="str">
        <f t="shared" si="7"/>
        <v xml:space="preserve">Felipe Andrés Massarelli </v>
      </c>
    </row>
    <row r="466" spans="1:4" x14ac:dyDescent="0.25">
      <c r="A466" t="s">
        <v>1084</v>
      </c>
      <c r="B466">
        <v>4</v>
      </c>
      <c r="D466" t="str">
        <f t="shared" si="7"/>
        <v xml:space="preserve">Fernando Juárez Sierra </v>
      </c>
    </row>
    <row r="467" spans="1:4" x14ac:dyDescent="0.25">
      <c r="A467" t="s">
        <v>1064</v>
      </c>
      <c r="B467">
        <v>9</v>
      </c>
      <c r="D467" t="str">
        <f t="shared" si="7"/>
        <v xml:space="preserve">Gregor Freischläger </v>
      </c>
    </row>
    <row r="468" spans="1:4" x14ac:dyDescent="0.25">
      <c r="A468" t="s">
        <v>1312</v>
      </c>
      <c r="B468">
        <v>1</v>
      </c>
      <c r="D468" t="str">
        <f t="shared" si="7"/>
        <v xml:space="preserve">Gregorio Manrique </v>
      </c>
    </row>
    <row r="469" spans="1:4" x14ac:dyDescent="0.25">
      <c r="A469" t="s">
        <v>1050</v>
      </c>
      <c r="B469">
        <v>4</v>
      </c>
      <c r="D469" t="str">
        <f t="shared" si="7"/>
        <v xml:space="preserve">Ibiur Altxakoa </v>
      </c>
    </row>
    <row r="470" spans="1:4" x14ac:dyDescent="0.25">
      <c r="A470" t="s">
        <v>1251</v>
      </c>
      <c r="B470">
        <v>4</v>
      </c>
      <c r="D470" t="str">
        <f t="shared" si="7"/>
        <v xml:space="preserve">Iuliu Pana </v>
      </c>
    </row>
    <row r="471" spans="1:4" x14ac:dyDescent="0.25">
      <c r="A471" t="s">
        <v>1325</v>
      </c>
      <c r="B471">
        <v>2</v>
      </c>
      <c r="D471" t="str">
        <f t="shared" si="7"/>
        <v xml:space="preserve">José Rubianes </v>
      </c>
    </row>
    <row r="472" spans="1:4" x14ac:dyDescent="0.25">
      <c r="A472" t="s">
        <v>1010</v>
      </c>
      <c r="B472">
        <v>1</v>
      </c>
      <c r="D472" t="str">
        <f t="shared" si="7"/>
        <v xml:space="preserve">Manuel Parejo </v>
      </c>
    </row>
    <row r="473" spans="1:4" x14ac:dyDescent="0.25">
      <c r="A473" t="s">
        <v>1096</v>
      </c>
      <c r="B473">
        <v>5</v>
      </c>
      <c r="D473" t="str">
        <f t="shared" si="7"/>
        <v xml:space="preserve">Martin Herber </v>
      </c>
    </row>
    <row r="474" spans="1:4" x14ac:dyDescent="0.25">
      <c r="A474" t="s">
        <v>1038</v>
      </c>
      <c r="B474">
        <v>3</v>
      </c>
      <c r="D474" t="str">
        <f t="shared" si="7"/>
        <v xml:space="preserve">Morgan Thomas </v>
      </c>
    </row>
    <row r="475" spans="1:4" x14ac:dyDescent="0.25">
      <c r="A475" t="s">
        <v>1232</v>
      </c>
      <c r="B475">
        <v>3</v>
      </c>
      <c r="D475" t="str">
        <f t="shared" si="7"/>
        <v xml:space="preserve">Pau Redondo </v>
      </c>
    </row>
    <row r="476" spans="1:4" x14ac:dyDescent="0.25">
      <c r="A476" t="s">
        <v>1157</v>
      </c>
      <c r="B476">
        <v>6</v>
      </c>
      <c r="D476" t="str">
        <f t="shared" si="7"/>
        <v xml:space="preserve">Ragip Övgü </v>
      </c>
    </row>
    <row r="477" spans="1:4" x14ac:dyDescent="0.25">
      <c r="A477" t="s">
        <v>1122</v>
      </c>
      <c r="B477">
        <v>4</v>
      </c>
      <c r="D477" t="str">
        <f t="shared" si="7"/>
        <v xml:space="preserve">Ricardo Esquerdo </v>
      </c>
    </row>
    <row r="478" spans="1:4" x14ac:dyDescent="0.25">
      <c r="A478" t="s">
        <v>1122</v>
      </c>
      <c r="B478">
        <v>4</v>
      </c>
      <c r="D478" t="str">
        <f t="shared" si="7"/>
        <v xml:space="preserve">Ricardo Esquerdo </v>
      </c>
    </row>
    <row r="479" spans="1:4" x14ac:dyDescent="0.25">
      <c r="A479" t="s">
        <v>1174</v>
      </c>
      <c r="B479">
        <v>3</v>
      </c>
      <c r="D479" t="str">
        <f t="shared" si="7"/>
        <v xml:space="preserve">Roelant Bierman </v>
      </c>
    </row>
    <row r="480" spans="1:4" x14ac:dyDescent="0.25">
      <c r="A480" t="s">
        <v>958</v>
      </c>
      <c r="B480">
        <v>4</v>
      </c>
      <c r="D480" t="str">
        <f t="shared" si="7"/>
        <v xml:space="preserve">Stanislaw Zdankiewicz </v>
      </c>
    </row>
    <row r="481" spans="1:4" x14ac:dyDescent="0.25">
      <c r="A481" t="s">
        <v>1294</v>
      </c>
      <c r="B481">
        <v>2</v>
      </c>
      <c r="D481" t="str">
        <f t="shared" si="7"/>
        <v xml:space="preserve">Tijl van Hamburg </v>
      </c>
    </row>
    <row r="482" spans="1:4" x14ac:dyDescent="0.25">
      <c r="A482" t="s">
        <v>939</v>
      </c>
      <c r="B482">
        <v>3</v>
      </c>
      <c r="D482" t="str">
        <f t="shared" si="7"/>
        <v xml:space="preserve">Tommaso Niscola </v>
      </c>
    </row>
    <row r="483" spans="1:4" x14ac:dyDescent="0.25">
      <c r="A483" t="s">
        <v>1000</v>
      </c>
      <c r="B483">
        <v>2</v>
      </c>
      <c r="D483" t="str">
        <f t="shared" si="7"/>
        <v xml:space="preserve">Xofre Taín </v>
      </c>
    </row>
    <row r="484" spans="1:4" x14ac:dyDescent="0.25">
      <c r="A484" t="s">
        <v>1097</v>
      </c>
      <c r="B484">
        <v>5</v>
      </c>
      <c r="D484" t="str">
        <f t="shared" si="7"/>
        <v xml:space="preserve">Adam Moss </v>
      </c>
    </row>
    <row r="485" spans="1:4" x14ac:dyDescent="0.25">
      <c r="A485" t="s">
        <v>1208</v>
      </c>
      <c r="B485">
        <v>1</v>
      </c>
      <c r="D485" t="str">
        <f t="shared" si="7"/>
        <v xml:space="preserve">Adamantios Fikias </v>
      </c>
    </row>
    <row r="486" spans="1:4" x14ac:dyDescent="0.25">
      <c r="A486" t="s">
        <v>1175</v>
      </c>
      <c r="B486">
        <v>3</v>
      </c>
      <c r="D486" t="str">
        <f t="shared" si="7"/>
        <v xml:space="preserve">Aimar Lasalde </v>
      </c>
    </row>
    <row r="487" spans="1:4" x14ac:dyDescent="0.25">
      <c r="A487" t="s">
        <v>1085</v>
      </c>
      <c r="B487">
        <v>3</v>
      </c>
      <c r="D487" t="str">
        <f t="shared" si="7"/>
        <v xml:space="preserve">Arnold Kalckstein </v>
      </c>
    </row>
    <row r="488" spans="1:4" x14ac:dyDescent="0.25">
      <c r="A488" t="s">
        <v>974</v>
      </c>
      <c r="B488">
        <v>3</v>
      </c>
      <c r="D488" t="str">
        <f t="shared" si="7"/>
        <v xml:space="preserve">Cornel Caraba </v>
      </c>
    </row>
    <row r="489" spans="1:4" x14ac:dyDescent="0.25">
      <c r="A489" t="s">
        <v>1252</v>
      </c>
      <c r="B489">
        <v>3</v>
      </c>
      <c r="D489" t="str">
        <f t="shared" si="7"/>
        <v xml:space="preserve">Dan Veneau </v>
      </c>
    </row>
    <row r="490" spans="1:4" x14ac:dyDescent="0.25">
      <c r="A490" t="s">
        <v>1218</v>
      </c>
      <c r="B490">
        <v>2</v>
      </c>
      <c r="D490" t="str">
        <f t="shared" si="7"/>
        <v xml:space="preserve">David Erbiti </v>
      </c>
    </row>
    <row r="491" spans="1:4" x14ac:dyDescent="0.25">
      <c r="A491" t="s">
        <v>959</v>
      </c>
      <c r="B491">
        <v>3</v>
      </c>
      <c r="D491" t="str">
        <f t="shared" si="7"/>
        <v xml:space="preserve">Emilio Rojas </v>
      </c>
    </row>
    <row r="492" spans="1:4" x14ac:dyDescent="0.25">
      <c r="A492" t="s">
        <v>1194</v>
      </c>
      <c r="B492">
        <v>2</v>
      </c>
      <c r="D492" t="str">
        <f t="shared" si="7"/>
        <v xml:space="preserve">Enis Kalan </v>
      </c>
    </row>
    <row r="493" spans="1:4" x14ac:dyDescent="0.25">
      <c r="A493" t="s">
        <v>1075</v>
      </c>
      <c r="B493">
        <v>8</v>
      </c>
      <c r="D493" t="str">
        <f t="shared" si="7"/>
        <v xml:space="preserve">Feliciano Becerril </v>
      </c>
    </row>
    <row r="494" spans="1:4" x14ac:dyDescent="0.25">
      <c r="A494" t="s">
        <v>1158</v>
      </c>
      <c r="B494">
        <v>5</v>
      </c>
      <c r="D494" t="str">
        <f t="shared" si="7"/>
        <v xml:space="preserve">Giulio Procaccianti </v>
      </c>
    </row>
    <row r="495" spans="1:4" x14ac:dyDescent="0.25">
      <c r="A495" t="s">
        <v>1313</v>
      </c>
      <c r="B495">
        <v>1</v>
      </c>
      <c r="D495" t="str">
        <f t="shared" si="7"/>
        <v xml:space="preserve">Gustaw Bugajski </v>
      </c>
    </row>
    <row r="496" spans="1:4" x14ac:dyDescent="0.25">
      <c r="A496" t="s">
        <v>1123</v>
      </c>
      <c r="B496">
        <v>3</v>
      </c>
      <c r="D496" t="str">
        <f t="shared" si="7"/>
        <v xml:space="preserve">Ilari Santasalmi </v>
      </c>
    </row>
    <row r="497" spans="1:4" x14ac:dyDescent="0.25">
      <c r="A497" t="s">
        <v>1113</v>
      </c>
      <c r="B497">
        <v>1</v>
      </c>
      <c r="D497" t="str">
        <f t="shared" si="7"/>
        <v xml:space="preserve">Jos Pittoors </v>
      </c>
    </row>
    <row r="498" spans="1:4" x14ac:dyDescent="0.25">
      <c r="A498" t="s">
        <v>1326</v>
      </c>
      <c r="B498">
        <v>2</v>
      </c>
      <c r="D498" t="str">
        <f t="shared" si="7"/>
        <v xml:space="preserve">Karst van Gils </v>
      </c>
    </row>
    <row r="499" spans="1:4" x14ac:dyDescent="0.25">
      <c r="A499" t="s">
        <v>1051</v>
      </c>
      <c r="B499">
        <v>3</v>
      </c>
      <c r="D499" t="str">
        <f t="shared" si="7"/>
        <v xml:space="preserve">Leonardo Baltico </v>
      </c>
    </row>
    <row r="500" spans="1:4" x14ac:dyDescent="0.25">
      <c r="A500" t="s">
        <v>1276</v>
      </c>
      <c r="B500">
        <v>2</v>
      </c>
      <c r="D500" t="str">
        <f t="shared" si="7"/>
        <v xml:space="preserve">Manolo Negrín </v>
      </c>
    </row>
    <row r="501" spans="1:4" x14ac:dyDescent="0.25">
      <c r="A501" t="s">
        <v>1011</v>
      </c>
      <c r="B501">
        <v>1</v>
      </c>
      <c r="D501" t="str">
        <f t="shared" si="7"/>
        <v xml:space="preserve">Mateusz Brzostowski </v>
      </c>
    </row>
    <row r="502" spans="1:4" x14ac:dyDescent="0.25">
      <c r="A502" t="s">
        <v>1001</v>
      </c>
      <c r="B502">
        <v>1</v>
      </c>
      <c r="D502" t="str">
        <f t="shared" si="7"/>
        <v xml:space="preserve">Mauro Vaz </v>
      </c>
    </row>
    <row r="503" spans="1:4" x14ac:dyDescent="0.25">
      <c r="A503" t="s">
        <v>930</v>
      </c>
      <c r="B503">
        <v>2</v>
      </c>
      <c r="D503" t="str">
        <f t="shared" si="7"/>
        <v xml:space="preserve">Miguel Fernández </v>
      </c>
    </row>
    <row r="504" spans="1:4" x14ac:dyDescent="0.25">
      <c r="A504" t="s">
        <v>1026</v>
      </c>
      <c r="B504">
        <v>3</v>
      </c>
      <c r="D504" t="str">
        <f t="shared" si="7"/>
        <v xml:space="preserve">Morgan Thomas </v>
      </c>
    </row>
    <row r="505" spans="1:4" x14ac:dyDescent="0.25">
      <c r="A505" t="s">
        <v>1039</v>
      </c>
      <c r="B505">
        <v>2</v>
      </c>
      <c r="D505" t="str">
        <f t="shared" si="7"/>
        <v xml:space="preserve">Pepijn Zwaan </v>
      </c>
    </row>
    <row r="506" spans="1:4" x14ac:dyDescent="0.25">
      <c r="A506" t="s">
        <v>1140</v>
      </c>
      <c r="B506">
        <v>4</v>
      </c>
      <c r="D506" t="str">
        <f t="shared" si="7"/>
        <v xml:space="preserve">Pere Beltran </v>
      </c>
    </row>
    <row r="507" spans="1:4" x14ac:dyDescent="0.25">
      <c r="A507" t="s">
        <v>1065</v>
      </c>
      <c r="B507">
        <v>5</v>
      </c>
      <c r="D507" t="str">
        <f t="shared" si="7"/>
        <v xml:space="preserve">Raffaele Sitter </v>
      </c>
    </row>
    <row r="508" spans="1:4" x14ac:dyDescent="0.25">
      <c r="A508" t="s">
        <v>990</v>
      </c>
      <c r="B508">
        <v>1</v>
      </c>
      <c r="D508" t="str">
        <f t="shared" si="7"/>
        <v xml:space="preserve">Raúl Riquelme </v>
      </c>
    </row>
    <row r="509" spans="1:4" x14ac:dyDescent="0.25">
      <c r="A509" t="s">
        <v>919</v>
      </c>
      <c r="B509">
        <v>4</v>
      </c>
      <c r="D509" t="str">
        <f t="shared" si="7"/>
        <v xml:space="preserve">Renato Galeano </v>
      </c>
    </row>
    <row r="510" spans="1:4" x14ac:dyDescent="0.25">
      <c r="A510" t="s">
        <v>1295</v>
      </c>
      <c r="B510">
        <v>2</v>
      </c>
      <c r="D510" t="str">
        <f t="shared" si="7"/>
        <v xml:space="preserve">Udo Mier </v>
      </c>
    </row>
    <row r="511" spans="1:4" x14ac:dyDescent="0.25">
      <c r="A511" t="s">
        <v>1233</v>
      </c>
      <c r="B511">
        <v>3</v>
      </c>
      <c r="D511" t="str">
        <f t="shared" si="7"/>
        <v xml:space="preserve">Ulf Schenkel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V247"/>
  <sheetViews>
    <sheetView workbookViewId="0">
      <selection activeCell="B16" sqref="B16"/>
    </sheetView>
  </sheetViews>
  <sheetFormatPr baseColWidth="10" defaultColWidth="11.42578125" defaultRowHeight="15" x14ac:dyDescent="0.25"/>
  <cols>
    <col min="1" max="1" width="12.28515625" customWidth="1"/>
    <col min="2" max="2" width="22.42578125" customWidth="1"/>
    <col min="3" max="3" width="10.7109375" customWidth="1"/>
    <col min="4" max="4" width="9.140625" style="42" customWidth="1"/>
    <col min="5" max="5" width="5.140625" customWidth="1"/>
    <col min="6" max="6" width="5.28515625" style="42" customWidth="1"/>
    <col min="7" max="7" width="20.85546875" customWidth="1"/>
    <col min="8" max="8" width="5.85546875" style="42" customWidth="1"/>
    <col min="9" max="9" width="6.85546875" customWidth="1"/>
    <col min="10" max="10" width="5.28515625" style="42" customWidth="1"/>
    <col min="11" max="11" width="21.7109375" customWidth="1"/>
    <col min="12" max="12" width="5.85546875" customWidth="1"/>
    <col min="13" max="13" width="6.140625" customWidth="1"/>
    <col min="14" max="14" width="5.28515625" style="42" customWidth="1"/>
    <col min="15" max="15" width="21.28515625" customWidth="1"/>
    <col min="16" max="16" width="5.85546875" customWidth="1"/>
    <col min="18" max="18" width="5.28515625" style="42" bestFit="1" customWidth="1"/>
    <col min="19" max="19" width="24.7109375" style="42" bestFit="1" customWidth="1"/>
    <col min="20" max="20" width="5.42578125" style="42" bestFit="1" customWidth="1"/>
    <col min="21" max="22" width="11.42578125" style="42"/>
  </cols>
  <sheetData>
    <row r="1" spans="1:22" x14ac:dyDescent="0.25">
      <c r="A1" s="92" t="s">
        <v>0</v>
      </c>
      <c r="F1" s="94" t="s">
        <v>1</v>
      </c>
      <c r="G1" s="476" t="s">
        <v>2</v>
      </c>
      <c r="H1" s="476"/>
      <c r="J1" s="94" t="s">
        <v>1</v>
      </c>
      <c r="K1" s="470" t="s">
        <v>3</v>
      </c>
      <c r="L1" s="459" t="s">
        <v>1532</v>
      </c>
      <c r="N1" s="94" t="s">
        <v>1</v>
      </c>
      <c r="O1" s="476" t="s">
        <v>4</v>
      </c>
      <c r="P1" s="476"/>
      <c r="R1" s="459" t="s">
        <v>1</v>
      </c>
      <c r="S1" s="459" t="s">
        <v>1330</v>
      </c>
      <c r="T1" s="469" t="s">
        <v>388</v>
      </c>
      <c r="U1" s="42" t="s">
        <v>403</v>
      </c>
    </row>
    <row r="2" spans="1:22" x14ac:dyDescent="0.25">
      <c r="A2" s="266">
        <v>44412</v>
      </c>
      <c r="F2" s="43">
        <v>1</v>
      </c>
      <c r="G2" s="93" t="s">
        <v>5</v>
      </c>
      <c r="H2" s="42" t="s">
        <v>6</v>
      </c>
      <c r="J2" s="43">
        <v>1</v>
      </c>
      <c r="K2" s="193" t="s">
        <v>14</v>
      </c>
      <c r="L2" s="42">
        <v>227</v>
      </c>
      <c r="N2" s="43">
        <v>1</v>
      </c>
      <c r="O2" s="193" t="s">
        <v>29</v>
      </c>
      <c r="P2" s="42">
        <v>114</v>
      </c>
      <c r="R2" s="472">
        <v>1</v>
      </c>
      <c r="S2" s="473" t="str">
        <f>Goles!G2</f>
        <v xml:space="preserve">Enrique Cubas </v>
      </c>
      <c r="T2" s="473">
        <v>102</v>
      </c>
      <c r="U2" s="471">
        <f>T2/L2</f>
        <v>0.44933920704845814</v>
      </c>
      <c r="V2" s="42" t="s">
        <v>388</v>
      </c>
    </row>
    <row r="3" spans="1:22" x14ac:dyDescent="0.25">
      <c r="F3" s="43">
        <v>2</v>
      </c>
      <c r="G3" s="93" t="s">
        <v>10</v>
      </c>
      <c r="H3" s="42" t="s">
        <v>11</v>
      </c>
      <c r="J3" s="43">
        <v>2</v>
      </c>
      <c r="K3" s="193" t="s">
        <v>32</v>
      </c>
      <c r="L3" s="42">
        <v>217</v>
      </c>
      <c r="N3" s="43">
        <v>2</v>
      </c>
      <c r="O3" s="93" t="s">
        <v>8</v>
      </c>
      <c r="P3" s="42">
        <v>58</v>
      </c>
      <c r="R3" s="43">
        <v>2</v>
      </c>
      <c r="S3" s="468" t="str">
        <f>Goles!G3</f>
        <v xml:space="preserve">Saúl Piña </v>
      </c>
      <c r="T3" s="468">
        <f>Goles!H3</f>
        <v>90</v>
      </c>
      <c r="U3" s="471">
        <f>T3/L13</f>
        <v>0.63829787234042556</v>
      </c>
      <c r="V3" s="42">
        <f>SUM(T:T)</f>
        <v>2084</v>
      </c>
    </row>
    <row r="4" spans="1:22" x14ac:dyDescent="0.25">
      <c r="A4" s="92" t="s">
        <v>15</v>
      </c>
      <c r="F4" s="43">
        <v>3</v>
      </c>
      <c r="G4" s="93" t="s">
        <v>16</v>
      </c>
      <c r="H4" s="42" t="s">
        <v>17</v>
      </c>
      <c r="J4" s="43">
        <v>3</v>
      </c>
      <c r="K4" s="193" t="s">
        <v>20</v>
      </c>
      <c r="L4" s="42">
        <v>213</v>
      </c>
      <c r="N4" s="43">
        <v>2</v>
      </c>
      <c r="O4" s="193" t="s">
        <v>26</v>
      </c>
      <c r="P4" s="42">
        <v>58</v>
      </c>
      <c r="R4" s="472">
        <v>3</v>
      </c>
      <c r="S4" s="473" t="str">
        <f>Goles!G4</f>
        <v xml:space="preserve">Wil Duffill </v>
      </c>
      <c r="T4" s="473">
        <v>68</v>
      </c>
      <c r="U4" s="471">
        <f>T4/L3</f>
        <v>0.31336405529953915</v>
      </c>
    </row>
    <row r="5" spans="1:22" x14ac:dyDescent="0.25">
      <c r="A5" s="42" t="s">
        <v>21</v>
      </c>
      <c r="B5" t="s">
        <v>22</v>
      </c>
      <c r="C5" s="23">
        <v>42847</v>
      </c>
      <c r="D5" s="43" t="s">
        <v>23</v>
      </c>
      <c r="F5" s="43">
        <v>3</v>
      </c>
      <c r="G5" s="193" t="s">
        <v>682</v>
      </c>
      <c r="H5" s="42" t="s">
        <v>17</v>
      </c>
      <c r="J5" s="43">
        <v>4</v>
      </c>
      <c r="K5" s="193" t="s">
        <v>26</v>
      </c>
      <c r="L5" s="42">
        <v>194</v>
      </c>
      <c r="N5" s="43">
        <v>4</v>
      </c>
      <c r="O5" s="93" t="s">
        <v>13</v>
      </c>
      <c r="P5" s="42">
        <v>57</v>
      </c>
      <c r="R5" s="43">
        <v>4</v>
      </c>
      <c r="S5" s="468" t="str">
        <f>Goles!G5</f>
        <v xml:space="preserve">Rasheed Da'na </v>
      </c>
      <c r="T5" s="468">
        <f>Goles!H5</f>
        <v>63</v>
      </c>
      <c r="U5" s="471">
        <f>T5/L11</f>
        <v>0.4375</v>
      </c>
    </row>
    <row r="6" spans="1:22" x14ac:dyDescent="0.25">
      <c r="A6" s="42" t="s">
        <v>28</v>
      </c>
      <c r="B6" t="s">
        <v>1534</v>
      </c>
      <c r="C6" s="23">
        <v>44363</v>
      </c>
      <c r="D6" s="43" t="s">
        <v>1533</v>
      </c>
      <c r="F6" s="43">
        <v>5</v>
      </c>
      <c r="G6" s="93" t="s">
        <v>24</v>
      </c>
      <c r="H6" s="42" t="s">
        <v>25</v>
      </c>
      <c r="J6" s="43">
        <v>5</v>
      </c>
      <c r="K6" s="193" t="s">
        <v>29</v>
      </c>
      <c r="L6" s="42">
        <v>193</v>
      </c>
      <c r="N6" s="43">
        <v>5</v>
      </c>
      <c r="O6" s="93" t="s">
        <v>10</v>
      </c>
      <c r="P6" s="42">
        <v>44</v>
      </c>
      <c r="R6" s="43">
        <v>4</v>
      </c>
      <c r="S6" s="468" t="str">
        <f>Goles!G6</f>
        <v xml:space="preserve">Adam Moss </v>
      </c>
      <c r="T6" s="468">
        <f>Goles!H6</f>
        <v>63</v>
      </c>
      <c r="U6" s="471">
        <f>T6/L10</f>
        <v>0.43448275862068964</v>
      </c>
    </row>
    <row r="7" spans="1:22" x14ac:dyDescent="0.25">
      <c r="F7" s="43">
        <v>5</v>
      </c>
      <c r="G7" s="93" t="s">
        <v>8</v>
      </c>
      <c r="H7" s="42" t="s">
        <v>25</v>
      </c>
      <c r="J7" s="43">
        <v>6</v>
      </c>
      <c r="K7" s="193" t="s">
        <v>9</v>
      </c>
      <c r="L7" s="42">
        <v>190</v>
      </c>
      <c r="N7" s="43">
        <v>6</v>
      </c>
      <c r="O7" s="93" t="s">
        <v>5</v>
      </c>
      <c r="P7" s="42">
        <v>42</v>
      </c>
      <c r="R7" s="43">
        <v>4</v>
      </c>
      <c r="S7" s="468" t="str">
        <f>Goles!G7</f>
        <v xml:space="preserve">Leonardo Baltico </v>
      </c>
      <c r="T7" s="468">
        <f>Goles!H7</f>
        <v>63</v>
      </c>
      <c r="U7" s="471">
        <f>T7/L15</f>
        <v>0.46666666666666667</v>
      </c>
    </row>
    <row r="8" spans="1:22" x14ac:dyDescent="0.25">
      <c r="A8" s="94" t="s">
        <v>1</v>
      </c>
      <c r="B8" s="476" t="s">
        <v>33</v>
      </c>
      <c r="C8" s="476"/>
      <c r="F8" s="43">
        <v>7</v>
      </c>
      <c r="G8" s="93" t="s">
        <v>18</v>
      </c>
      <c r="H8" s="42" t="s">
        <v>30</v>
      </c>
      <c r="J8" s="43">
        <v>7</v>
      </c>
      <c r="K8" s="93" t="s">
        <v>7</v>
      </c>
      <c r="L8" s="42">
        <v>175</v>
      </c>
      <c r="N8" s="43">
        <v>7</v>
      </c>
      <c r="O8" s="93" t="s">
        <v>31</v>
      </c>
      <c r="P8" s="42">
        <v>29</v>
      </c>
      <c r="R8" s="472">
        <v>7</v>
      </c>
      <c r="S8" s="473" t="str">
        <f>Goles!G8</f>
        <v xml:space="preserve">Rodolfo Rinaldo Paso </v>
      </c>
      <c r="T8" s="473">
        <v>60</v>
      </c>
      <c r="U8" s="471">
        <f>T8/L21</f>
        <v>0.5714285714285714</v>
      </c>
    </row>
    <row r="9" spans="1:22" x14ac:dyDescent="0.25">
      <c r="A9" s="43">
        <v>1</v>
      </c>
      <c r="B9" s="93" t="s">
        <v>7</v>
      </c>
      <c r="C9" s="42">
        <v>71</v>
      </c>
      <c r="F9" s="43">
        <v>8</v>
      </c>
      <c r="G9" s="93" t="s">
        <v>34</v>
      </c>
      <c r="H9" s="42" t="s">
        <v>35</v>
      </c>
      <c r="J9" s="43">
        <v>8</v>
      </c>
      <c r="K9" s="93" t="s">
        <v>12</v>
      </c>
      <c r="L9" s="42">
        <v>155</v>
      </c>
      <c r="N9" s="43">
        <v>8</v>
      </c>
      <c r="O9" s="93" t="s">
        <v>16</v>
      </c>
      <c r="P9" s="42">
        <v>27</v>
      </c>
      <c r="R9" s="43">
        <v>8</v>
      </c>
      <c r="S9" s="468" t="str">
        <f>Goles!G9</f>
        <v xml:space="preserve">Andrin Bärtsch </v>
      </c>
      <c r="T9" s="468">
        <f>Goles!H9</f>
        <v>51</v>
      </c>
      <c r="U9" s="471">
        <f>T9/L14</f>
        <v>0.36428571428571427</v>
      </c>
    </row>
    <row r="10" spans="1:22" x14ac:dyDescent="0.25">
      <c r="A10" s="43">
        <v>2</v>
      </c>
      <c r="B10" s="193" t="s">
        <v>9</v>
      </c>
      <c r="C10" s="42">
        <v>67</v>
      </c>
      <c r="F10" s="43">
        <v>8</v>
      </c>
      <c r="G10" s="193" t="s">
        <v>737</v>
      </c>
      <c r="H10" s="42" t="s">
        <v>35</v>
      </c>
      <c r="J10" s="43">
        <v>9</v>
      </c>
      <c r="K10" s="93" t="s">
        <v>18</v>
      </c>
      <c r="L10" s="42">
        <v>145</v>
      </c>
      <c r="N10" s="43">
        <v>9</v>
      </c>
      <c r="O10" s="93" t="s">
        <v>39</v>
      </c>
      <c r="P10" s="42">
        <v>22</v>
      </c>
      <c r="R10" s="472">
        <v>9</v>
      </c>
      <c r="S10" s="473" t="str">
        <f>Goles!G10</f>
        <v xml:space="preserve">Juan García Peñuela </v>
      </c>
      <c r="T10" s="473">
        <v>48</v>
      </c>
      <c r="U10" s="471">
        <f>T10/L5</f>
        <v>0.24742268041237114</v>
      </c>
    </row>
    <row r="11" spans="1:22" x14ac:dyDescent="0.25">
      <c r="A11" s="43">
        <v>3</v>
      </c>
      <c r="B11" s="93" t="s">
        <v>40</v>
      </c>
      <c r="C11" s="42">
        <v>29</v>
      </c>
      <c r="F11" s="43">
        <v>8</v>
      </c>
      <c r="G11" s="193" t="s">
        <v>770</v>
      </c>
      <c r="H11" s="42" t="s">
        <v>35</v>
      </c>
      <c r="J11" s="43">
        <v>10</v>
      </c>
      <c r="K11" s="93" t="s">
        <v>24</v>
      </c>
      <c r="L11" s="42">
        <v>144</v>
      </c>
      <c r="N11" s="43">
        <v>10</v>
      </c>
      <c r="O11" s="93" t="s">
        <v>42</v>
      </c>
      <c r="P11" s="42">
        <v>20</v>
      </c>
      <c r="R11" s="43">
        <v>10</v>
      </c>
      <c r="S11" s="468" t="str">
        <f>Goles!G11</f>
        <v xml:space="preserve">Gianfranco Rezza </v>
      </c>
      <c r="T11" s="468">
        <f>Goles!H11</f>
        <v>43</v>
      </c>
      <c r="U11" s="471">
        <f>T11/L18</f>
        <v>0.38738738738738737</v>
      </c>
    </row>
    <row r="12" spans="1:22" x14ac:dyDescent="0.25">
      <c r="A12" s="43">
        <v>4</v>
      </c>
      <c r="B12" s="93" t="s">
        <v>43</v>
      </c>
      <c r="C12" s="42">
        <v>16</v>
      </c>
      <c r="F12" s="43">
        <v>8</v>
      </c>
      <c r="G12" s="267" t="s">
        <v>14</v>
      </c>
      <c r="H12" s="42" t="s">
        <v>35</v>
      </c>
      <c r="J12" s="43">
        <v>11</v>
      </c>
      <c r="K12" s="193" t="s">
        <v>47</v>
      </c>
      <c r="L12" s="42">
        <v>142</v>
      </c>
      <c r="N12" s="43">
        <v>11</v>
      </c>
      <c r="O12" s="93" t="s">
        <v>46</v>
      </c>
      <c r="P12" s="42">
        <v>13</v>
      </c>
      <c r="R12" s="472">
        <v>11</v>
      </c>
      <c r="S12" s="473" t="str">
        <f>Goles!G12</f>
        <v xml:space="preserve">Francesc Añigas </v>
      </c>
      <c r="T12" s="473">
        <f>Goles!H12</f>
        <v>39</v>
      </c>
      <c r="U12" s="471">
        <f>T12/L5</f>
        <v>0.20103092783505155</v>
      </c>
    </row>
    <row r="13" spans="1:22" x14ac:dyDescent="0.25">
      <c r="A13" s="43">
        <v>5</v>
      </c>
      <c r="B13" s="93" t="s">
        <v>50</v>
      </c>
      <c r="C13" s="42">
        <v>12</v>
      </c>
      <c r="F13" s="43">
        <v>8</v>
      </c>
      <c r="G13" s="193" t="s">
        <v>9</v>
      </c>
      <c r="H13" s="42" t="s">
        <v>35</v>
      </c>
      <c r="J13" s="43">
        <v>12</v>
      </c>
      <c r="K13" s="93" t="s">
        <v>5</v>
      </c>
      <c r="L13" s="42">
        <v>141</v>
      </c>
      <c r="N13" s="43">
        <v>12</v>
      </c>
      <c r="O13" s="93" t="s">
        <v>49</v>
      </c>
      <c r="P13" s="42">
        <v>12</v>
      </c>
      <c r="R13" s="43">
        <v>12</v>
      </c>
      <c r="S13" s="468" t="str">
        <f>Goles!G13</f>
        <v xml:space="preserve">Pere Beltran </v>
      </c>
      <c r="T13" s="468">
        <f>Goles!H13</f>
        <v>38</v>
      </c>
      <c r="U13" s="471">
        <f>T13/L9</f>
        <v>0.24516129032258063</v>
      </c>
    </row>
    <row r="14" spans="1:22" x14ac:dyDescent="0.25">
      <c r="A14" s="43">
        <v>5</v>
      </c>
      <c r="B14" s="193" t="s">
        <v>63</v>
      </c>
      <c r="C14" s="42">
        <v>12</v>
      </c>
      <c r="F14" s="43">
        <v>13</v>
      </c>
      <c r="G14" s="93" t="s">
        <v>37</v>
      </c>
      <c r="H14" s="42" t="s">
        <v>38</v>
      </c>
      <c r="J14" s="43">
        <v>13</v>
      </c>
      <c r="K14" s="93" t="s">
        <v>13</v>
      </c>
      <c r="L14" s="42">
        <v>140</v>
      </c>
      <c r="N14" s="43">
        <v>12</v>
      </c>
      <c r="O14" s="93" t="s">
        <v>53</v>
      </c>
      <c r="P14" s="42">
        <v>12</v>
      </c>
      <c r="R14" s="472">
        <v>14</v>
      </c>
      <c r="S14" s="473" t="str">
        <f>Goles!G18</f>
        <v xml:space="preserve">Julian Gräbitz </v>
      </c>
      <c r="T14" s="473">
        <v>36</v>
      </c>
      <c r="U14" s="471">
        <f>T14/L20</f>
        <v>0.34285714285714286</v>
      </c>
    </row>
    <row r="15" spans="1:22" x14ac:dyDescent="0.25">
      <c r="A15" s="43">
        <v>7</v>
      </c>
      <c r="B15" s="93" t="s">
        <v>54</v>
      </c>
      <c r="C15" s="42">
        <v>11</v>
      </c>
      <c r="F15" s="43">
        <v>13</v>
      </c>
      <c r="G15" s="93" t="s">
        <v>41</v>
      </c>
      <c r="H15" s="42" t="s">
        <v>38</v>
      </c>
      <c r="J15" s="43">
        <v>14</v>
      </c>
      <c r="K15" s="93" t="s">
        <v>36</v>
      </c>
      <c r="L15" s="42">
        <v>135</v>
      </c>
      <c r="N15" s="43">
        <v>14</v>
      </c>
      <c r="O15" s="93" t="s">
        <v>56</v>
      </c>
      <c r="P15" s="42">
        <v>11</v>
      </c>
      <c r="R15" s="472">
        <v>15</v>
      </c>
      <c r="S15" s="473" t="str">
        <f>Goles!G15</f>
        <v xml:space="preserve">Valeri Gomis </v>
      </c>
      <c r="T15" s="473">
        <v>34</v>
      </c>
      <c r="U15" s="471">
        <f>T15/L6</f>
        <v>0.17616580310880828</v>
      </c>
    </row>
    <row r="16" spans="1:22" x14ac:dyDescent="0.25">
      <c r="A16" s="43">
        <v>7</v>
      </c>
      <c r="B16" s="93" t="s">
        <v>58</v>
      </c>
      <c r="C16" s="42">
        <v>11</v>
      </c>
      <c r="F16" s="43">
        <v>13</v>
      </c>
      <c r="G16" s="93" t="s">
        <v>44</v>
      </c>
      <c r="H16" s="42" t="s">
        <v>38</v>
      </c>
      <c r="J16" s="43">
        <v>15</v>
      </c>
      <c r="K16" s="193" t="s">
        <v>66</v>
      </c>
      <c r="L16" s="42">
        <v>134</v>
      </c>
      <c r="N16" s="43">
        <v>14</v>
      </c>
      <c r="O16" s="93" t="s">
        <v>54</v>
      </c>
      <c r="P16" s="42">
        <v>11</v>
      </c>
      <c r="R16" s="43">
        <v>16</v>
      </c>
      <c r="S16" s="468" t="str">
        <f>Goles!G14</f>
        <v xml:space="preserve">Brunon Chuda </v>
      </c>
      <c r="T16" s="468">
        <f>Goles!H14</f>
        <v>33</v>
      </c>
      <c r="U16" s="471">
        <f>T16/L29</f>
        <v>0.515625</v>
      </c>
    </row>
    <row r="17" spans="1:21" x14ac:dyDescent="0.25">
      <c r="A17" s="43">
        <v>8</v>
      </c>
      <c r="B17" s="93" t="s">
        <v>60</v>
      </c>
      <c r="C17" s="42">
        <v>6</v>
      </c>
      <c r="F17" s="43">
        <v>13</v>
      </c>
      <c r="G17" s="93" t="s">
        <v>48</v>
      </c>
      <c r="H17" s="42" t="s">
        <v>38</v>
      </c>
      <c r="J17" s="43">
        <v>16</v>
      </c>
      <c r="K17" s="193" t="s">
        <v>27</v>
      </c>
      <c r="L17" s="42">
        <v>131</v>
      </c>
      <c r="N17" s="43">
        <v>16</v>
      </c>
      <c r="O17" s="93" t="s">
        <v>65</v>
      </c>
      <c r="P17" s="42">
        <v>8</v>
      </c>
      <c r="R17" s="43">
        <v>17</v>
      </c>
      <c r="S17" s="468" t="str">
        <f>Goles!G16</f>
        <v xml:space="preserve">Kendor Nagiturri </v>
      </c>
      <c r="T17" s="468">
        <f>Goles!H16</f>
        <v>30</v>
      </c>
      <c r="U17" s="471">
        <f>T17/L37</f>
        <v>0.55555555555555558</v>
      </c>
    </row>
    <row r="18" spans="1:21" x14ac:dyDescent="0.25">
      <c r="A18" s="43">
        <v>10</v>
      </c>
      <c r="B18" s="93" t="s">
        <v>67</v>
      </c>
      <c r="C18" s="42">
        <v>4</v>
      </c>
      <c r="F18" s="43">
        <v>13</v>
      </c>
      <c r="G18" s="93" t="s">
        <v>176</v>
      </c>
      <c r="H18" s="42" t="s">
        <v>38</v>
      </c>
      <c r="J18" s="43">
        <v>17</v>
      </c>
      <c r="K18" s="93" t="s">
        <v>37</v>
      </c>
      <c r="L18" s="42">
        <v>111</v>
      </c>
      <c r="N18" s="43">
        <v>16</v>
      </c>
      <c r="O18" s="93" t="s">
        <v>71</v>
      </c>
      <c r="P18" s="42">
        <v>8</v>
      </c>
      <c r="R18" s="43">
        <v>17</v>
      </c>
      <c r="S18" s="468" t="str">
        <f>Goles!G17</f>
        <v xml:space="preserve">Malte Neulinger </v>
      </c>
      <c r="T18" s="468">
        <f>Goles!H17</f>
        <v>30</v>
      </c>
      <c r="U18" s="471">
        <f>T18/L41</f>
        <v>0.58823529411764708</v>
      </c>
    </row>
    <row r="19" spans="1:21" x14ac:dyDescent="0.25">
      <c r="A19" s="43">
        <v>11</v>
      </c>
      <c r="B19" s="93" t="s">
        <v>73</v>
      </c>
      <c r="C19" s="42">
        <v>3</v>
      </c>
      <c r="F19" s="43">
        <v>13</v>
      </c>
      <c r="G19" s="267" t="s">
        <v>772</v>
      </c>
      <c r="H19" s="42" t="s">
        <v>38</v>
      </c>
      <c r="J19" s="43">
        <v>18</v>
      </c>
      <c r="K19" s="93" t="s">
        <v>45</v>
      </c>
      <c r="L19" s="42">
        <v>105</v>
      </c>
      <c r="N19" s="43">
        <v>16</v>
      </c>
      <c r="O19" s="93" t="s">
        <v>75</v>
      </c>
      <c r="P19" s="42">
        <v>8</v>
      </c>
      <c r="R19" s="43">
        <v>18</v>
      </c>
      <c r="S19" s="468" t="str">
        <f>Goles!G19</f>
        <v xml:space="preserve">Joãozinho do Mato </v>
      </c>
      <c r="T19" s="468">
        <f>Goles!H19</f>
        <v>27</v>
      </c>
      <c r="U19" s="471">
        <f>T19/L34</f>
        <v>0.47368421052631576</v>
      </c>
    </row>
    <row r="20" spans="1:21" x14ac:dyDescent="0.25">
      <c r="A20" s="43">
        <v>12</v>
      </c>
      <c r="B20" s="93" t="s">
        <v>76</v>
      </c>
      <c r="C20" s="42">
        <v>2</v>
      </c>
      <c r="F20" s="43">
        <v>19</v>
      </c>
      <c r="G20" s="93" t="s">
        <v>51</v>
      </c>
      <c r="H20" s="42" t="s">
        <v>52</v>
      </c>
      <c r="J20" s="43">
        <v>18</v>
      </c>
      <c r="K20" s="193" t="s">
        <v>774</v>
      </c>
      <c r="L20" s="42">
        <v>105</v>
      </c>
      <c r="M20" s="42"/>
      <c r="N20" s="43">
        <v>19</v>
      </c>
      <c r="O20" s="93" t="s">
        <v>78</v>
      </c>
      <c r="P20" s="42">
        <v>7</v>
      </c>
      <c r="R20" s="472">
        <v>19</v>
      </c>
      <c r="S20" s="473" t="str">
        <f>Goles!G32</f>
        <v xml:space="preserve">Meraj Siddiqui </v>
      </c>
      <c r="T20" s="473">
        <v>26</v>
      </c>
      <c r="U20" s="471">
        <f>T20/L38</f>
        <v>0.49056603773584906</v>
      </c>
    </row>
    <row r="21" spans="1:21" x14ac:dyDescent="0.25">
      <c r="A21" s="43">
        <v>12</v>
      </c>
      <c r="B21" s="93" t="s">
        <v>79</v>
      </c>
      <c r="C21" s="42">
        <v>2</v>
      </c>
      <c r="F21" s="43">
        <v>19</v>
      </c>
      <c r="G21" s="93" t="s">
        <v>55</v>
      </c>
      <c r="H21" s="42" t="s">
        <v>52</v>
      </c>
      <c r="J21" s="43">
        <v>18</v>
      </c>
      <c r="K21" s="193" t="s">
        <v>682</v>
      </c>
      <c r="L21" s="42">
        <v>105</v>
      </c>
      <c r="N21" s="43">
        <v>19</v>
      </c>
      <c r="O21" s="93" t="s">
        <v>82</v>
      </c>
      <c r="P21" s="42">
        <v>7</v>
      </c>
      <c r="R21" s="43">
        <v>20</v>
      </c>
      <c r="S21" s="468" t="str">
        <f>Goles!G20</f>
        <v xml:space="preserve">Nikolay Gerasimenko </v>
      </c>
      <c r="T21" s="468">
        <f>Goles!H20</f>
        <v>24</v>
      </c>
      <c r="U21" s="471"/>
    </row>
    <row r="22" spans="1:21" x14ac:dyDescent="0.25">
      <c r="A22" s="43">
        <v>14</v>
      </c>
      <c r="B22" s="93" t="s">
        <v>83</v>
      </c>
      <c r="C22" s="42">
        <v>1</v>
      </c>
      <c r="F22" s="43">
        <v>19</v>
      </c>
      <c r="G22" s="93" t="s">
        <v>59</v>
      </c>
      <c r="H22" s="42" t="s">
        <v>52</v>
      </c>
      <c r="J22" s="43">
        <v>21</v>
      </c>
      <c r="K22" s="93" t="s">
        <v>773</v>
      </c>
      <c r="L22" s="42">
        <v>102</v>
      </c>
      <c r="N22" s="43">
        <v>19</v>
      </c>
      <c r="O22" s="93" t="s">
        <v>57</v>
      </c>
      <c r="P22" s="42">
        <v>7</v>
      </c>
      <c r="R22" s="43">
        <v>20</v>
      </c>
      <c r="S22" s="468" t="str">
        <f>Goles!G21</f>
        <v xml:space="preserve">Aimar Lasalde </v>
      </c>
      <c r="T22" s="468">
        <f>Goles!H21</f>
        <v>24</v>
      </c>
      <c r="U22" s="471">
        <f>T22/L28</f>
        <v>0.35820895522388058</v>
      </c>
    </row>
    <row r="23" spans="1:21" x14ac:dyDescent="0.25">
      <c r="A23" s="43">
        <v>14</v>
      </c>
      <c r="B23" s="93" t="s">
        <v>85</v>
      </c>
      <c r="C23" s="42">
        <v>1</v>
      </c>
      <c r="F23" s="43">
        <v>19</v>
      </c>
      <c r="G23" s="93" t="s">
        <v>61</v>
      </c>
      <c r="H23" s="42" t="s">
        <v>52</v>
      </c>
      <c r="J23" s="43">
        <v>22</v>
      </c>
      <c r="K23" s="93" t="s">
        <v>40</v>
      </c>
      <c r="L23" s="42">
        <v>93</v>
      </c>
      <c r="N23" s="43">
        <v>22</v>
      </c>
      <c r="O23" s="93" t="s">
        <v>87</v>
      </c>
      <c r="P23" s="42">
        <v>6</v>
      </c>
      <c r="R23" s="43">
        <v>20</v>
      </c>
      <c r="S23" s="468" t="str">
        <f>Goles!G22</f>
        <v xml:space="preserve">Leo Hilpinen </v>
      </c>
      <c r="T23" s="468">
        <f>Goles!H22</f>
        <v>24</v>
      </c>
      <c r="U23" s="471"/>
    </row>
    <row r="24" spans="1:21" x14ac:dyDescent="0.25">
      <c r="A24" s="43">
        <v>14</v>
      </c>
      <c r="B24" s="93" t="s">
        <v>88</v>
      </c>
      <c r="C24" s="42">
        <v>1</v>
      </c>
      <c r="F24" s="43">
        <v>19</v>
      </c>
      <c r="G24" s="93" t="s">
        <v>7</v>
      </c>
      <c r="H24" s="42" t="s">
        <v>52</v>
      </c>
      <c r="J24" s="43">
        <v>23</v>
      </c>
      <c r="K24" s="93" t="s">
        <v>72</v>
      </c>
      <c r="L24" s="42">
        <v>84</v>
      </c>
      <c r="N24" s="43">
        <v>22</v>
      </c>
      <c r="O24" s="93" t="s">
        <v>89</v>
      </c>
      <c r="P24" s="42">
        <v>6</v>
      </c>
      <c r="R24" s="43">
        <v>20</v>
      </c>
      <c r="S24" s="468" t="str">
        <f>Goles!G23</f>
        <v xml:space="preserve">David Garcia-Spiess </v>
      </c>
      <c r="T24" s="468">
        <f>Goles!H23</f>
        <v>24</v>
      </c>
      <c r="U24" s="471"/>
    </row>
    <row r="25" spans="1:21" x14ac:dyDescent="0.25">
      <c r="A25" s="43">
        <v>14</v>
      </c>
      <c r="B25" s="93" t="s">
        <v>90</v>
      </c>
      <c r="C25" s="42">
        <v>1</v>
      </c>
      <c r="F25" s="43">
        <v>19</v>
      </c>
      <c r="G25" s="93" t="s">
        <v>177</v>
      </c>
      <c r="H25" s="42" t="s">
        <v>52</v>
      </c>
      <c r="J25" s="43">
        <v>24</v>
      </c>
      <c r="K25" s="93" t="s">
        <v>64</v>
      </c>
      <c r="L25" s="42">
        <v>83</v>
      </c>
      <c r="N25" s="43">
        <v>22</v>
      </c>
      <c r="O25" s="93" t="s">
        <v>36</v>
      </c>
      <c r="P25" s="42">
        <v>6</v>
      </c>
      <c r="R25" s="472">
        <v>20</v>
      </c>
      <c r="S25" s="473" t="str">
        <f>Goles!G24</f>
        <v xml:space="preserve">Guillermo Pedrajas </v>
      </c>
      <c r="T25" s="473">
        <f>Goles!H24</f>
        <v>24</v>
      </c>
      <c r="U25" s="471">
        <f>T25/L12</f>
        <v>0.16901408450704225</v>
      </c>
    </row>
    <row r="26" spans="1:21" x14ac:dyDescent="0.25">
      <c r="A26" s="43">
        <v>14</v>
      </c>
      <c r="B26" s="93" t="s">
        <v>91</v>
      </c>
      <c r="C26" s="42">
        <v>1</v>
      </c>
      <c r="F26" s="43">
        <v>19</v>
      </c>
      <c r="G26" s="193" t="s">
        <v>26</v>
      </c>
      <c r="H26" s="42" t="s">
        <v>52</v>
      </c>
      <c r="J26" s="43">
        <v>25</v>
      </c>
      <c r="K26" s="93" t="s">
        <v>70</v>
      </c>
      <c r="L26" s="42">
        <v>78</v>
      </c>
      <c r="R26" s="43">
        <v>25</v>
      </c>
      <c r="S26" s="468" t="str">
        <f>Goles!G25</f>
        <v xml:space="preserve">Nikolas Lakkotripi </v>
      </c>
      <c r="T26" s="468">
        <f>Goles!H25</f>
        <v>22</v>
      </c>
      <c r="U26" s="471"/>
    </row>
    <row r="27" spans="1:21" x14ac:dyDescent="0.25">
      <c r="A27" s="43">
        <v>14</v>
      </c>
      <c r="B27" s="93" t="s">
        <v>93</v>
      </c>
      <c r="C27" s="42">
        <v>1</v>
      </c>
      <c r="F27" s="43">
        <v>19</v>
      </c>
      <c r="G27" s="193" t="s">
        <v>27</v>
      </c>
      <c r="H27" s="42" t="s">
        <v>52</v>
      </c>
      <c r="J27" s="43">
        <v>26</v>
      </c>
      <c r="K27" s="193" t="s">
        <v>62</v>
      </c>
      <c r="L27" s="42">
        <v>77</v>
      </c>
      <c r="R27" s="43">
        <v>25</v>
      </c>
      <c r="S27" s="468" t="str">
        <f>Goles!G26</f>
        <v xml:space="preserve">Tommaso Niscola </v>
      </c>
      <c r="T27" s="468">
        <f>Goles!H26</f>
        <v>22</v>
      </c>
      <c r="U27" s="471"/>
    </row>
    <row r="28" spans="1:21" x14ac:dyDescent="0.25">
      <c r="A28" s="43">
        <v>14</v>
      </c>
      <c r="B28" s="93" t="s">
        <v>96</v>
      </c>
      <c r="C28" s="42">
        <v>1</v>
      </c>
      <c r="F28" s="43">
        <v>19</v>
      </c>
      <c r="G28" s="193" t="s">
        <v>32</v>
      </c>
      <c r="H28" s="42" t="s">
        <v>52</v>
      </c>
      <c r="J28" s="43">
        <v>27</v>
      </c>
      <c r="K28" s="93" t="s">
        <v>59</v>
      </c>
      <c r="L28" s="42">
        <v>67</v>
      </c>
      <c r="R28" s="43">
        <v>25</v>
      </c>
      <c r="S28" s="468" t="str">
        <f>Goles!G27</f>
        <v xml:space="preserve">Roelant Bierman </v>
      </c>
      <c r="T28" s="468">
        <f>Goles!H27</f>
        <v>22</v>
      </c>
      <c r="U28" s="471"/>
    </row>
    <row r="29" spans="1:21" x14ac:dyDescent="0.25">
      <c r="A29" s="43">
        <v>14</v>
      </c>
      <c r="B29" s="93" t="s">
        <v>98</v>
      </c>
      <c r="C29" s="42">
        <v>1</v>
      </c>
      <c r="F29" s="43">
        <v>19</v>
      </c>
      <c r="G29" s="193" t="s">
        <v>20</v>
      </c>
      <c r="H29" s="42" t="s">
        <v>52</v>
      </c>
      <c r="J29" s="43">
        <v>28</v>
      </c>
      <c r="K29" s="93" t="s">
        <v>8</v>
      </c>
      <c r="L29" s="42">
        <v>64</v>
      </c>
      <c r="R29" s="43">
        <v>25</v>
      </c>
      <c r="S29" s="468" t="str">
        <f>Goles!G28</f>
        <v xml:space="preserve">Adamantios Fikias </v>
      </c>
      <c r="T29" s="468">
        <f>Goles!H28</f>
        <v>22</v>
      </c>
      <c r="U29" s="471">
        <f>T29/L33</f>
        <v>0.38596491228070173</v>
      </c>
    </row>
    <row r="30" spans="1:21" x14ac:dyDescent="0.25">
      <c r="A30" s="43">
        <v>14</v>
      </c>
      <c r="B30" s="93" t="s">
        <v>100</v>
      </c>
      <c r="C30" s="42">
        <v>1</v>
      </c>
      <c r="F30" s="43">
        <v>29</v>
      </c>
      <c r="G30" s="93" t="s">
        <v>68</v>
      </c>
      <c r="H30" s="42" t="s">
        <v>69</v>
      </c>
      <c r="J30" s="43">
        <v>29</v>
      </c>
      <c r="K30" s="93" t="s">
        <v>81</v>
      </c>
      <c r="L30" s="42">
        <v>60</v>
      </c>
      <c r="R30" s="43">
        <v>29</v>
      </c>
      <c r="S30" s="468" t="str">
        <f>Goles!G29</f>
        <v xml:space="preserve">Ludwik Mojescik </v>
      </c>
      <c r="T30" s="468">
        <f>Goles!H29</f>
        <v>21</v>
      </c>
      <c r="U30" s="471"/>
    </row>
    <row r="31" spans="1:21" x14ac:dyDescent="0.25">
      <c r="A31" s="43">
        <v>14</v>
      </c>
      <c r="B31" s="93" t="s">
        <v>103</v>
      </c>
      <c r="C31" s="42">
        <v>1</v>
      </c>
      <c r="F31" s="43">
        <v>29</v>
      </c>
      <c r="G31" s="93" t="s">
        <v>74</v>
      </c>
      <c r="H31" s="42" t="s">
        <v>69</v>
      </c>
      <c r="J31" s="43">
        <v>29</v>
      </c>
      <c r="K31" s="93" t="s">
        <v>61</v>
      </c>
      <c r="L31" s="42">
        <v>60</v>
      </c>
      <c r="R31" s="43">
        <v>30</v>
      </c>
      <c r="S31" s="468" t="str">
        <f>Goles!G30</f>
        <v xml:space="preserve">Renato Galeano </v>
      </c>
      <c r="T31" s="468">
        <f>Goles!H30</f>
        <v>19</v>
      </c>
      <c r="U31" s="471"/>
    </row>
    <row r="32" spans="1:21" x14ac:dyDescent="0.25">
      <c r="A32" s="43">
        <v>14</v>
      </c>
      <c r="B32" s="93" t="s">
        <v>105</v>
      </c>
      <c r="C32" s="42">
        <v>1</v>
      </c>
      <c r="F32" s="43">
        <v>29</v>
      </c>
      <c r="G32" s="93" t="s">
        <v>77</v>
      </c>
      <c r="H32" s="42" t="s">
        <v>69</v>
      </c>
      <c r="J32" s="43">
        <v>31</v>
      </c>
      <c r="K32" s="93" t="s">
        <v>86</v>
      </c>
      <c r="L32" s="42">
        <v>58</v>
      </c>
      <c r="R32" s="43">
        <v>30</v>
      </c>
      <c r="S32" s="468" t="str">
        <f>Goles!G31</f>
        <v xml:space="preserve">Cornel Boicea </v>
      </c>
      <c r="T32" s="468">
        <f>Goles!H31</f>
        <v>19</v>
      </c>
      <c r="U32" s="471"/>
    </row>
    <row r="33" spans="6:21" x14ac:dyDescent="0.25">
      <c r="F33" s="43">
        <v>29</v>
      </c>
      <c r="G33" s="93" t="s">
        <v>80</v>
      </c>
      <c r="H33" s="42" t="s">
        <v>69</v>
      </c>
      <c r="J33" s="43">
        <v>32</v>
      </c>
      <c r="K33" s="93" t="s">
        <v>39</v>
      </c>
      <c r="L33" s="42">
        <v>57</v>
      </c>
      <c r="R33" s="472">
        <v>30</v>
      </c>
      <c r="S33" s="473" t="str">
        <f>Goles!G34</f>
        <v xml:space="preserve">Berto Abandero </v>
      </c>
      <c r="T33" s="473">
        <v>19</v>
      </c>
      <c r="U33" s="471"/>
    </row>
    <row r="34" spans="6:21" x14ac:dyDescent="0.25">
      <c r="F34" s="43">
        <v>29</v>
      </c>
      <c r="G34" s="93" t="s">
        <v>84</v>
      </c>
      <c r="H34" s="42" t="s">
        <v>69</v>
      </c>
      <c r="J34" s="43">
        <v>32</v>
      </c>
      <c r="K34" s="93" t="s">
        <v>10</v>
      </c>
      <c r="L34" s="42">
        <v>57</v>
      </c>
      <c r="R34" s="43">
        <v>33</v>
      </c>
      <c r="S34" s="468" t="str">
        <f>Goles!G33</f>
        <v xml:space="preserve">Pepijn Zwaan </v>
      </c>
      <c r="T34" s="468">
        <f>Goles!H33</f>
        <v>18</v>
      </c>
      <c r="U34" s="471">
        <f>T34/L36</f>
        <v>0.32142857142857145</v>
      </c>
    </row>
    <row r="35" spans="6:21" x14ac:dyDescent="0.25">
      <c r="F35" s="43">
        <v>29</v>
      </c>
      <c r="G35" s="93" t="s">
        <v>64</v>
      </c>
      <c r="H35" s="42" t="s">
        <v>69</v>
      </c>
      <c r="J35" s="43">
        <v>34</v>
      </c>
      <c r="K35" s="93" t="s">
        <v>95</v>
      </c>
      <c r="L35" s="42">
        <v>56</v>
      </c>
      <c r="R35" s="43">
        <v>33</v>
      </c>
      <c r="S35" s="468" t="str">
        <f>Goles!G35</f>
        <v xml:space="preserve">Pasqual Vilar </v>
      </c>
      <c r="T35" s="468">
        <f>Goles!H35</f>
        <v>18</v>
      </c>
      <c r="U35" s="471"/>
    </row>
    <row r="36" spans="6:21" x14ac:dyDescent="0.25">
      <c r="F36" s="43">
        <v>29</v>
      </c>
      <c r="G36" s="93" t="s">
        <v>70</v>
      </c>
      <c r="H36" s="42" t="s">
        <v>69</v>
      </c>
      <c r="J36" s="43">
        <v>34</v>
      </c>
      <c r="K36" s="93" t="s">
        <v>74</v>
      </c>
      <c r="L36" s="42">
        <v>56</v>
      </c>
      <c r="R36" s="43">
        <v>35</v>
      </c>
      <c r="S36" s="468" t="str">
        <f>Goles!G36</f>
        <v xml:space="preserve">Jos Pittoors </v>
      </c>
      <c r="T36" s="468">
        <f>Goles!H36</f>
        <v>17</v>
      </c>
      <c r="U36" s="471"/>
    </row>
    <row r="37" spans="6:21" x14ac:dyDescent="0.25">
      <c r="F37" s="43">
        <v>29</v>
      </c>
      <c r="G37" s="93" t="s">
        <v>81</v>
      </c>
      <c r="H37" s="42" t="s">
        <v>69</v>
      </c>
      <c r="J37" s="43">
        <v>36</v>
      </c>
      <c r="K37" s="93" t="s">
        <v>34</v>
      </c>
      <c r="L37" s="42">
        <v>54</v>
      </c>
      <c r="R37" s="43">
        <v>35</v>
      </c>
      <c r="S37" s="468" t="str">
        <f>Goles!G37</f>
        <v xml:space="preserve">Emilio Rojas </v>
      </c>
      <c r="T37" s="468">
        <f>Goles!H37</f>
        <v>17</v>
      </c>
      <c r="U37" s="471"/>
    </row>
    <row r="38" spans="6:21" x14ac:dyDescent="0.25">
      <c r="F38" s="43">
        <v>29</v>
      </c>
      <c r="G38" s="93" t="s">
        <v>92</v>
      </c>
      <c r="H38" s="42" t="s">
        <v>69</v>
      </c>
      <c r="J38" s="43">
        <v>37</v>
      </c>
      <c r="K38" s="193" t="s">
        <v>737</v>
      </c>
      <c r="L38" s="42">
        <v>53</v>
      </c>
      <c r="R38" s="43">
        <v>35</v>
      </c>
      <c r="S38" s="468" t="str">
        <f>Goles!G38</f>
        <v xml:space="preserve">Manolo Negrín </v>
      </c>
      <c r="T38" s="468">
        <f>Goles!H38</f>
        <v>17</v>
      </c>
      <c r="U38" s="471"/>
    </row>
    <row r="39" spans="6:21" x14ac:dyDescent="0.25">
      <c r="F39" s="43">
        <v>29</v>
      </c>
      <c r="G39" s="93" t="s">
        <v>94</v>
      </c>
      <c r="H39" s="42" t="s">
        <v>69</v>
      </c>
      <c r="J39" s="43">
        <v>38</v>
      </c>
      <c r="K39" s="54" t="s">
        <v>102</v>
      </c>
      <c r="L39" s="42">
        <v>52</v>
      </c>
      <c r="R39" s="43">
        <v>38</v>
      </c>
      <c r="S39" s="468" t="str">
        <f>Goles!G39</f>
        <v xml:space="preserve">Melcior Calmet </v>
      </c>
      <c r="T39" s="468">
        <f>Goles!H39</f>
        <v>16</v>
      </c>
      <c r="U39" s="471"/>
    </row>
    <row r="40" spans="6:21" x14ac:dyDescent="0.25">
      <c r="F40" s="43">
        <v>29</v>
      </c>
      <c r="G40" s="93" t="s">
        <v>97</v>
      </c>
      <c r="H40" s="42" t="s">
        <v>69</v>
      </c>
      <c r="J40" s="43">
        <v>39</v>
      </c>
      <c r="K40" s="93" t="s">
        <v>97</v>
      </c>
      <c r="L40" s="42">
        <v>51</v>
      </c>
      <c r="R40" s="43">
        <v>38</v>
      </c>
      <c r="S40" s="468" t="str">
        <f>Goles!G40</f>
        <v xml:space="preserve">Ragip Övgü </v>
      </c>
      <c r="T40" s="468">
        <f>Goles!H40</f>
        <v>16</v>
      </c>
      <c r="U40" s="471">
        <f>T40/L35</f>
        <v>0.2857142857142857</v>
      </c>
    </row>
    <row r="41" spans="6:21" x14ac:dyDescent="0.25">
      <c r="F41" s="43">
        <v>29</v>
      </c>
      <c r="G41" s="93" t="s">
        <v>99</v>
      </c>
      <c r="H41" s="42" t="s">
        <v>69</v>
      </c>
      <c r="J41" s="43">
        <v>39</v>
      </c>
      <c r="K41" s="93" t="s">
        <v>75</v>
      </c>
      <c r="L41" s="42">
        <v>51</v>
      </c>
      <c r="R41" s="43">
        <v>40</v>
      </c>
      <c r="S41" s="468" t="str">
        <f>Goles!G41</f>
        <v xml:space="preserve">Co Wolbers </v>
      </c>
      <c r="T41" s="468">
        <f>Goles!H41</f>
        <v>15</v>
      </c>
      <c r="U41" s="471"/>
    </row>
    <row r="42" spans="6:21" x14ac:dyDescent="0.25">
      <c r="F42" s="43">
        <v>29</v>
      </c>
      <c r="G42" s="93" t="s">
        <v>101</v>
      </c>
      <c r="H42" s="42" t="s">
        <v>69</v>
      </c>
      <c r="J42" s="43">
        <v>39</v>
      </c>
      <c r="K42" s="193" t="s">
        <v>63</v>
      </c>
      <c r="L42" s="42">
        <v>51</v>
      </c>
      <c r="R42" s="43">
        <v>41</v>
      </c>
      <c r="S42" s="468" t="str">
        <f>Goles!G42</f>
        <v xml:space="preserve">John Chung </v>
      </c>
      <c r="T42" s="468">
        <f>Goles!H42</f>
        <v>14</v>
      </c>
      <c r="U42" s="471"/>
    </row>
    <row r="43" spans="6:21" x14ac:dyDescent="0.25">
      <c r="F43" s="43">
        <v>29</v>
      </c>
      <c r="G43" s="93" t="s">
        <v>104</v>
      </c>
      <c r="H43" s="42" t="s">
        <v>69</v>
      </c>
      <c r="R43" s="43">
        <v>41</v>
      </c>
      <c r="S43" s="468" t="str">
        <f>Goles!G43</f>
        <v xml:space="preserve">Arnold Kalckstein </v>
      </c>
      <c r="T43" s="468">
        <f>Goles!H43</f>
        <v>14</v>
      </c>
      <c r="U43" s="471">
        <f>T43/L32</f>
        <v>0.2413793103448276</v>
      </c>
    </row>
    <row r="44" spans="6:21" x14ac:dyDescent="0.25">
      <c r="F44" s="43">
        <v>29</v>
      </c>
      <c r="G44" s="193" t="s">
        <v>47</v>
      </c>
      <c r="H44" s="42" t="s">
        <v>69</v>
      </c>
      <c r="R44" s="472">
        <v>44</v>
      </c>
      <c r="S44" s="473" t="str">
        <f>Goles!G45</f>
        <v xml:space="preserve">Venanci Oset </v>
      </c>
      <c r="T44" s="473">
        <v>14</v>
      </c>
      <c r="U44" s="471"/>
    </row>
    <row r="45" spans="6:21" x14ac:dyDescent="0.25">
      <c r="F45" s="43">
        <v>29</v>
      </c>
      <c r="G45" s="93" t="s">
        <v>683</v>
      </c>
      <c r="H45" s="42" t="s">
        <v>69</v>
      </c>
      <c r="R45" s="472">
        <v>43</v>
      </c>
      <c r="S45" s="473" t="str">
        <f>Goles!G44</f>
        <v xml:space="preserve">Iván Real Figueroa </v>
      </c>
      <c r="T45" s="473">
        <f>Goles!H44</f>
        <v>13</v>
      </c>
      <c r="U45" s="471"/>
    </row>
    <row r="46" spans="6:21" x14ac:dyDescent="0.25">
      <c r="F46" s="43">
        <v>29</v>
      </c>
      <c r="G46" s="93" t="s">
        <v>19</v>
      </c>
      <c r="H46" s="42" t="s">
        <v>69</v>
      </c>
      <c r="R46" s="43">
        <v>45</v>
      </c>
      <c r="S46" s="468" t="str">
        <f>Goles!G46</f>
        <v xml:space="preserve">Ibiur Altxakoa </v>
      </c>
      <c r="T46" s="468">
        <f>Goles!H46</f>
        <v>13</v>
      </c>
      <c r="U46" s="471"/>
    </row>
    <row r="47" spans="6:21" x14ac:dyDescent="0.25">
      <c r="F47" s="43">
        <v>29</v>
      </c>
      <c r="G47" s="93" t="s">
        <v>773</v>
      </c>
      <c r="H47" s="42" t="s">
        <v>69</v>
      </c>
      <c r="R47" s="43">
        <v>46</v>
      </c>
      <c r="S47" s="468" t="str">
        <f>Goles!G47</f>
        <v xml:space="preserve">Ellák Deák </v>
      </c>
      <c r="T47" s="468">
        <f>Goles!H47</f>
        <v>13</v>
      </c>
      <c r="U47" s="471"/>
    </row>
    <row r="48" spans="6:21" x14ac:dyDescent="0.25">
      <c r="F48" s="43">
        <v>29</v>
      </c>
      <c r="G48" s="193" t="s">
        <v>29</v>
      </c>
      <c r="H48" s="42" t="s">
        <v>69</v>
      </c>
      <c r="R48" s="43">
        <v>47</v>
      </c>
      <c r="S48" s="468" t="str">
        <f>Goles!G48</f>
        <v xml:space="preserve">Gregor Freischläger </v>
      </c>
      <c r="T48" s="468">
        <f>Goles!H48</f>
        <v>12</v>
      </c>
      <c r="U48" s="471"/>
    </row>
    <row r="49" spans="18:21" x14ac:dyDescent="0.25">
      <c r="R49" s="43">
        <v>48</v>
      </c>
      <c r="S49" s="468" t="str">
        <f>Goles!G49</f>
        <v xml:space="preserve">Roberto Abenoza </v>
      </c>
      <c r="T49" s="468">
        <f>Goles!H49</f>
        <v>12</v>
      </c>
      <c r="U49" s="471"/>
    </row>
    <row r="50" spans="18:21" x14ac:dyDescent="0.25">
      <c r="R50" s="43">
        <v>49</v>
      </c>
      <c r="S50" s="468" t="str">
        <f>Goles!G50</f>
        <v xml:space="preserve">Stanislaw Zdankiewicz </v>
      </c>
      <c r="T50" s="468">
        <f>Goles!H50</f>
        <v>12</v>
      </c>
      <c r="U50" s="471"/>
    </row>
    <row r="51" spans="18:21" x14ac:dyDescent="0.25">
      <c r="R51" s="43">
        <v>50</v>
      </c>
      <c r="S51" s="468" t="str">
        <f>Goles!G51</f>
        <v xml:space="preserve">Miklós Gábriel </v>
      </c>
      <c r="T51" s="468">
        <f>Goles!H51</f>
        <v>12</v>
      </c>
      <c r="U51" s="471"/>
    </row>
    <row r="52" spans="18:21" x14ac:dyDescent="0.25">
      <c r="R52" s="43">
        <v>51</v>
      </c>
      <c r="S52" s="468" t="str">
        <f>Goles!G52</f>
        <v xml:space="preserve">Raffaele Sitter </v>
      </c>
      <c r="T52" s="468">
        <f>Goles!H52</f>
        <v>11</v>
      </c>
      <c r="U52" s="471">
        <f>T52/L40</f>
        <v>0.21568627450980393</v>
      </c>
    </row>
    <row r="53" spans="18:21" x14ac:dyDescent="0.25">
      <c r="R53" s="43">
        <v>52</v>
      </c>
      <c r="S53" s="468" t="str">
        <f>Goles!G53</f>
        <v xml:space="preserve">Gino van Hoesel </v>
      </c>
      <c r="T53" s="468">
        <f>Goles!H53</f>
        <v>11</v>
      </c>
      <c r="U53" s="471"/>
    </row>
    <row r="54" spans="18:21" x14ac:dyDescent="0.25">
      <c r="R54" s="43">
        <v>53</v>
      </c>
      <c r="S54" s="468" t="str">
        <f>Goles!G54</f>
        <v xml:space="preserve">Ricardo Esquerdo </v>
      </c>
      <c r="T54" s="468">
        <f>Goles!H54</f>
        <v>11</v>
      </c>
      <c r="U54" s="471"/>
    </row>
    <row r="55" spans="18:21" x14ac:dyDescent="0.25">
      <c r="R55" s="43">
        <v>54</v>
      </c>
      <c r="S55" s="468" t="str">
        <f>Goles!G55</f>
        <v xml:space="preserve">Horacy Dzienis </v>
      </c>
      <c r="T55" s="468">
        <f>Goles!H55</f>
        <v>11</v>
      </c>
      <c r="U55" s="471"/>
    </row>
    <row r="56" spans="18:21" x14ac:dyDescent="0.25">
      <c r="R56" s="43">
        <v>55</v>
      </c>
      <c r="S56" s="468" t="str">
        <f>Goles!G56</f>
        <v xml:space="preserve">Erik Lemming </v>
      </c>
      <c r="T56" s="468">
        <f>Goles!H56</f>
        <v>10</v>
      </c>
      <c r="U56" s="471"/>
    </row>
    <row r="57" spans="18:21" x14ac:dyDescent="0.25">
      <c r="R57" s="43">
        <v>56</v>
      </c>
      <c r="S57" s="468" t="str">
        <f>Goles!G57</f>
        <v xml:space="preserve">Nicolau Caraduxe </v>
      </c>
      <c r="T57" s="468">
        <f>Goles!H57</f>
        <v>10</v>
      </c>
      <c r="U57" s="471"/>
    </row>
    <row r="58" spans="18:21" x14ac:dyDescent="0.25">
      <c r="R58" s="43">
        <v>57</v>
      </c>
      <c r="S58" s="468" t="str">
        <f>Goles!G58</f>
        <v xml:space="preserve">Lars Pouilliers </v>
      </c>
      <c r="T58" s="468">
        <f>Goles!H58</f>
        <v>10</v>
      </c>
      <c r="U58" s="471"/>
    </row>
    <row r="59" spans="18:21" x14ac:dyDescent="0.25">
      <c r="R59" s="43">
        <v>58</v>
      </c>
      <c r="S59" s="468" t="str">
        <f>Goles!G59</f>
        <v xml:space="preserve">Antoine Dupré </v>
      </c>
      <c r="T59" s="468">
        <f>Goles!H59</f>
        <v>10</v>
      </c>
      <c r="U59" s="471"/>
    </row>
    <row r="60" spans="18:21" x14ac:dyDescent="0.25">
      <c r="R60" s="472">
        <v>59</v>
      </c>
      <c r="S60" s="473" t="str">
        <f>Goles!G60</f>
        <v xml:space="preserve">Nicolás Galaz </v>
      </c>
      <c r="T60" s="473">
        <f>Goles!H60</f>
        <v>10</v>
      </c>
      <c r="U60" s="471"/>
    </row>
    <row r="61" spans="18:21" x14ac:dyDescent="0.25">
      <c r="R61" s="43">
        <v>60</v>
      </c>
      <c r="S61" s="468" t="str">
        <f>Goles!G61</f>
        <v xml:space="preserve">Morgan Thomas </v>
      </c>
      <c r="T61" s="468">
        <f>Goles!H61</f>
        <v>9</v>
      </c>
      <c r="U61" s="471">
        <f>T61/L30</f>
        <v>0.15</v>
      </c>
    </row>
    <row r="62" spans="18:21" x14ac:dyDescent="0.25">
      <c r="R62" s="43">
        <v>61</v>
      </c>
      <c r="S62" s="468" t="str">
        <f>Goles!G62</f>
        <v xml:space="preserve">Michele Giampieri </v>
      </c>
      <c r="T62" s="468">
        <f>Goles!H62</f>
        <v>9</v>
      </c>
      <c r="U62" s="471"/>
    </row>
    <row r="63" spans="18:21" x14ac:dyDescent="0.25">
      <c r="R63" s="43">
        <v>62</v>
      </c>
      <c r="S63" s="468" t="str">
        <f>Goles!G63</f>
        <v xml:space="preserve">Arjo Olthuis </v>
      </c>
      <c r="T63" s="468">
        <f>Goles!H63</f>
        <v>9</v>
      </c>
      <c r="U63" s="471"/>
    </row>
    <row r="64" spans="18:21" x14ac:dyDescent="0.25">
      <c r="R64" s="43">
        <v>63</v>
      </c>
      <c r="S64" s="468" t="str">
        <f>Goles!G64</f>
        <v xml:space="preserve">Giulio Procaccianti </v>
      </c>
      <c r="T64" s="468">
        <f>Goles!H64</f>
        <v>9</v>
      </c>
      <c r="U64" s="471"/>
    </row>
    <row r="65" spans="18:21" x14ac:dyDescent="0.25">
      <c r="R65" s="43">
        <v>64</v>
      </c>
      <c r="S65" s="468" t="str">
        <f>Goles!G65</f>
        <v xml:space="preserve">Patrick Werner </v>
      </c>
      <c r="T65" s="468">
        <f>Goles!H65</f>
        <v>8</v>
      </c>
      <c r="U65" s="471"/>
    </row>
    <row r="66" spans="18:21" x14ac:dyDescent="0.25">
      <c r="R66" s="43">
        <v>65</v>
      </c>
      <c r="S66" s="468" t="str">
        <f>Goles!G66</f>
        <v xml:space="preserve">Augustin Demaison </v>
      </c>
      <c r="T66" s="468">
        <f>Goles!H66</f>
        <v>8</v>
      </c>
      <c r="U66" s="471"/>
    </row>
    <row r="67" spans="18:21" x14ac:dyDescent="0.25">
      <c r="R67" s="43">
        <v>66</v>
      </c>
      <c r="S67" s="468" t="str">
        <f>Goles!G67</f>
        <v xml:space="preserve">Miguel Fernández </v>
      </c>
      <c r="T67" s="468">
        <f>Goles!H67</f>
        <v>8</v>
      </c>
      <c r="U67" s="471"/>
    </row>
    <row r="68" spans="18:21" x14ac:dyDescent="0.25">
      <c r="R68" s="43">
        <v>67</v>
      </c>
      <c r="S68" s="468" t="str">
        <f>Goles!G68</f>
        <v xml:space="preserve">Mario Omarini </v>
      </c>
      <c r="T68" s="468">
        <f>Goles!H68</f>
        <v>8</v>
      </c>
      <c r="U68" s="471"/>
    </row>
    <row r="69" spans="18:21" x14ac:dyDescent="0.25">
      <c r="R69" s="43">
        <v>68</v>
      </c>
      <c r="S69" s="468" t="str">
        <f>Goles!G69</f>
        <v xml:space="preserve">Feliciano Becerril </v>
      </c>
      <c r="T69" s="468">
        <f>Goles!H69</f>
        <v>8</v>
      </c>
      <c r="U69" s="471"/>
    </row>
    <row r="70" spans="18:21" x14ac:dyDescent="0.25">
      <c r="R70" s="43">
        <v>69</v>
      </c>
      <c r="S70" s="468" t="str">
        <f>Goles!G70</f>
        <v xml:space="preserve">Relf Härteis </v>
      </c>
      <c r="T70" s="468">
        <f>Goles!H70</f>
        <v>7</v>
      </c>
      <c r="U70" s="471"/>
    </row>
    <row r="71" spans="18:21" x14ac:dyDescent="0.25">
      <c r="R71" s="43">
        <v>70</v>
      </c>
      <c r="S71" s="468" t="str">
        <f>Goles!G71</f>
        <v xml:space="preserve">Fere Pulido </v>
      </c>
      <c r="T71" s="468">
        <f>Goles!H71</f>
        <v>7</v>
      </c>
      <c r="U71" s="471"/>
    </row>
    <row r="72" spans="18:21" x14ac:dyDescent="0.25">
      <c r="R72" s="43">
        <v>71</v>
      </c>
      <c r="S72" s="468" t="str">
        <f>Goles!G72</f>
        <v xml:space="preserve">Gongotzon Ialdebere </v>
      </c>
      <c r="T72" s="468">
        <f>Goles!H72</f>
        <v>7</v>
      </c>
      <c r="U72" s="471"/>
    </row>
    <row r="73" spans="18:21" x14ac:dyDescent="0.25">
      <c r="R73" s="43">
        <v>72</v>
      </c>
      <c r="S73" s="468" t="str">
        <f>Goles!G73</f>
        <v xml:space="preserve">Markus Currie </v>
      </c>
      <c r="T73" s="468">
        <f>Goles!H73</f>
        <v>7</v>
      </c>
      <c r="U73" s="471"/>
    </row>
    <row r="74" spans="18:21" x14ac:dyDescent="0.25">
      <c r="R74" s="472">
        <v>73</v>
      </c>
      <c r="S74" s="473" t="str">
        <f>Goles!G74</f>
        <v xml:space="preserve">Leandro Faias </v>
      </c>
      <c r="T74" s="473">
        <f>Goles!H74</f>
        <v>7</v>
      </c>
      <c r="U74" s="471"/>
    </row>
    <row r="75" spans="18:21" x14ac:dyDescent="0.25">
      <c r="R75" s="43">
        <v>74</v>
      </c>
      <c r="S75" s="468" t="str">
        <f>Goles!G75</f>
        <v xml:space="preserve">Iuliu Pana </v>
      </c>
      <c r="T75" s="468">
        <f>Goles!H75</f>
        <v>7</v>
      </c>
      <c r="U75" s="471"/>
    </row>
    <row r="76" spans="18:21" x14ac:dyDescent="0.25">
      <c r="R76" s="43">
        <v>75</v>
      </c>
      <c r="S76" s="468" t="str">
        <f>Goles!G76</f>
        <v xml:space="preserve">Károly Serfel </v>
      </c>
      <c r="T76" s="468">
        <f>Goles!H76</f>
        <v>7</v>
      </c>
      <c r="U76" s="471"/>
    </row>
    <row r="77" spans="18:21" x14ac:dyDescent="0.25">
      <c r="R77" s="43">
        <v>76</v>
      </c>
      <c r="S77" s="468" t="str">
        <f>Goles!G77</f>
        <v xml:space="preserve">Martin Kilev </v>
      </c>
      <c r="T77" s="468">
        <f>Goles!H77</f>
        <v>7</v>
      </c>
      <c r="U77" s="471"/>
    </row>
    <row r="78" spans="18:21" x14ac:dyDescent="0.25">
      <c r="R78" s="43">
        <v>77</v>
      </c>
      <c r="S78" s="468" t="str">
        <f>Goles!G78</f>
        <v xml:space="preserve">Alex Txantre </v>
      </c>
      <c r="T78" s="468">
        <f>Goles!H78</f>
        <v>6</v>
      </c>
      <c r="U78" s="471"/>
    </row>
    <row r="79" spans="18:21" x14ac:dyDescent="0.25">
      <c r="R79" s="43">
        <v>78</v>
      </c>
      <c r="S79" s="468" t="str">
        <f>Goles!G79</f>
        <v xml:space="preserve">Iyad Chaabo </v>
      </c>
      <c r="T79" s="468">
        <f>Goles!H79</f>
        <v>6</v>
      </c>
      <c r="U79" s="471"/>
    </row>
    <row r="80" spans="18:21" x14ac:dyDescent="0.25">
      <c r="R80" s="43">
        <v>79</v>
      </c>
      <c r="S80" s="468" t="str">
        <f>Goles!G80</f>
        <v xml:space="preserve">Fernando Gazón </v>
      </c>
      <c r="T80" s="468">
        <f>Goles!H80</f>
        <v>6</v>
      </c>
      <c r="U80" s="471"/>
    </row>
    <row r="81" spans="18:21" x14ac:dyDescent="0.25">
      <c r="R81" s="43">
        <v>80</v>
      </c>
      <c r="S81" s="468" t="str">
        <f>Goles!G81</f>
        <v xml:space="preserve">Jorge Walter Whitaker </v>
      </c>
      <c r="T81" s="468">
        <f>Goles!H81</f>
        <v>6</v>
      </c>
      <c r="U81" s="471"/>
    </row>
    <row r="82" spans="18:21" x14ac:dyDescent="0.25">
      <c r="R82" s="43">
        <v>81</v>
      </c>
      <c r="S82" s="468" t="str">
        <f>Goles!G82</f>
        <v xml:space="preserve">Torsten Kortenhof </v>
      </c>
      <c r="T82" s="468">
        <f>Goles!H82</f>
        <v>6</v>
      </c>
      <c r="U82" s="471"/>
    </row>
    <row r="83" spans="18:21" x14ac:dyDescent="0.25">
      <c r="R83" s="43">
        <v>82</v>
      </c>
      <c r="S83" s="468" t="str">
        <f>Goles!G83</f>
        <v xml:space="preserve">Boleslaw Starzomski </v>
      </c>
      <c r="T83" s="468">
        <f>Goles!H83</f>
        <v>6</v>
      </c>
      <c r="U83" s="471"/>
    </row>
    <row r="84" spans="18:21" x14ac:dyDescent="0.25">
      <c r="R84" s="43">
        <v>83</v>
      </c>
      <c r="S84" s="468" t="str">
        <f>Goles!G84</f>
        <v xml:space="preserve">Raúl Riquelme </v>
      </c>
      <c r="T84" s="468">
        <f>Goles!H84</f>
        <v>6</v>
      </c>
      <c r="U84" s="471"/>
    </row>
    <row r="85" spans="18:21" x14ac:dyDescent="0.25">
      <c r="R85" s="43">
        <v>84</v>
      </c>
      <c r="S85" s="468" t="str">
        <f>Goles!G85</f>
        <v xml:space="preserve">David Knuff </v>
      </c>
      <c r="T85" s="468">
        <f>Goles!H85</f>
        <v>6</v>
      </c>
      <c r="U85" s="471"/>
    </row>
    <row r="86" spans="18:21" x14ac:dyDescent="0.25">
      <c r="R86" s="43">
        <v>85</v>
      </c>
      <c r="S86" s="468" t="str">
        <f>Goles!G86</f>
        <v xml:space="preserve">Nicolai Stentoft </v>
      </c>
      <c r="T86" s="468">
        <f>Goles!H86</f>
        <v>6</v>
      </c>
      <c r="U86" s="471"/>
    </row>
    <row r="87" spans="18:21" x14ac:dyDescent="0.25">
      <c r="R87" s="43">
        <v>86</v>
      </c>
      <c r="S87" s="468" t="str">
        <f>Goles!G87</f>
        <v xml:space="preserve">Fabien Fabre </v>
      </c>
      <c r="T87" s="468">
        <f>Goles!H87</f>
        <v>6</v>
      </c>
      <c r="U87" s="471"/>
    </row>
    <row r="88" spans="18:21" x14ac:dyDescent="0.25">
      <c r="R88" s="43">
        <v>87</v>
      </c>
      <c r="S88" s="468" t="str">
        <f>Goles!G88</f>
        <v xml:space="preserve">Christophe Reinhart </v>
      </c>
      <c r="T88" s="468">
        <f>Goles!H88</f>
        <v>6</v>
      </c>
      <c r="U88" s="471"/>
    </row>
    <row r="89" spans="18:21" x14ac:dyDescent="0.25">
      <c r="R89" s="43">
        <v>88</v>
      </c>
      <c r="S89" s="468" t="str">
        <f>Goles!G89</f>
        <v xml:space="preserve">Honesto Cousa </v>
      </c>
      <c r="T89" s="468">
        <f>Goles!H89</f>
        <v>6</v>
      </c>
      <c r="U89" s="471"/>
    </row>
    <row r="90" spans="18:21" x14ac:dyDescent="0.25">
      <c r="R90" s="43">
        <v>89</v>
      </c>
      <c r="S90" s="468" t="str">
        <f>Goles!G90</f>
        <v xml:space="preserve">Wicher Ossedrijver </v>
      </c>
      <c r="T90" s="468">
        <f>Goles!H90</f>
        <v>6</v>
      </c>
      <c r="U90" s="471"/>
    </row>
    <row r="91" spans="18:21" x14ac:dyDescent="0.25">
      <c r="R91" s="43">
        <v>90</v>
      </c>
      <c r="S91" s="468" t="str">
        <f>Goles!G91</f>
        <v xml:space="preserve">David Erbiti </v>
      </c>
      <c r="T91" s="468">
        <f>Goles!H91</f>
        <v>6</v>
      </c>
      <c r="U91" s="471"/>
    </row>
    <row r="92" spans="18:21" x14ac:dyDescent="0.25">
      <c r="R92" s="43">
        <v>91</v>
      </c>
      <c r="S92" s="468" t="str">
        <f>Goles!G92</f>
        <v xml:space="preserve">Romain Grière </v>
      </c>
      <c r="T92" s="468">
        <f>Goles!H92</f>
        <v>6</v>
      </c>
      <c r="U92" s="471"/>
    </row>
    <row r="93" spans="18:21" x14ac:dyDescent="0.25">
      <c r="R93" s="43">
        <v>92</v>
      </c>
      <c r="S93" s="468" t="str">
        <f>Goles!G93</f>
        <v xml:space="preserve">Pablo Gil Fano </v>
      </c>
      <c r="T93" s="468">
        <f>Goles!H93</f>
        <v>6</v>
      </c>
      <c r="U93" s="471"/>
    </row>
    <row r="94" spans="18:21" x14ac:dyDescent="0.25">
      <c r="R94" s="43">
        <v>93</v>
      </c>
      <c r="S94" s="468" t="str">
        <f>Goles!G94</f>
        <v xml:space="preserve">Tomasz Artymiuk </v>
      </c>
      <c r="T94" s="468">
        <f>Goles!H94</f>
        <v>6</v>
      </c>
      <c r="U94" s="471"/>
    </row>
    <row r="95" spans="18:21" x14ac:dyDescent="0.25">
      <c r="R95" s="43">
        <v>94</v>
      </c>
      <c r="S95" s="468" t="str">
        <f>Goles!G95</f>
        <v xml:space="preserve">Ilari Santasalmi </v>
      </c>
      <c r="T95" s="468">
        <f>Goles!H95</f>
        <v>5</v>
      </c>
      <c r="U95" s="471"/>
    </row>
    <row r="96" spans="18:21" x14ac:dyDescent="0.25">
      <c r="R96" s="43">
        <v>95</v>
      </c>
      <c r="S96" s="468" t="str">
        <f>Goles!G96</f>
        <v xml:space="preserve">Martin Herber </v>
      </c>
      <c r="T96" s="468">
        <f>Goles!H96</f>
        <v>5</v>
      </c>
      <c r="U96" s="471"/>
    </row>
    <row r="97" spans="18:21" x14ac:dyDescent="0.25">
      <c r="R97" s="43">
        <v>96</v>
      </c>
      <c r="S97" s="468" t="str">
        <f>Goles!G97</f>
        <v xml:space="preserve">Aureliusz Staszczuk </v>
      </c>
      <c r="T97" s="468">
        <f>Goles!H97</f>
        <v>5</v>
      </c>
      <c r="U97" s="471"/>
    </row>
    <row r="98" spans="18:21" x14ac:dyDescent="0.25">
      <c r="R98" s="43">
        <v>97</v>
      </c>
      <c r="S98" s="468" t="str">
        <f>Goles!G98</f>
        <v xml:space="preserve">Csaba Mezo </v>
      </c>
      <c r="T98" s="468">
        <f>Goles!H98</f>
        <v>5</v>
      </c>
      <c r="U98" s="471"/>
    </row>
    <row r="99" spans="18:21" x14ac:dyDescent="0.25">
      <c r="R99" s="43">
        <v>98</v>
      </c>
      <c r="S99" s="468" t="str">
        <f>Goles!G99</f>
        <v xml:space="preserve">Jacobo Ferrueros </v>
      </c>
      <c r="T99" s="468">
        <f>Goles!H99</f>
        <v>5</v>
      </c>
      <c r="U99" s="471"/>
    </row>
    <row r="100" spans="18:21" x14ac:dyDescent="0.25">
      <c r="R100" s="43">
        <v>99</v>
      </c>
      <c r="S100" s="468" t="str">
        <f>Goles!G100</f>
        <v xml:space="preserve">Cornel Caraba </v>
      </c>
      <c r="T100" s="468">
        <f>Goles!H100</f>
        <v>5</v>
      </c>
      <c r="U100" s="471"/>
    </row>
    <row r="101" spans="18:21" x14ac:dyDescent="0.25">
      <c r="R101" s="43">
        <v>100</v>
      </c>
      <c r="S101" s="468" t="str">
        <f>Goles!G101</f>
        <v xml:space="preserve">Harald Georg Berchthold </v>
      </c>
      <c r="T101" s="468">
        <f>Goles!H101</f>
        <v>5</v>
      </c>
      <c r="U101" s="471"/>
    </row>
    <row r="102" spans="18:21" x14ac:dyDescent="0.25">
      <c r="R102" s="43">
        <v>101</v>
      </c>
      <c r="S102" s="468" t="str">
        <f>Goles!G102</f>
        <v xml:space="preserve">Aleksi Alarotu </v>
      </c>
      <c r="T102" s="468">
        <f>Goles!H102</f>
        <v>5</v>
      </c>
      <c r="U102" s="471"/>
    </row>
    <row r="103" spans="18:21" x14ac:dyDescent="0.25">
      <c r="R103" s="43">
        <v>102</v>
      </c>
      <c r="S103" s="468" t="str">
        <f>Goles!G103</f>
        <v xml:space="preserve">Ulf Schenkel </v>
      </c>
      <c r="T103" s="468">
        <f>Goles!H103</f>
        <v>5</v>
      </c>
      <c r="U103" s="471"/>
    </row>
    <row r="104" spans="18:21" x14ac:dyDescent="0.25">
      <c r="R104" s="43">
        <v>103</v>
      </c>
      <c r="S104" s="468" t="str">
        <f>Goles!G104</f>
        <v xml:space="preserve">Andrea Califano </v>
      </c>
      <c r="T104" s="468">
        <f>Goles!H104</f>
        <v>5</v>
      </c>
      <c r="U104" s="471"/>
    </row>
    <row r="105" spans="18:21" x14ac:dyDescent="0.25">
      <c r="R105" s="43">
        <v>104</v>
      </c>
      <c r="S105" s="468" t="str">
        <f>Goles!G105</f>
        <v xml:space="preserve">Fernando Juárez Sierra </v>
      </c>
      <c r="T105" s="468">
        <f>Goles!H105</f>
        <v>5</v>
      </c>
      <c r="U105" s="471"/>
    </row>
    <row r="106" spans="18:21" x14ac:dyDescent="0.25">
      <c r="R106" s="43">
        <v>105</v>
      </c>
      <c r="S106" s="468" t="str">
        <f>Goles!G106</f>
        <v xml:space="preserve">Pau Redondo </v>
      </c>
      <c r="T106" s="468">
        <f>Goles!H106</f>
        <v>5</v>
      </c>
      <c r="U106" s="471"/>
    </row>
    <row r="107" spans="18:21" x14ac:dyDescent="0.25">
      <c r="R107" s="43">
        <v>106</v>
      </c>
      <c r="S107" s="468" t="str">
        <f>Goles!G107</f>
        <v xml:space="preserve">Christophe Méjean </v>
      </c>
      <c r="T107" s="468">
        <f>Goles!H107</f>
        <v>4</v>
      </c>
      <c r="U107" s="471"/>
    </row>
    <row r="108" spans="18:21" x14ac:dyDescent="0.25">
      <c r="R108" s="43">
        <v>107</v>
      </c>
      <c r="S108" s="468" t="str">
        <f>Goles!G108</f>
        <v xml:space="preserve">Sejo Sáenz Marín </v>
      </c>
      <c r="T108" s="468">
        <f>Goles!H108</f>
        <v>4</v>
      </c>
      <c r="U108" s="471"/>
    </row>
    <row r="109" spans="18:21" x14ac:dyDescent="0.25">
      <c r="R109" s="43">
        <v>108</v>
      </c>
      <c r="S109" s="468" t="str">
        <f>Goles!G109</f>
        <v xml:space="preserve">Dolf Fohringer </v>
      </c>
      <c r="T109" s="468">
        <f>Goles!H109</f>
        <v>4</v>
      </c>
      <c r="U109" s="471"/>
    </row>
    <row r="110" spans="18:21" x14ac:dyDescent="0.25">
      <c r="R110" s="43">
        <v>109</v>
      </c>
      <c r="S110" s="468" t="str">
        <f>Goles!G110</f>
        <v xml:space="preserve">Mattia Sambri </v>
      </c>
      <c r="T110" s="468">
        <f>Goles!H110</f>
        <v>4</v>
      </c>
      <c r="U110" s="471"/>
    </row>
    <row r="111" spans="18:21" x14ac:dyDescent="0.25">
      <c r="R111" s="43">
        <v>110</v>
      </c>
      <c r="S111" s="468" t="str">
        <f>Goles!G111</f>
        <v xml:space="preserve">Uday Adeeb </v>
      </c>
      <c r="T111" s="468">
        <f>Goles!H111</f>
        <v>4</v>
      </c>
      <c r="U111" s="471"/>
    </row>
    <row r="112" spans="18:21" x14ac:dyDescent="0.25">
      <c r="R112" s="43">
        <v>111</v>
      </c>
      <c r="S112" s="468" t="str">
        <f>Goles!G112</f>
        <v xml:space="preserve">Jörg Londorf </v>
      </c>
      <c r="T112" s="468">
        <f>Goles!H112</f>
        <v>4</v>
      </c>
      <c r="U112" s="471"/>
    </row>
    <row r="113" spans="18:21" x14ac:dyDescent="0.25">
      <c r="R113" s="43">
        <v>112</v>
      </c>
      <c r="S113" s="468" t="str">
        <f>Goles!G113</f>
        <v xml:space="preserve">Eckardt Hägerling </v>
      </c>
      <c r="T113" s="468">
        <f>Goles!H113</f>
        <v>4</v>
      </c>
      <c r="U113" s="471"/>
    </row>
    <row r="114" spans="18:21" x14ac:dyDescent="0.25">
      <c r="R114" s="43">
        <v>113</v>
      </c>
      <c r="S114" s="468" t="str">
        <f>Goles!G114</f>
        <v xml:space="preserve">? (Pan) ?? (Yuandong) </v>
      </c>
      <c r="T114" s="468">
        <f>Goles!H114</f>
        <v>4</v>
      </c>
      <c r="U114" s="471"/>
    </row>
    <row r="115" spans="18:21" x14ac:dyDescent="0.25">
      <c r="R115" s="43">
        <v>114</v>
      </c>
      <c r="S115" s="468" t="str">
        <f>Goles!G115</f>
        <v xml:space="preserve">Dan Veneau </v>
      </c>
      <c r="T115" s="468">
        <f>Goles!H115</f>
        <v>4</v>
      </c>
      <c r="U115" s="471"/>
    </row>
    <row r="116" spans="18:21" x14ac:dyDescent="0.25">
      <c r="R116" s="43">
        <v>115</v>
      </c>
      <c r="S116" s="468" t="str">
        <f>Goles!G116</f>
        <v xml:space="preserve">Krzysztof Buras </v>
      </c>
      <c r="T116" s="468">
        <f>Goles!H116</f>
        <v>4</v>
      </c>
      <c r="U116" s="471"/>
    </row>
    <row r="117" spans="18:21" x14ac:dyDescent="0.25">
      <c r="R117" s="43">
        <v>116</v>
      </c>
      <c r="S117" s="468" t="str">
        <f>Goles!G117</f>
        <v xml:space="preserve">Gastone Cianelli </v>
      </c>
      <c r="T117" s="468">
        <f>Goles!H117</f>
        <v>4</v>
      </c>
      <c r="U117" s="471"/>
    </row>
    <row r="118" spans="18:21" x14ac:dyDescent="0.25">
      <c r="R118" s="43">
        <v>117</v>
      </c>
      <c r="S118" s="468" t="str">
        <f>Goles!G118</f>
        <v xml:space="preserve">Ernst Lammers </v>
      </c>
      <c r="T118" s="468">
        <f>Goles!H118</f>
        <v>4</v>
      </c>
      <c r="U118" s="471"/>
    </row>
    <row r="119" spans="18:21" x14ac:dyDescent="0.25">
      <c r="R119" s="43">
        <v>118</v>
      </c>
      <c r="S119" s="468" t="str">
        <f>Goles!G119</f>
        <v xml:space="preserve">Hansjürg Devier </v>
      </c>
      <c r="T119" s="468">
        <f>Goles!H119</f>
        <v>4</v>
      </c>
      <c r="U119" s="471"/>
    </row>
    <row r="120" spans="18:21" x14ac:dyDescent="0.25">
      <c r="R120" s="43">
        <v>119</v>
      </c>
      <c r="S120" s="468" t="str">
        <f>Goles!G120</f>
        <v xml:space="preserve">Emilio Mochelato </v>
      </c>
      <c r="T120" s="468">
        <f>Goles!H120</f>
        <v>4</v>
      </c>
      <c r="U120" s="471"/>
    </row>
    <row r="121" spans="18:21" x14ac:dyDescent="0.25">
      <c r="R121" s="43">
        <v>120</v>
      </c>
      <c r="S121" s="468" t="str">
        <f>Goles!G121</f>
        <v xml:space="preserve">Carlos Ipinza </v>
      </c>
      <c r="T121" s="468">
        <f>Goles!H121</f>
        <v>4</v>
      </c>
      <c r="U121" s="471"/>
    </row>
    <row r="122" spans="18:21" x14ac:dyDescent="0.25">
      <c r="R122" s="43">
        <v>121</v>
      </c>
      <c r="S122" s="468" t="str">
        <f>Goles!G122</f>
        <v xml:space="preserve">Richey Cowper </v>
      </c>
      <c r="T122" s="468">
        <f>Goles!H122</f>
        <v>3</v>
      </c>
      <c r="U122" s="471"/>
    </row>
    <row r="123" spans="18:21" x14ac:dyDescent="0.25">
      <c r="R123" s="43">
        <v>122</v>
      </c>
      <c r="S123" s="468" t="str">
        <f>Goles!G123</f>
        <v xml:space="preserve">Aiurdi Azpileta </v>
      </c>
      <c r="T123" s="468">
        <f>Goles!H123</f>
        <v>3</v>
      </c>
      <c r="U123" s="471"/>
    </row>
    <row r="124" spans="18:21" x14ac:dyDescent="0.25">
      <c r="R124" s="43">
        <v>123</v>
      </c>
      <c r="S124" s="468" t="str">
        <f>Goles!G124</f>
        <v xml:space="preserve">Tristan Voet </v>
      </c>
      <c r="T124" s="468">
        <f>Goles!H124</f>
        <v>3</v>
      </c>
      <c r="U124" s="471"/>
    </row>
    <row r="125" spans="18:21" x14ac:dyDescent="0.25">
      <c r="R125" s="43">
        <v>124</v>
      </c>
      <c r="S125" s="468" t="str">
        <f>Goles!G125</f>
        <v xml:space="preserve">Roberto Montero </v>
      </c>
      <c r="T125" s="468">
        <f>Goles!H125</f>
        <v>3</v>
      </c>
      <c r="U125" s="471"/>
    </row>
    <row r="126" spans="18:21" x14ac:dyDescent="0.25">
      <c r="R126" s="43">
        <v>125</v>
      </c>
      <c r="S126" s="468" t="str">
        <f>Goles!G126</f>
        <v xml:space="preserve">Mauro Vaz </v>
      </c>
      <c r="T126" s="468">
        <f>Goles!H126</f>
        <v>3</v>
      </c>
      <c r="U126" s="471"/>
    </row>
    <row r="127" spans="18:21" x14ac:dyDescent="0.25">
      <c r="R127" s="43">
        <v>126</v>
      </c>
      <c r="S127" s="468" t="str">
        <f>Goles!G127</f>
        <v xml:space="preserve">Iacob Sarpe </v>
      </c>
      <c r="T127" s="468">
        <f>Goles!H127</f>
        <v>3</v>
      </c>
      <c r="U127" s="471"/>
    </row>
    <row r="128" spans="18:21" x14ac:dyDescent="0.25">
      <c r="R128" s="43">
        <v>127</v>
      </c>
      <c r="S128" s="468" t="str">
        <f>Goles!G128</f>
        <v xml:space="preserve">? (Ho) ?? (Minwei) </v>
      </c>
      <c r="T128" s="468">
        <f>Goles!H128</f>
        <v>3</v>
      </c>
      <c r="U128" s="471"/>
    </row>
    <row r="129" spans="18:21" x14ac:dyDescent="0.25">
      <c r="R129" s="472">
        <v>128</v>
      </c>
      <c r="S129" s="473" t="str">
        <f>Goles!G129</f>
        <v xml:space="preserve">Cosme Fonteboa </v>
      </c>
      <c r="T129" s="473">
        <f>Goles!H129</f>
        <v>3</v>
      </c>
      <c r="U129" s="471"/>
    </row>
    <row r="130" spans="18:21" x14ac:dyDescent="0.25">
      <c r="R130" s="43">
        <v>129</v>
      </c>
      <c r="S130" s="468" t="str">
        <f>Goles!G130</f>
        <v xml:space="preserve">Zeno Baets </v>
      </c>
      <c r="T130" s="468">
        <f>Goles!H130</f>
        <v>3</v>
      </c>
      <c r="U130" s="471"/>
    </row>
    <row r="131" spans="18:21" x14ac:dyDescent="0.25">
      <c r="R131" s="43">
        <v>130</v>
      </c>
      <c r="S131" s="468" t="str">
        <f>Goles!G131</f>
        <v xml:space="preserve">Clifford Smallwood </v>
      </c>
      <c r="T131" s="468">
        <f>Goles!H131</f>
        <v>3</v>
      </c>
      <c r="U131" s="471"/>
    </row>
    <row r="132" spans="18:21" x14ac:dyDescent="0.25">
      <c r="R132" s="43">
        <v>131</v>
      </c>
      <c r="S132" s="468" t="str">
        <f>Goles!G132</f>
        <v xml:space="preserve">Stefano Spanu </v>
      </c>
      <c r="T132" s="468">
        <f>Goles!H132</f>
        <v>3</v>
      </c>
      <c r="U132" s="471"/>
    </row>
    <row r="133" spans="18:21" x14ac:dyDescent="0.25">
      <c r="R133" s="43">
        <v>132</v>
      </c>
      <c r="S133" s="468" t="str">
        <f>Goles!G133</f>
        <v xml:space="preserve">Matteo Omacini </v>
      </c>
      <c r="T133" s="468">
        <f>Goles!H133</f>
        <v>3</v>
      </c>
      <c r="U133" s="471"/>
    </row>
    <row r="134" spans="18:21" x14ac:dyDescent="0.25">
      <c r="R134" s="43">
        <v>133</v>
      </c>
      <c r="S134" s="468" t="str">
        <f>Goles!G134</f>
        <v xml:space="preserve">Vincent Gautsch </v>
      </c>
      <c r="T134" s="468">
        <f>Goles!H134</f>
        <v>3</v>
      </c>
      <c r="U134" s="471"/>
    </row>
    <row r="135" spans="18:21" x14ac:dyDescent="0.25">
      <c r="R135" s="43">
        <v>134</v>
      </c>
      <c r="S135" s="468" t="str">
        <f>Goles!G135</f>
        <v xml:space="preserve">Enis Kalan </v>
      </c>
      <c r="T135" s="468">
        <f>Goles!H135</f>
        <v>3</v>
      </c>
      <c r="U135" s="471"/>
    </row>
    <row r="136" spans="18:21" x14ac:dyDescent="0.25">
      <c r="R136" s="43">
        <v>135</v>
      </c>
      <c r="S136" s="468" t="str">
        <f>Goles!G136</f>
        <v xml:space="preserve">David Berkenbosch </v>
      </c>
      <c r="T136" s="468">
        <f>Goles!H136</f>
        <v>3</v>
      </c>
      <c r="U136" s="471"/>
    </row>
    <row r="137" spans="18:21" x14ac:dyDescent="0.25">
      <c r="R137" s="43">
        <v>136</v>
      </c>
      <c r="S137" s="468" t="str">
        <f>Goles!G137</f>
        <v xml:space="preserve">Damiano Clementi </v>
      </c>
      <c r="T137" s="468">
        <f>Goles!H137</f>
        <v>3</v>
      </c>
      <c r="U137" s="471"/>
    </row>
    <row r="138" spans="18:21" x14ac:dyDescent="0.25">
      <c r="R138" s="43">
        <v>137</v>
      </c>
      <c r="S138" s="468" t="str">
        <f>Goles!G138</f>
        <v xml:space="preserve">Manuel Parejo </v>
      </c>
      <c r="T138" s="468">
        <f>Goles!H138</f>
        <v>3</v>
      </c>
      <c r="U138" s="471"/>
    </row>
    <row r="139" spans="18:21" x14ac:dyDescent="0.25">
      <c r="R139" s="43">
        <v>138</v>
      </c>
      <c r="S139" s="468" t="str">
        <f>Goles!G139</f>
        <v xml:space="preserve">Xofre Taín </v>
      </c>
      <c r="T139" s="468">
        <f>Goles!H139</f>
        <v>3</v>
      </c>
      <c r="U139" s="471"/>
    </row>
    <row r="140" spans="18:21" x14ac:dyDescent="0.25">
      <c r="R140" s="43">
        <v>139</v>
      </c>
      <c r="S140" s="468" t="str">
        <f>Goles!G140</f>
        <v xml:space="preserve">Lech Sipinski </v>
      </c>
      <c r="T140" s="468">
        <f>Goles!H140</f>
        <v>3</v>
      </c>
      <c r="U140" s="471"/>
    </row>
    <row r="141" spans="18:21" x14ac:dyDescent="0.25">
      <c r="R141" s="43">
        <v>140</v>
      </c>
      <c r="S141" s="468" t="str">
        <f>Goles!G141</f>
        <v xml:space="preserve">Petru Pena </v>
      </c>
      <c r="T141" s="468">
        <f>Goles!H141</f>
        <v>3</v>
      </c>
      <c r="U141" s="471"/>
    </row>
    <row r="142" spans="18:21" x14ac:dyDescent="0.25">
      <c r="R142" s="43">
        <v>141</v>
      </c>
      <c r="S142" s="468" t="str">
        <f>Goles!G142</f>
        <v xml:space="preserve">Domenic Janjic </v>
      </c>
      <c r="T142" s="468">
        <f>Goles!H142</f>
        <v>2</v>
      </c>
      <c r="U142" s="471"/>
    </row>
    <row r="143" spans="18:21" x14ac:dyDescent="0.25">
      <c r="R143" s="43">
        <v>142</v>
      </c>
      <c r="S143" s="468" t="str">
        <f>Goles!G143</f>
        <v xml:space="preserve">Martijn Collinet </v>
      </c>
      <c r="T143" s="468">
        <f>Goles!H143</f>
        <v>2</v>
      </c>
      <c r="U143" s="471"/>
    </row>
    <row r="144" spans="18:21" x14ac:dyDescent="0.25">
      <c r="R144" s="43">
        <v>143</v>
      </c>
      <c r="S144" s="468" t="str">
        <f>Goles!G144</f>
        <v xml:space="preserve">Karl Edwin </v>
      </c>
      <c r="T144" s="468">
        <f>Goles!H144</f>
        <v>2</v>
      </c>
      <c r="U144" s="471"/>
    </row>
    <row r="145" spans="18:21" x14ac:dyDescent="0.25">
      <c r="R145" s="43">
        <v>144</v>
      </c>
      <c r="S145" s="468" t="str">
        <f>Goles!G145</f>
        <v xml:space="preserve">Igli Volpicelli </v>
      </c>
      <c r="T145" s="468">
        <f>Goles!H145</f>
        <v>2</v>
      </c>
      <c r="U145" s="471"/>
    </row>
    <row r="146" spans="18:21" x14ac:dyDescent="0.25">
      <c r="R146" s="43">
        <v>145</v>
      </c>
      <c r="S146" s="468" t="str">
        <f>Goles!G146</f>
        <v xml:space="preserve">Christophe Bodin </v>
      </c>
      <c r="T146" s="468">
        <f>Goles!H146</f>
        <v>2</v>
      </c>
      <c r="U146" s="471"/>
    </row>
    <row r="147" spans="18:21" x14ac:dyDescent="0.25">
      <c r="R147" s="43">
        <v>146</v>
      </c>
      <c r="S147" s="468" t="str">
        <f>Goles!G147</f>
        <v xml:space="preserve">Udo Mier </v>
      </c>
      <c r="T147" s="468">
        <f>Goles!H147</f>
        <v>2</v>
      </c>
      <c r="U147" s="471"/>
    </row>
    <row r="148" spans="18:21" x14ac:dyDescent="0.25">
      <c r="R148" s="43">
        <v>147</v>
      </c>
      <c r="S148" s="468" t="str">
        <f>Goles!G148</f>
        <v xml:space="preserve">Ofek Azuri </v>
      </c>
      <c r="T148" s="468">
        <f>Goles!H148</f>
        <v>2</v>
      </c>
      <c r="U148" s="471"/>
    </row>
    <row r="149" spans="18:21" x14ac:dyDescent="0.25">
      <c r="R149" s="43">
        <v>148</v>
      </c>
      <c r="S149" s="468" t="str">
        <f>Goles!G149</f>
        <v xml:space="preserve">Lauri Piminäinen </v>
      </c>
      <c r="T149" s="468">
        <f>Goles!H149</f>
        <v>2</v>
      </c>
      <c r="U149" s="471"/>
    </row>
    <row r="150" spans="18:21" x14ac:dyDescent="0.25">
      <c r="R150" s="43">
        <v>149</v>
      </c>
      <c r="S150" s="468" t="str">
        <f>Goles!G150</f>
        <v xml:space="preserve">José Rubianes </v>
      </c>
      <c r="T150" s="468">
        <f>Goles!H150</f>
        <v>2</v>
      </c>
      <c r="U150" s="471"/>
    </row>
    <row r="151" spans="18:21" x14ac:dyDescent="0.25">
      <c r="R151" s="43">
        <v>150</v>
      </c>
      <c r="S151" s="468" t="str">
        <f>Goles!G151</f>
        <v xml:space="preserve">Percy Alfredsson </v>
      </c>
      <c r="T151" s="468">
        <f>Goles!H151</f>
        <v>2</v>
      </c>
      <c r="U151" s="471"/>
    </row>
    <row r="152" spans="18:21" x14ac:dyDescent="0.25">
      <c r="R152" s="43">
        <v>151</v>
      </c>
      <c r="S152" s="468" t="str">
        <f>Goles!G152</f>
        <v xml:space="preserve">Mateusz Brzostowski </v>
      </c>
      <c r="T152" s="468">
        <f>Goles!H152</f>
        <v>2</v>
      </c>
      <c r="U152" s="471"/>
    </row>
    <row r="153" spans="18:21" x14ac:dyDescent="0.25">
      <c r="R153" s="43">
        <v>152</v>
      </c>
      <c r="S153" s="468" t="str">
        <f>Goles!G153</f>
        <v xml:space="preserve">Andrija Miškovic </v>
      </c>
      <c r="T153" s="468">
        <f>Goles!H153</f>
        <v>2</v>
      </c>
      <c r="U153" s="471"/>
    </row>
    <row r="154" spans="18:21" x14ac:dyDescent="0.25">
      <c r="R154" s="43">
        <v>153</v>
      </c>
      <c r="S154" s="468" t="str">
        <f>Goles!G154</f>
        <v xml:space="preserve">Zsolt Novák </v>
      </c>
      <c r="T154" s="468">
        <f>Goles!H154</f>
        <v>2</v>
      </c>
      <c r="U154" s="471"/>
    </row>
    <row r="155" spans="18:21" x14ac:dyDescent="0.25">
      <c r="R155" s="43">
        <v>154</v>
      </c>
      <c r="S155" s="468" t="str">
        <f>Goles!G155</f>
        <v xml:space="preserve">Casildo Abraldes </v>
      </c>
      <c r="T155" s="468">
        <f>Goles!H155</f>
        <v>2</v>
      </c>
      <c r="U155" s="471"/>
    </row>
    <row r="156" spans="18:21" x14ac:dyDescent="0.25">
      <c r="R156" s="43">
        <v>155</v>
      </c>
      <c r="S156" s="468" t="str">
        <f>Goles!G156</f>
        <v xml:space="preserve">Juan Gabriel de Minaya </v>
      </c>
      <c r="T156" s="468">
        <f>Goles!H156</f>
        <v>2</v>
      </c>
      <c r="U156" s="471">
        <f>T156/L39</f>
        <v>3.8461538461538464E-2</v>
      </c>
    </row>
    <row r="157" spans="18:21" x14ac:dyDescent="0.25">
      <c r="R157" s="43">
        <v>156</v>
      </c>
      <c r="S157" s="468" t="str">
        <f>Goles!G157</f>
        <v xml:space="preserve">Sansão Trindade Oliveira </v>
      </c>
      <c r="T157" s="468">
        <f>Goles!H157</f>
        <v>2</v>
      </c>
      <c r="U157" s="471"/>
    </row>
    <row r="158" spans="18:21" x14ac:dyDescent="0.25">
      <c r="R158" s="43">
        <v>157</v>
      </c>
      <c r="S158" s="468" t="str">
        <f>Goles!G158</f>
        <v xml:space="preserve">Jaime Ocón </v>
      </c>
      <c r="T158" s="468">
        <f>Goles!H158</f>
        <v>2</v>
      </c>
      <c r="U158" s="471"/>
    </row>
    <row r="159" spans="18:21" x14ac:dyDescent="0.25">
      <c r="R159" s="43">
        <v>158</v>
      </c>
      <c r="S159" s="468" t="str">
        <f>Goles!G159</f>
        <v xml:space="preserve">Sascha Gilch </v>
      </c>
      <c r="T159" s="468">
        <f>Goles!H159</f>
        <v>2</v>
      </c>
      <c r="U159" s="471"/>
    </row>
    <row r="160" spans="18:21" x14ac:dyDescent="0.25">
      <c r="R160" s="43">
        <v>159</v>
      </c>
      <c r="S160" s="468" t="str">
        <f>Goles!G160</f>
        <v xml:space="preserve">Felipe Andrés Massarelli </v>
      </c>
      <c r="T160" s="468">
        <f>Goles!H160</f>
        <v>2</v>
      </c>
      <c r="U160" s="471"/>
    </row>
    <row r="161" spans="18:21" x14ac:dyDescent="0.25">
      <c r="R161" s="43">
        <v>160</v>
      </c>
      <c r="S161" s="468" t="str">
        <f>Goles!G161</f>
        <v xml:space="preserve">Jurgen Muësen </v>
      </c>
      <c r="T161" s="468">
        <f>Goles!H161</f>
        <v>2</v>
      </c>
      <c r="U161" s="471"/>
    </row>
    <row r="162" spans="18:21" x14ac:dyDescent="0.25">
      <c r="R162" s="43">
        <v>161</v>
      </c>
      <c r="S162" s="468" t="str">
        <f>Goles!G162</f>
        <v xml:space="preserve">Tijl van Hamburg </v>
      </c>
      <c r="T162" s="468">
        <f>Goles!H162</f>
        <v>2</v>
      </c>
      <c r="U162" s="471"/>
    </row>
    <row r="163" spans="18:21" x14ac:dyDescent="0.25">
      <c r="R163" s="43">
        <v>162</v>
      </c>
      <c r="S163" s="468" t="str">
        <f>Goles!G163</f>
        <v xml:space="preserve">Aamos Vara </v>
      </c>
      <c r="T163" s="468">
        <f>Goles!H163</f>
        <v>2</v>
      </c>
      <c r="U163" s="471"/>
    </row>
    <row r="164" spans="18:21" x14ac:dyDescent="0.25">
      <c r="R164" s="43">
        <v>163</v>
      </c>
      <c r="S164" s="468" t="str">
        <f>Goles!G164</f>
        <v xml:space="preserve">Karst van Gils </v>
      </c>
      <c r="T164" s="468">
        <f>Goles!H164</f>
        <v>2</v>
      </c>
      <c r="U164" s="471"/>
    </row>
    <row r="165" spans="18:21" x14ac:dyDescent="0.25">
      <c r="R165" s="43">
        <v>164</v>
      </c>
      <c r="S165" s="468" t="str">
        <f>Goles!G165</f>
        <v xml:space="preserve">Fabien Goncalves </v>
      </c>
      <c r="T165" s="468">
        <f>Goles!H165</f>
        <v>2</v>
      </c>
      <c r="U165" s="471"/>
    </row>
    <row r="166" spans="18:21" x14ac:dyDescent="0.25">
      <c r="R166" s="43">
        <v>165</v>
      </c>
      <c r="S166" s="468" t="str">
        <f>Goles!G166</f>
        <v xml:space="preserve">Cezary Pauch </v>
      </c>
      <c r="T166" s="468">
        <f>Goles!H166</f>
        <v>2</v>
      </c>
      <c r="U166" s="471"/>
    </row>
    <row r="167" spans="18:21" x14ac:dyDescent="0.25">
      <c r="R167" s="43">
        <v>166</v>
      </c>
      <c r="S167" s="468" t="str">
        <f>Goles!G167</f>
        <v xml:space="preserve">Arkadiusz Dembek </v>
      </c>
      <c r="T167" s="468">
        <f>Goles!H167</f>
        <v>2</v>
      </c>
      <c r="U167" s="471"/>
    </row>
    <row r="168" spans="18:21" x14ac:dyDescent="0.25">
      <c r="R168" s="43">
        <v>167</v>
      </c>
      <c r="S168" s="468" t="str">
        <f>Goles!G168</f>
        <v xml:space="preserve">Marcin Lulewicz </v>
      </c>
      <c r="T168" s="468">
        <f>Goles!H168</f>
        <v>1</v>
      </c>
      <c r="U168" s="471"/>
    </row>
    <row r="169" spans="18:21" x14ac:dyDescent="0.25">
      <c r="R169" s="43">
        <v>168</v>
      </c>
      <c r="S169" s="468" t="str">
        <f>Goles!G169</f>
        <v xml:space="preserve">Gregorio Manrique </v>
      </c>
      <c r="T169" s="468">
        <f>Goles!H169</f>
        <v>1</v>
      </c>
      <c r="U169" s="471"/>
    </row>
    <row r="170" spans="18:21" x14ac:dyDescent="0.25">
      <c r="R170" s="43">
        <v>169</v>
      </c>
      <c r="S170" s="468" t="str">
        <f>Goles!G170</f>
        <v xml:space="preserve">Massimiliano Jula </v>
      </c>
      <c r="T170" s="468">
        <f>Goles!H170</f>
        <v>1</v>
      </c>
      <c r="U170" s="471"/>
    </row>
    <row r="171" spans="18:21" x14ac:dyDescent="0.25">
      <c r="R171" s="43">
        <v>170</v>
      </c>
      <c r="S171" s="468" t="str">
        <f>Goles!G171</f>
        <v xml:space="preserve">Barnabás Borsányi </v>
      </c>
      <c r="T171" s="468">
        <f>Goles!H171</f>
        <v>1</v>
      </c>
      <c r="U171" s="471"/>
    </row>
    <row r="172" spans="18:21" x14ac:dyDescent="0.25">
      <c r="R172" s="43">
        <v>171</v>
      </c>
      <c r="S172" s="468" t="str">
        <f>Goles!G172</f>
        <v xml:space="preserve">Serapio Castrelos </v>
      </c>
      <c r="T172" s="468">
        <f>Goles!H172</f>
        <v>1</v>
      </c>
      <c r="U172" s="471"/>
    </row>
    <row r="173" spans="18:21" x14ac:dyDescent="0.25">
      <c r="R173" s="43">
        <v>172</v>
      </c>
      <c r="S173" s="468" t="str">
        <f>Goles!G173</f>
        <v xml:space="preserve">Dimitris Prokos </v>
      </c>
      <c r="T173" s="468">
        <f>Goles!H173</f>
        <v>1</v>
      </c>
      <c r="U173" s="471"/>
    </row>
    <row r="174" spans="18:21" x14ac:dyDescent="0.25">
      <c r="R174" s="43">
        <v>173</v>
      </c>
      <c r="S174" s="468" t="str">
        <f>Goles!G174</f>
        <v xml:space="preserve">Alfonso Londoño </v>
      </c>
      <c r="T174" s="468">
        <f>Goles!H174</f>
        <v>1</v>
      </c>
      <c r="U174" s="471"/>
    </row>
    <row r="175" spans="18:21" x14ac:dyDescent="0.25">
      <c r="R175" s="43">
        <v>174</v>
      </c>
      <c r="S175" s="468" t="str">
        <f>Goles!G175</f>
        <v xml:space="preserve">José Luis Valdés Saavedra </v>
      </c>
      <c r="T175" s="468">
        <f>Goles!H175</f>
        <v>1</v>
      </c>
      <c r="U175" s="471"/>
    </row>
    <row r="176" spans="18:21" x14ac:dyDescent="0.25">
      <c r="R176" s="43">
        <v>175</v>
      </c>
      <c r="S176" s="468" t="str">
        <f>Goles!G176</f>
        <v xml:space="preserve">Francesc Giró </v>
      </c>
      <c r="T176" s="468">
        <f>Goles!H176</f>
        <v>1</v>
      </c>
      <c r="U176" s="471"/>
    </row>
    <row r="177" spans="18:21" x14ac:dyDescent="0.25">
      <c r="R177" s="43">
        <v>176</v>
      </c>
      <c r="S177" s="468" t="str">
        <f>Goles!G177</f>
        <v xml:space="preserve">Ludovic Gygax </v>
      </c>
      <c r="T177" s="468">
        <f>Goles!H177</f>
        <v>1</v>
      </c>
      <c r="U177" s="471"/>
    </row>
    <row r="178" spans="18:21" x14ac:dyDescent="0.25">
      <c r="R178" s="43">
        <v>177</v>
      </c>
      <c r="S178" s="468" t="str">
        <f>Goles!G178</f>
        <v xml:space="preserve">Hjalte Egede </v>
      </c>
      <c r="T178" s="468">
        <f>Goles!H178</f>
        <v>1</v>
      </c>
      <c r="U178" s="471"/>
    </row>
    <row r="179" spans="18:21" x14ac:dyDescent="0.25">
      <c r="R179" s="43">
        <v>178</v>
      </c>
      <c r="S179" s="468" t="str">
        <f>Goles!G179</f>
        <v xml:space="preserve">Steve Mckinnon </v>
      </c>
      <c r="T179" s="468">
        <f>Goles!H179</f>
        <v>1</v>
      </c>
      <c r="U179" s="471"/>
    </row>
    <row r="180" spans="18:21" x14ac:dyDescent="0.25">
      <c r="R180" s="43">
        <v>179</v>
      </c>
      <c r="S180" s="468" t="str">
        <f>Goles!G180</f>
        <v xml:space="preserve">Olli Rambow </v>
      </c>
      <c r="T180" s="468">
        <f>Goles!H180</f>
        <v>1</v>
      </c>
      <c r="U180" s="471"/>
    </row>
    <row r="181" spans="18:21" x14ac:dyDescent="0.25">
      <c r="R181" s="43">
        <v>180</v>
      </c>
      <c r="S181" s="468" t="str">
        <f>Goles!G181</f>
        <v xml:space="preserve">Jan Jessen </v>
      </c>
      <c r="T181" s="468">
        <f>Goles!H181</f>
        <v>1</v>
      </c>
      <c r="U181" s="471"/>
    </row>
    <row r="182" spans="18:21" x14ac:dyDescent="0.25">
      <c r="R182" s="43">
        <v>181</v>
      </c>
      <c r="S182" s="468" t="str">
        <f>Goles!G182</f>
        <v xml:space="preserve">Alexander Pahl </v>
      </c>
      <c r="T182" s="468">
        <f>Goles!H182</f>
        <v>1</v>
      </c>
      <c r="U182" s="471"/>
    </row>
    <row r="183" spans="18:21" x14ac:dyDescent="0.25">
      <c r="R183" s="43">
        <v>182</v>
      </c>
      <c r="S183" s="468" t="str">
        <f>Goles!G183</f>
        <v xml:space="preserve">Morgan Gomes </v>
      </c>
      <c r="T183" s="468">
        <f>Goles!H183</f>
        <v>1</v>
      </c>
      <c r="U183" s="471"/>
    </row>
    <row r="184" spans="18:21" x14ac:dyDescent="0.25">
      <c r="R184" s="43">
        <v>183</v>
      </c>
      <c r="S184" s="468" t="str">
        <f>Goles!G184</f>
        <v xml:space="preserve">Dan Lindgren </v>
      </c>
      <c r="T184" s="468">
        <f>Goles!H184</f>
        <v>1</v>
      </c>
      <c r="U184" s="471"/>
    </row>
    <row r="185" spans="18:21" x14ac:dyDescent="0.25">
      <c r="R185" s="43">
        <v>184</v>
      </c>
      <c r="S185" s="468" t="str">
        <f>Goles!G185</f>
        <v xml:space="preserve">José Manuel Carneiro </v>
      </c>
      <c r="T185" s="468">
        <f>Goles!H185</f>
        <v>1</v>
      </c>
      <c r="U185" s="471"/>
    </row>
    <row r="186" spans="18:21" x14ac:dyDescent="0.25">
      <c r="R186" s="43">
        <v>185</v>
      </c>
      <c r="S186" s="468" t="str">
        <f>Goles!G186</f>
        <v xml:space="preserve">Adolfo Vitulli </v>
      </c>
      <c r="T186" s="468">
        <f>Goles!H186</f>
        <v>1</v>
      </c>
      <c r="U186" s="471"/>
    </row>
    <row r="187" spans="18:21" x14ac:dyDescent="0.25">
      <c r="R187" s="43">
        <v>186</v>
      </c>
      <c r="S187" s="468" t="str">
        <f>Goles!G187</f>
        <v xml:space="preserve">Zbyšek Hamrozi </v>
      </c>
      <c r="T187" s="468">
        <f>Goles!H187</f>
        <v>1</v>
      </c>
      <c r="U187" s="471"/>
    </row>
    <row r="188" spans="18:21" x14ac:dyDescent="0.25">
      <c r="R188" s="43">
        <v>187</v>
      </c>
      <c r="S188" s="468" t="str">
        <f>Goles!G188</f>
        <v xml:space="preserve">Gawel Nanowski </v>
      </c>
      <c r="T188" s="468">
        <f>Goles!H188</f>
        <v>1</v>
      </c>
      <c r="U188" s="471"/>
    </row>
    <row r="189" spans="18:21" x14ac:dyDescent="0.25">
      <c r="R189" s="43">
        <v>188</v>
      </c>
      <c r="S189" s="468" t="str">
        <f>Goles!G189</f>
        <v xml:space="preserve">Ludvig Andreasson </v>
      </c>
      <c r="T189" s="468">
        <f>Goles!H189</f>
        <v>1</v>
      </c>
      <c r="U189" s="471"/>
    </row>
    <row r="190" spans="18:21" x14ac:dyDescent="0.25">
      <c r="R190" s="43">
        <v>189</v>
      </c>
      <c r="S190" s="468" t="str">
        <f>Goles!G190</f>
        <v xml:space="preserve">Pieter Pelleboer </v>
      </c>
      <c r="T190" s="468">
        <f>Goles!H190</f>
        <v>1</v>
      </c>
      <c r="U190" s="471"/>
    </row>
    <row r="191" spans="18:21" x14ac:dyDescent="0.25">
      <c r="R191" s="43">
        <v>190</v>
      </c>
      <c r="S191" s="468" t="str">
        <f>Goles!G191</f>
        <v xml:space="preserve">Luigi Tripodo </v>
      </c>
      <c r="T191" s="468">
        <f>Goles!H191</f>
        <v>1</v>
      </c>
      <c r="U191" s="471"/>
    </row>
    <row r="192" spans="18:21" x14ac:dyDescent="0.25">
      <c r="R192" s="43">
        <v>191</v>
      </c>
      <c r="S192" s="468" t="str">
        <f>Goles!G192</f>
        <v xml:space="preserve">Seran Aranguren </v>
      </c>
      <c r="T192" s="468">
        <f>Goles!H192</f>
        <v>1</v>
      </c>
      <c r="U192" s="471"/>
    </row>
    <row r="193" spans="18:21" x14ac:dyDescent="0.25">
      <c r="R193" s="43">
        <v>192</v>
      </c>
      <c r="S193" s="468" t="str">
        <f>Goles!G193</f>
        <v xml:space="preserve">Finlay MacGrory </v>
      </c>
      <c r="T193" s="468">
        <f>Goles!H193</f>
        <v>1</v>
      </c>
      <c r="U193" s="471"/>
    </row>
    <row r="194" spans="18:21" x14ac:dyDescent="0.25">
      <c r="R194" s="43">
        <v>193</v>
      </c>
      <c r="S194" s="468" t="str">
        <f>Goles!G194</f>
        <v xml:space="preserve">Gustaw Bugajski </v>
      </c>
      <c r="T194" s="468">
        <f>Goles!H194</f>
        <v>1</v>
      </c>
      <c r="U194" s="471"/>
    </row>
    <row r="195" spans="18:21" x14ac:dyDescent="0.25">
      <c r="R195" s="43">
        <v>194</v>
      </c>
      <c r="S195" s="468" t="str">
        <f>Goles!G195</f>
        <v xml:space="preserve">Ryan Clarke </v>
      </c>
      <c r="T195" s="468">
        <f>Goles!H195</f>
        <v>1</v>
      </c>
      <c r="U195" s="471"/>
    </row>
    <row r="196" spans="18:21" x14ac:dyDescent="0.25">
      <c r="R196" s="43">
        <v>195</v>
      </c>
      <c r="S196" s="468" t="str">
        <f>Goles!G196</f>
        <v xml:space="preserve">Andres Kalvet </v>
      </c>
      <c r="T196" s="468">
        <f>Goles!H196</f>
        <v>1</v>
      </c>
      <c r="U196" s="471"/>
    </row>
    <row r="197" spans="18:21" x14ac:dyDescent="0.25">
      <c r="R197" s="43">
        <v>196</v>
      </c>
      <c r="S197" s="468" t="str">
        <f>Goles!G197</f>
        <v xml:space="preserve">Catalin Corobea </v>
      </c>
      <c r="T197" s="468">
        <f>Goles!H197</f>
        <v>1</v>
      </c>
      <c r="U197" s="471"/>
    </row>
    <row r="198" spans="18:21" x14ac:dyDescent="0.25">
      <c r="R198" s="43">
        <v>197</v>
      </c>
      <c r="S198" s="468" t="str">
        <f>Goles!G198</f>
        <v xml:space="preserve">Andrea Chiu </v>
      </c>
      <c r="T198" s="468">
        <f>Goles!H198</f>
        <v>1</v>
      </c>
      <c r="U198" s="471"/>
    </row>
    <row r="199" spans="18:21" x14ac:dyDescent="0.25">
      <c r="R199" s="43"/>
      <c r="S199" s="468"/>
      <c r="T199" s="468"/>
      <c r="U199" s="471"/>
    </row>
    <row r="200" spans="18:21" x14ac:dyDescent="0.25">
      <c r="R200" s="43"/>
      <c r="S200" s="468"/>
      <c r="T200" s="468"/>
      <c r="U200" s="471"/>
    </row>
    <row r="201" spans="18:21" x14ac:dyDescent="0.25">
      <c r="R201" s="43"/>
      <c r="S201" s="468"/>
      <c r="T201" s="468"/>
      <c r="U201" s="471"/>
    </row>
    <row r="202" spans="18:21" x14ac:dyDescent="0.25">
      <c r="R202" s="43"/>
      <c r="S202" s="468"/>
      <c r="T202" s="468"/>
      <c r="U202" s="471"/>
    </row>
    <row r="203" spans="18:21" x14ac:dyDescent="0.25">
      <c r="R203" s="43"/>
      <c r="S203" s="468"/>
      <c r="T203" s="468"/>
      <c r="U203" s="471"/>
    </row>
    <row r="204" spans="18:21" x14ac:dyDescent="0.25">
      <c r="R204" s="43"/>
      <c r="S204" s="468"/>
      <c r="T204" s="468"/>
      <c r="U204" s="471"/>
    </row>
    <row r="205" spans="18:21" x14ac:dyDescent="0.25">
      <c r="R205" s="43"/>
      <c r="S205" s="468"/>
      <c r="T205" s="468"/>
      <c r="U205" s="471"/>
    </row>
    <row r="206" spans="18:21" x14ac:dyDescent="0.25">
      <c r="R206" s="43"/>
      <c r="S206" s="468"/>
      <c r="T206" s="468"/>
      <c r="U206" s="471"/>
    </row>
    <row r="207" spans="18:21" x14ac:dyDescent="0.25">
      <c r="R207" s="43"/>
      <c r="S207" s="468"/>
      <c r="T207" s="468"/>
      <c r="U207" s="471"/>
    </row>
    <row r="208" spans="18:21" x14ac:dyDescent="0.25">
      <c r="R208" s="43"/>
      <c r="S208" s="468"/>
      <c r="T208" s="468"/>
      <c r="U208" s="471"/>
    </row>
    <row r="209" spans="18:21" x14ac:dyDescent="0.25">
      <c r="R209" s="43"/>
      <c r="S209" s="468"/>
      <c r="T209" s="468"/>
      <c r="U209" s="471"/>
    </row>
    <row r="210" spans="18:21" x14ac:dyDescent="0.25">
      <c r="R210" s="43"/>
      <c r="S210" s="468"/>
      <c r="T210" s="468"/>
      <c r="U210" s="471"/>
    </row>
    <row r="211" spans="18:21" x14ac:dyDescent="0.25">
      <c r="R211" s="43"/>
      <c r="S211" s="468"/>
      <c r="T211" s="468"/>
      <c r="U211" s="471"/>
    </row>
    <row r="212" spans="18:21" x14ac:dyDescent="0.25">
      <c r="R212" s="43"/>
      <c r="S212" s="468"/>
      <c r="T212" s="468"/>
      <c r="U212" s="471"/>
    </row>
    <row r="213" spans="18:21" x14ac:dyDescent="0.25">
      <c r="R213" s="43"/>
      <c r="S213" s="468"/>
      <c r="T213" s="468"/>
      <c r="U213" s="471"/>
    </row>
    <row r="214" spans="18:21" x14ac:dyDescent="0.25">
      <c r="R214" s="43"/>
      <c r="S214" s="468"/>
      <c r="T214" s="468"/>
      <c r="U214" s="471"/>
    </row>
    <row r="215" spans="18:21" x14ac:dyDescent="0.25">
      <c r="R215" s="43"/>
      <c r="S215" s="468"/>
      <c r="T215" s="468"/>
      <c r="U215" s="471"/>
    </row>
    <row r="216" spans="18:21" x14ac:dyDescent="0.25">
      <c r="R216" s="43"/>
      <c r="S216" s="468"/>
      <c r="T216" s="468"/>
      <c r="U216" s="471"/>
    </row>
    <row r="217" spans="18:21" x14ac:dyDescent="0.25">
      <c r="R217" s="43"/>
      <c r="S217" s="468"/>
      <c r="T217" s="468"/>
      <c r="U217" s="471"/>
    </row>
    <row r="218" spans="18:21" x14ac:dyDescent="0.25">
      <c r="R218" s="43"/>
      <c r="S218" s="468"/>
      <c r="T218" s="468"/>
      <c r="U218" s="471"/>
    </row>
    <row r="219" spans="18:21" x14ac:dyDescent="0.25">
      <c r="R219" s="43"/>
      <c r="S219" s="468"/>
      <c r="T219" s="468"/>
      <c r="U219" s="471"/>
    </row>
    <row r="220" spans="18:21" x14ac:dyDescent="0.25">
      <c r="R220" s="43"/>
      <c r="S220" s="468"/>
      <c r="T220" s="468"/>
      <c r="U220" s="471"/>
    </row>
    <row r="221" spans="18:21" x14ac:dyDescent="0.25">
      <c r="R221" s="43"/>
      <c r="S221" s="468"/>
      <c r="T221" s="468"/>
      <c r="U221" s="471"/>
    </row>
    <row r="222" spans="18:21" x14ac:dyDescent="0.25">
      <c r="R222" s="43"/>
      <c r="S222" s="468"/>
      <c r="T222" s="468"/>
      <c r="U222" s="471"/>
    </row>
    <row r="223" spans="18:21" x14ac:dyDescent="0.25">
      <c r="R223" s="43"/>
      <c r="S223" s="468"/>
      <c r="T223" s="468"/>
      <c r="U223" s="471"/>
    </row>
    <row r="224" spans="18:21" x14ac:dyDescent="0.25">
      <c r="R224" s="43"/>
      <c r="S224" s="468"/>
      <c r="T224" s="468"/>
      <c r="U224" s="471"/>
    </row>
    <row r="225" spans="18:21" x14ac:dyDescent="0.25">
      <c r="R225" s="43"/>
      <c r="S225" s="468"/>
      <c r="T225" s="468"/>
      <c r="U225" s="471"/>
    </row>
    <row r="226" spans="18:21" x14ac:dyDescent="0.25">
      <c r="R226" s="43"/>
      <c r="S226" s="468"/>
      <c r="T226" s="468"/>
      <c r="U226" s="471"/>
    </row>
    <row r="227" spans="18:21" x14ac:dyDescent="0.25">
      <c r="U227" s="471"/>
    </row>
    <row r="228" spans="18:21" x14ac:dyDescent="0.25">
      <c r="U228" s="471"/>
    </row>
    <row r="229" spans="18:21" x14ac:dyDescent="0.25">
      <c r="U229" s="471"/>
    </row>
    <row r="230" spans="18:21" x14ac:dyDescent="0.25">
      <c r="U230" s="471"/>
    </row>
    <row r="231" spans="18:21" x14ac:dyDescent="0.25">
      <c r="U231" s="471"/>
    </row>
    <row r="232" spans="18:21" x14ac:dyDescent="0.25">
      <c r="U232" s="471"/>
    </row>
    <row r="233" spans="18:21" x14ac:dyDescent="0.25">
      <c r="U233" s="471"/>
    </row>
    <row r="234" spans="18:21" x14ac:dyDescent="0.25">
      <c r="U234" s="471"/>
    </row>
    <row r="235" spans="18:21" x14ac:dyDescent="0.25">
      <c r="U235" s="471"/>
    </row>
    <row r="236" spans="18:21" x14ac:dyDescent="0.25">
      <c r="U236" s="471"/>
    </row>
    <row r="237" spans="18:21" x14ac:dyDescent="0.25">
      <c r="U237" s="471"/>
    </row>
    <row r="238" spans="18:21" x14ac:dyDescent="0.25">
      <c r="U238" s="471"/>
    </row>
    <row r="239" spans="18:21" x14ac:dyDescent="0.25">
      <c r="U239" s="471"/>
    </row>
    <row r="240" spans="18:21" x14ac:dyDescent="0.25">
      <c r="U240" s="471"/>
    </row>
    <row r="241" spans="21:21" x14ac:dyDescent="0.25">
      <c r="U241" s="471"/>
    </row>
    <row r="242" spans="21:21" x14ac:dyDescent="0.25">
      <c r="U242" s="471"/>
    </row>
    <row r="243" spans="21:21" x14ac:dyDescent="0.25">
      <c r="U243" s="471"/>
    </row>
    <row r="244" spans="21:21" x14ac:dyDescent="0.25">
      <c r="U244" s="471"/>
    </row>
    <row r="245" spans="21:21" x14ac:dyDescent="0.25">
      <c r="U245" s="471"/>
    </row>
    <row r="246" spans="21:21" x14ac:dyDescent="0.25">
      <c r="U246" s="471"/>
    </row>
    <row r="247" spans="21:21" x14ac:dyDescent="0.25">
      <c r="U247" s="471"/>
    </row>
  </sheetData>
  <mergeCells count="3">
    <mergeCell ref="B8:C8"/>
    <mergeCell ref="G1:H1"/>
    <mergeCell ref="O1:P1"/>
  </mergeCells>
  <conditionalFormatting sqref="U1:U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fitToWidth="0" orientation="portrait"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FA377-A013-4F17-9C57-4398D501FAD7}">
  <sheetPr>
    <tabColor rgb="FF7030A0"/>
  </sheetPr>
  <dimension ref="A1:D9"/>
  <sheetViews>
    <sheetView workbookViewId="0">
      <selection activeCell="B16" sqref="B16"/>
    </sheetView>
  </sheetViews>
  <sheetFormatPr baseColWidth="10" defaultRowHeight="15" x14ac:dyDescent="0.25"/>
  <cols>
    <col min="1" max="1" width="21.5703125" bestFit="1" customWidth="1"/>
    <col min="2" max="2" width="112.5703125" bestFit="1" customWidth="1"/>
    <col min="3" max="3" width="6.28515625" bestFit="1" customWidth="1"/>
    <col min="4" max="4" width="6.85546875" bestFit="1" customWidth="1"/>
  </cols>
  <sheetData>
    <row r="1" spans="1:4" x14ac:dyDescent="0.25">
      <c r="A1" t="s">
        <v>1535</v>
      </c>
      <c r="B1" s="474">
        <v>44377</v>
      </c>
      <c r="C1" s="42"/>
    </row>
    <row r="2" spans="1:4" x14ac:dyDescent="0.25">
      <c r="A2" t="s">
        <v>1536</v>
      </c>
      <c r="B2" s="474">
        <v>44392</v>
      </c>
      <c r="C2" s="42"/>
    </row>
    <row r="3" spans="1:4" x14ac:dyDescent="0.25">
      <c r="C3" s="42"/>
    </row>
    <row r="4" spans="1:4" x14ac:dyDescent="0.25">
      <c r="A4" s="41" t="s">
        <v>1537</v>
      </c>
      <c r="B4" s="41" t="s">
        <v>1538</v>
      </c>
      <c r="C4" s="43" t="s">
        <v>1539</v>
      </c>
      <c r="D4" s="43" t="s">
        <v>1540</v>
      </c>
    </row>
    <row r="5" spans="1:4" x14ac:dyDescent="0.25">
      <c r="A5" t="s">
        <v>1541</v>
      </c>
      <c r="B5" t="s">
        <v>1542</v>
      </c>
      <c r="C5" s="42">
        <v>1</v>
      </c>
      <c r="D5" s="42">
        <v>4</v>
      </c>
    </row>
    <row r="6" spans="1:4" x14ac:dyDescent="0.25">
      <c r="A6" t="s">
        <v>1543</v>
      </c>
      <c r="B6" t="s">
        <v>1544</v>
      </c>
      <c r="C6" s="42">
        <v>0</v>
      </c>
      <c r="D6" s="42">
        <v>1</v>
      </c>
    </row>
    <row r="7" spans="1:4" x14ac:dyDescent="0.25">
      <c r="A7" t="s">
        <v>1545</v>
      </c>
      <c r="B7" t="s">
        <v>1546</v>
      </c>
      <c r="C7" s="42">
        <v>0</v>
      </c>
      <c r="D7" s="42">
        <v>2</v>
      </c>
    </row>
    <row r="8" spans="1:4" x14ac:dyDescent="0.25">
      <c r="A8" t="s">
        <v>1547</v>
      </c>
      <c r="B8" t="s">
        <v>1548</v>
      </c>
      <c r="C8" s="42">
        <v>0</v>
      </c>
      <c r="D8" s="42">
        <v>2</v>
      </c>
    </row>
    <row r="9" spans="1:4" x14ac:dyDescent="0.25">
      <c r="A9" t="s">
        <v>1549</v>
      </c>
      <c r="B9" t="s">
        <v>1550</v>
      </c>
      <c r="C9" s="475" t="s">
        <v>1551</v>
      </c>
      <c r="D9" s="475" t="s">
        <v>1552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29"/>
  <sheetViews>
    <sheetView tabSelected="1" zoomScale="110" zoomScaleNormal="110" workbookViewId="0">
      <pane xSplit="4" ySplit="3" topLeftCell="E4" activePane="bottomRight" state="frozen"/>
      <selection pane="topRight"/>
      <selection pane="bottomLeft"/>
      <selection pane="bottomRight" activeCell="AE16" sqref="AE16"/>
    </sheetView>
  </sheetViews>
  <sheetFormatPr baseColWidth="10" defaultColWidth="9.140625" defaultRowHeight="15" x14ac:dyDescent="0.25"/>
  <cols>
    <col min="1" max="1" width="3.5703125" style="243" customWidth="1"/>
    <col min="2" max="2" width="8" style="42" customWidth="1"/>
    <col min="3" max="3" width="5.28515625" customWidth="1"/>
    <col min="4" max="4" width="19.85546875" bestFit="1" customWidth="1"/>
    <col min="5" max="5" width="5.5703125" customWidth="1"/>
    <col min="6" max="6" width="5" customWidth="1"/>
    <col min="7" max="7" width="4.5703125" bestFit="1" customWidth="1"/>
    <col min="8" max="8" width="3.7109375" bestFit="1" customWidth="1"/>
    <col min="9" max="9" width="4.42578125" bestFit="1" customWidth="1"/>
    <col min="10" max="12" width="4.85546875" bestFit="1" customWidth="1"/>
    <col min="13" max="13" width="10.5703125" bestFit="1" customWidth="1"/>
    <col min="14" max="14" width="4.5703125" bestFit="1" customWidth="1"/>
    <col min="15" max="15" width="4.28515625" bestFit="1" customWidth="1"/>
    <col min="16" max="16" width="5.140625" bestFit="1" customWidth="1"/>
    <col min="17" max="17" width="4.140625" bestFit="1" customWidth="1"/>
    <col min="18" max="19" width="5.7109375" bestFit="1" customWidth="1"/>
    <col min="20" max="20" width="12.140625" bestFit="1" customWidth="1"/>
    <col min="21" max="22" width="10.5703125" bestFit="1" customWidth="1"/>
    <col min="23" max="23" width="7.5703125" bestFit="1" customWidth="1"/>
    <col min="24" max="30" width="6.42578125" bestFit="1" customWidth="1"/>
    <col min="31" max="31" width="8.5703125" bestFit="1" customWidth="1"/>
    <col min="32" max="32" width="6.5703125" bestFit="1" customWidth="1"/>
    <col min="33" max="38" width="7" bestFit="1" customWidth="1"/>
    <col min="39" max="39" width="7.5703125" bestFit="1" customWidth="1"/>
    <col min="40" max="41" width="3.42578125" bestFit="1" customWidth="1"/>
    <col min="42" max="42" width="3.5703125" bestFit="1" customWidth="1"/>
    <col min="43" max="43" width="5.28515625" bestFit="1" customWidth="1"/>
    <col min="44" max="44" width="7.140625" bestFit="1" customWidth="1"/>
    <col min="45" max="45" width="13.140625" bestFit="1" customWidth="1"/>
    <col min="46" max="46" width="10.7109375" bestFit="1" customWidth="1"/>
    <col min="47" max="51" width="10" customWidth="1"/>
  </cols>
  <sheetData>
    <row r="1" spans="1:46" x14ac:dyDescent="0.25">
      <c r="D1" s="23">
        <v>42268</v>
      </c>
    </row>
    <row r="2" spans="1:46" x14ac:dyDescent="0.25">
      <c r="D2" s="23">
        <f ca="1">TODAY()</f>
        <v>44419</v>
      </c>
      <c r="I2" s="24">
        <f>AVERAGE(I4:I21)</f>
        <v>8.7944444444444443</v>
      </c>
      <c r="J2" s="24"/>
      <c r="N2" s="27">
        <f ca="1">AVERAGE(N4:N21)</f>
        <v>0.92972947973450815</v>
      </c>
      <c r="O2" s="24">
        <f>AVERAGE(O4:O21)</f>
        <v>6.7944444444444443</v>
      </c>
      <c r="Q2" s="24">
        <f>AVERAGE(Q4:Q21)</f>
        <v>5.5555555555555554</v>
      </c>
      <c r="R2" s="2">
        <f>AVERAGE(R4:R21)</f>
        <v>0.88865723130027785</v>
      </c>
      <c r="S2" s="2">
        <f>AVERAGE(S4:S21)</f>
        <v>0.96148406952257559</v>
      </c>
      <c r="T2" s="28">
        <f>SUM(T4:T21)</f>
        <v>2984050</v>
      </c>
      <c r="U2" s="28">
        <f>SUM(U4:U21)</f>
        <v>60260</v>
      </c>
      <c r="V2" s="28">
        <f>SUM(V4:V21)</f>
        <v>399118</v>
      </c>
      <c r="W2" s="29">
        <f>T2/V2</f>
        <v>7.4766109270942431</v>
      </c>
      <c r="AD2" s="27">
        <f>AVERAGE(AD5:AD21)</f>
        <v>14.090196078431372</v>
      </c>
      <c r="AE2" s="25"/>
      <c r="AF2" s="24"/>
      <c r="AM2" s="24"/>
      <c r="AN2" s="24"/>
      <c r="AO2" s="24"/>
      <c r="AP2" s="24"/>
    </row>
    <row r="3" spans="1:46" x14ac:dyDescent="0.25">
      <c r="A3" s="242" t="s">
        <v>106</v>
      </c>
      <c r="B3" s="13" t="s">
        <v>107</v>
      </c>
      <c r="C3" s="14" t="s">
        <v>108</v>
      </c>
      <c r="D3" s="15" t="s">
        <v>109</v>
      </c>
      <c r="E3" s="13" t="s">
        <v>110</v>
      </c>
      <c r="F3" s="13" t="s">
        <v>111</v>
      </c>
      <c r="G3" s="13" t="s">
        <v>112</v>
      </c>
      <c r="H3" s="13" t="s">
        <v>113</v>
      </c>
      <c r="I3" s="13" t="s">
        <v>114</v>
      </c>
      <c r="J3" s="13" t="s">
        <v>115</v>
      </c>
      <c r="K3" s="16" t="s">
        <v>116</v>
      </c>
      <c r="L3" s="16" t="s">
        <v>117</v>
      </c>
      <c r="M3" s="13" t="s">
        <v>118</v>
      </c>
      <c r="N3" s="13" t="s">
        <v>119</v>
      </c>
      <c r="O3" s="13" t="s">
        <v>120</v>
      </c>
      <c r="P3" s="13" t="s">
        <v>121</v>
      </c>
      <c r="Q3" s="13" t="s">
        <v>122</v>
      </c>
      <c r="R3" s="39" t="s">
        <v>123</v>
      </c>
      <c r="S3" s="39" t="s">
        <v>124</v>
      </c>
      <c r="T3" s="13" t="s">
        <v>125</v>
      </c>
      <c r="U3" s="13" t="s">
        <v>126</v>
      </c>
      <c r="V3" s="13" t="s">
        <v>127</v>
      </c>
      <c r="W3" s="13" t="s">
        <v>128</v>
      </c>
      <c r="X3" s="13" t="s">
        <v>129</v>
      </c>
      <c r="Y3" s="13" t="s">
        <v>130</v>
      </c>
      <c r="Z3" s="13" t="s">
        <v>131</v>
      </c>
      <c r="AA3" s="13" t="s">
        <v>132</v>
      </c>
      <c r="AB3" s="13" t="s">
        <v>133</v>
      </c>
      <c r="AC3" s="13" t="s">
        <v>134</v>
      </c>
      <c r="AD3" s="13" t="s">
        <v>112</v>
      </c>
      <c r="AE3" s="13" t="s">
        <v>136</v>
      </c>
      <c r="AF3" s="17" t="s">
        <v>137</v>
      </c>
      <c r="AG3" s="17" t="s">
        <v>138</v>
      </c>
      <c r="AH3" s="17" t="s">
        <v>139</v>
      </c>
      <c r="AI3" s="17" t="s">
        <v>140</v>
      </c>
      <c r="AJ3" s="17" t="s">
        <v>141</v>
      </c>
      <c r="AK3" s="17" t="s">
        <v>142</v>
      </c>
      <c r="AL3" s="17" t="s">
        <v>143</v>
      </c>
      <c r="AM3" s="17" t="s">
        <v>144</v>
      </c>
      <c r="AN3" s="13" t="s">
        <v>145</v>
      </c>
      <c r="AO3" s="13" t="s">
        <v>146</v>
      </c>
      <c r="AP3" s="13" t="s">
        <v>147</v>
      </c>
      <c r="AQ3" s="13" t="s">
        <v>148</v>
      </c>
      <c r="AR3" s="288" t="s">
        <v>149</v>
      </c>
      <c r="AS3" s="289" t="s">
        <v>493</v>
      </c>
      <c r="AT3" s="289" t="s">
        <v>763</v>
      </c>
    </row>
    <row r="4" spans="1:46" x14ac:dyDescent="0.25">
      <c r="A4" s="244" t="s">
        <v>150</v>
      </c>
      <c r="B4" s="49" t="s">
        <v>151</v>
      </c>
      <c r="C4" s="196">
        <f t="shared" ref="C4:C21" ca="1" si="0">((36*112)-(E4*112)-(F4))/112</f>
        <v>6.5892857142857144</v>
      </c>
      <c r="D4" s="95" t="s">
        <v>9</v>
      </c>
      <c r="E4" s="4">
        <v>29</v>
      </c>
      <c r="F4" s="5">
        <f ca="1">$D$2-$D$1-1097-112-112-112-112-112-112-112-112-112</f>
        <v>46</v>
      </c>
      <c r="G4" s="6"/>
      <c r="H4" s="7">
        <v>4</v>
      </c>
      <c r="I4" s="8">
        <v>11.2</v>
      </c>
      <c r="J4" s="21">
        <f t="shared" ref="J4:J21" si="1">LOG(I4)*4/3</f>
        <v>1.3989573635602419</v>
      </c>
      <c r="K4" s="9">
        <f t="shared" ref="K4:K21" si="2">(H4)*(H4)*(I4)</f>
        <v>179.2</v>
      </c>
      <c r="L4" s="9">
        <f t="shared" ref="L4:L21" si="3">(H4+1)*(H4+1)*I4</f>
        <v>280</v>
      </c>
      <c r="M4" s="62">
        <v>43415</v>
      </c>
      <c r="N4" s="63">
        <f t="shared" ref="N4:N12" ca="1" si="4">IF((TODAY()-M4)&gt;335,1,((TODAY()-M4)^0.64)/(336^0.64))</f>
        <v>1</v>
      </c>
      <c r="O4" s="19">
        <v>7.2</v>
      </c>
      <c r="P4" s="20">
        <f t="shared" ref="P4:P21" si="5">O4*10+19</f>
        <v>91</v>
      </c>
      <c r="Q4" s="20">
        <v>6</v>
      </c>
      <c r="R4" s="57">
        <f t="shared" ref="R4:R21" si="6">(Q4/7)^0.5</f>
        <v>0.92582009977255142</v>
      </c>
      <c r="S4" s="57">
        <f t="shared" ref="S4:S21" si="7">IF(Q4=7,1,((Q4+0.99)/7)^0.5)</f>
        <v>0.99928545900129484</v>
      </c>
      <c r="T4" s="10">
        <v>73260</v>
      </c>
      <c r="U4" s="10">
        <f t="shared" ref="U4:U21" si="8">T4-AR4</f>
        <v>-4100</v>
      </c>
      <c r="V4" s="10">
        <v>30180</v>
      </c>
      <c r="W4" s="11">
        <f t="shared" ref="W4:W21" si="9">T4/V4</f>
        <v>2.4274353876739561</v>
      </c>
      <c r="X4" s="265">
        <v>15</v>
      </c>
      <c r="Y4" s="21">
        <f>13+3/14</f>
        <v>13.214285714285714</v>
      </c>
      <c r="Z4" s="265">
        <v>0</v>
      </c>
      <c r="AA4" s="21">
        <v>2</v>
      </c>
      <c r="AB4" s="265">
        <v>1</v>
      </c>
      <c r="AC4" s="21">
        <v>1</v>
      </c>
      <c r="AD4" s="265">
        <f>17+0/3</f>
        <v>17</v>
      </c>
      <c r="AE4" s="12">
        <v>1478</v>
      </c>
      <c r="AF4" s="11">
        <f t="shared" ref="AF4:AF21" ca="1" si="10">(((Y4+LOG(I4)*4/3+N4)+(AB4+LOG(I4)*4/3+N4)*2)/8)*(Q4/7)^0.5</f>
        <v>2.593587544376553</v>
      </c>
      <c r="AG4" s="22">
        <f t="shared" ref="AG4:AG21" ca="1" si="11">(Y4+J4+N4)*(Q4/7)^0.5</f>
        <v>14.45505426410444</v>
      </c>
      <c r="AH4" s="22">
        <f t="shared" ref="AH4:AH21" ca="1" si="12">(Y4+J4+N4)*(IF(Q4=7,(Q4/7)^0.5,((Q4+1)/7)^0.5))</f>
        <v>15.613243077845956</v>
      </c>
      <c r="AI4" s="22">
        <f t="shared" ref="AI4:AI21" ca="1" si="13">(Z4+N4+(LOG(I4)*4/3))*(Q4/7)^0.5</f>
        <v>2.2210029456814397</v>
      </c>
      <c r="AJ4" s="22">
        <f t="shared" ref="AJ4:AJ21" ca="1" si="14">(Z4+N4+(LOG(I4)*4/3))*(IF(Q4=7,(Q4/7)^0.5,((Q4+1)/7)^0.5))</f>
        <v>2.3989573635602417</v>
      </c>
      <c r="AK4" s="22">
        <f t="shared" ref="AK4:AK21" ca="1" si="15">(AD4+1+(LOG(I4)*4/3)+N4)*(Q4/7)^0.5</f>
        <v>18.885764741587366</v>
      </c>
      <c r="AL4" s="22">
        <f t="shared" ref="AL4:AL21" ca="1" si="16">(AD4+1+N4+(LOG(I4)*4/3))*(IF(Q4=7,(Q4/7)^0.5,((Q4+1)/7)^0.5))</f>
        <v>20.398957363560243</v>
      </c>
      <c r="AM4" s="11">
        <f t="shared" ref="AM4:AM21" ca="1" si="17">(AD4+LOG(I4)*4/3+N4)*0.7+(AC4+LOG(I4)*4/3+N4)*0.3</f>
        <v>14.598957363560242</v>
      </c>
      <c r="AN4" s="20">
        <v>1</v>
      </c>
      <c r="AO4" s="20">
        <v>3</v>
      </c>
      <c r="AP4" s="20">
        <v>2</v>
      </c>
      <c r="AQ4" s="57">
        <f t="shared" ref="AQ4:AQ21" si="18">IF(AO4=4,IF(AP4=0,0.137+0.0697,0.137+0.02),IF(AO4=3,IF(AP4=0,0.0958+0.0697,0.0958+0.02),IF(AO4=2,IF(AP4=0,0.0415+0.0697,0.0415+0.02),IF(AO4=1,IF(AP4=0,0.0294+0.0697,0.0294+0.02),IF(AO4=0,IF(AP4=0,0.0063+0.0697,0.0063+0.02))))))</f>
        <v>0.1158</v>
      </c>
      <c r="AR4" s="10">
        <v>77360</v>
      </c>
      <c r="AS4" s="290">
        <v>7000000</v>
      </c>
      <c r="AT4" s="291" t="s">
        <v>764</v>
      </c>
    </row>
    <row r="5" spans="1:46" x14ac:dyDescent="0.25">
      <c r="A5" s="244" t="s">
        <v>152</v>
      </c>
      <c r="B5" s="49" t="s">
        <v>151</v>
      </c>
      <c r="C5" s="196">
        <f t="shared" ca="1" si="0"/>
        <v>6.3660714285714288</v>
      </c>
      <c r="D5" s="313" t="s">
        <v>63</v>
      </c>
      <c r="E5" s="4">
        <v>29</v>
      </c>
      <c r="F5" s="5">
        <f ca="1">$D$2-$D$1-880+32-112-112-112-112-112-112-112-112-112-112-112</f>
        <v>71</v>
      </c>
      <c r="G5" s="6"/>
      <c r="H5" s="91">
        <v>5</v>
      </c>
      <c r="I5" s="8">
        <v>2.2999999999999998</v>
      </c>
      <c r="J5" s="21">
        <f t="shared" si="1"/>
        <v>0.48230378135679047</v>
      </c>
      <c r="K5" s="9">
        <f t="shared" si="2"/>
        <v>57.499999999999993</v>
      </c>
      <c r="L5" s="9">
        <f t="shared" si="3"/>
        <v>82.8</v>
      </c>
      <c r="M5" s="62">
        <v>43190</v>
      </c>
      <c r="N5" s="63">
        <f t="shared" ca="1" si="4"/>
        <v>1</v>
      </c>
      <c r="O5" s="19">
        <v>6.7</v>
      </c>
      <c r="P5" s="20">
        <f t="shared" si="5"/>
        <v>86</v>
      </c>
      <c r="Q5" s="20">
        <v>4</v>
      </c>
      <c r="R5" s="57">
        <f t="shared" si="6"/>
        <v>0.7559289460184544</v>
      </c>
      <c r="S5" s="57">
        <f t="shared" si="7"/>
        <v>0.84430867747355465</v>
      </c>
      <c r="T5" s="403">
        <v>330</v>
      </c>
      <c r="U5" s="10">
        <f t="shared" si="8"/>
        <v>-40</v>
      </c>
      <c r="V5" s="10">
        <v>1130</v>
      </c>
      <c r="W5" s="11">
        <f t="shared" si="9"/>
        <v>0.29203539823008851</v>
      </c>
      <c r="X5" s="265">
        <v>6</v>
      </c>
      <c r="Y5" s="21">
        <f>6+0/5</f>
        <v>6</v>
      </c>
      <c r="Z5" s="265">
        <v>0</v>
      </c>
      <c r="AA5" s="21">
        <v>3</v>
      </c>
      <c r="AB5" s="265">
        <v>1</v>
      </c>
      <c r="AC5" s="21">
        <v>1</v>
      </c>
      <c r="AD5" s="265">
        <v>5</v>
      </c>
      <c r="AE5" s="12">
        <v>371</v>
      </c>
      <c r="AF5" s="11">
        <f t="shared" ca="1" si="10"/>
        <v>1.1761225716885324</v>
      </c>
      <c r="AG5" s="22">
        <f t="shared" ca="1" si="11"/>
        <v>5.6560900112309342</v>
      </c>
      <c r="AH5" s="22">
        <f t="shared" ca="1" si="12"/>
        <v>6.3237008759849598</v>
      </c>
      <c r="AI5" s="22">
        <f t="shared" ca="1" si="13"/>
        <v>1.1205163351202081</v>
      </c>
      <c r="AJ5" s="22">
        <f t="shared" ca="1" si="14"/>
        <v>1.2527753476138603</v>
      </c>
      <c r="AK5" s="22">
        <f t="shared" ca="1" si="15"/>
        <v>5.6560900112309342</v>
      </c>
      <c r="AL5" s="22">
        <f t="shared" ca="1" si="16"/>
        <v>6.3237008759849598</v>
      </c>
      <c r="AM5" s="11">
        <f t="shared" ca="1" si="17"/>
        <v>5.2823037813567906</v>
      </c>
      <c r="AN5" s="20">
        <v>3</v>
      </c>
      <c r="AO5" s="20">
        <v>0</v>
      </c>
      <c r="AP5" s="20">
        <v>2</v>
      </c>
      <c r="AQ5" s="57">
        <f t="shared" si="18"/>
        <v>2.63E-2</v>
      </c>
      <c r="AR5" s="403">
        <v>370</v>
      </c>
      <c r="AS5" s="292">
        <v>14000</v>
      </c>
      <c r="AT5" s="291" t="s">
        <v>180</v>
      </c>
    </row>
    <row r="6" spans="1:46" x14ac:dyDescent="0.25">
      <c r="A6" s="244" t="s">
        <v>155</v>
      </c>
      <c r="B6" s="49" t="s">
        <v>154</v>
      </c>
      <c r="C6" s="196">
        <f t="shared" ca="1" si="0"/>
        <v>6.7857142857142856</v>
      </c>
      <c r="D6" s="95" t="s">
        <v>27</v>
      </c>
      <c r="E6" s="4">
        <v>29</v>
      </c>
      <c r="F6" s="5">
        <f ca="1">$D$2-$D$1-1102-17-112-112-112-112-112-112-112-112-112</f>
        <v>24</v>
      </c>
      <c r="G6" s="6"/>
      <c r="H6" s="7">
        <v>4</v>
      </c>
      <c r="I6" s="8">
        <v>7.9</v>
      </c>
      <c r="J6" s="21">
        <f t="shared" si="1"/>
        <v>1.1968361217205887</v>
      </c>
      <c r="K6" s="9">
        <f t="shared" si="2"/>
        <v>126.4</v>
      </c>
      <c r="L6" s="9">
        <f t="shared" si="3"/>
        <v>197.5</v>
      </c>
      <c r="M6" s="62">
        <v>43410</v>
      </c>
      <c r="N6" s="63">
        <f t="shared" ca="1" si="4"/>
        <v>1</v>
      </c>
      <c r="O6" s="19">
        <v>7.2</v>
      </c>
      <c r="P6" s="20">
        <f t="shared" si="5"/>
        <v>91</v>
      </c>
      <c r="Q6" s="20">
        <v>6</v>
      </c>
      <c r="R6" s="57">
        <f t="shared" si="6"/>
        <v>0.92582009977255142</v>
      </c>
      <c r="S6" s="57">
        <f t="shared" si="7"/>
        <v>0.99928545900129484</v>
      </c>
      <c r="T6" s="403">
        <v>192750</v>
      </c>
      <c r="U6" s="10">
        <f t="shared" si="8"/>
        <v>-9300</v>
      </c>
      <c r="V6" s="10">
        <v>37540</v>
      </c>
      <c r="W6" s="11">
        <f t="shared" si="9"/>
        <v>5.1345231752797016</v>
      </c>
      <c r="X6" s="265">
        <v>0</v>
      </c>
      <c r="Y6" s="21">
        <f>16+1/23</f>
        <v>16.043478260869566</v>
      </c>
      <c r="Z6" s="265">
        <f>5+2/8</f>
        <v>5.25</v>
      </c>
      <c r="AA6" s="21">
        <f>9+0/5</f>
        <v>9</v>
      </c>
      <c r="AB6" s="265">
        <f>9+0/7</f>
        <v>9</v>
      </c>
      <c r="AC6" s="21">
        <v>1</v>
      </c>
      <c r="AD6" s="265">
        <f>15+1/3</f>
        <v>15.333333333333334</v>
      </c>
      <c r="AE6" s="12">
        <v>1832</v>
      </c>
      <c r="AF6" s="11">
        <f t="shared" ca="1" si="10"/>
        <v>4.702470194033606</v>
      </c>
      <c r="AG6" s="22">
        <f t="shared" ca="1" si="11"/>
        <v>16.887249681572325</v>
      </c>
      <c r="AH6" s="22">
        <f t="shared" ca="1" si="12"/>
        <v>18.240314382590157</v>
      </c>
      <c r="AI6" s="22">
        <f t="shared" ca="1" si="13"/>
        <v>6.8944305612011947</v>
      </c>
      <c r="AJ6" s="22">
        <f t="shared" ca="1" si="14"/>
        <v>7.4468361217205885</v>
      </c>
      <c r="AK6" s="22">
        <f t="shared" ca="1" si="15"/>
        <v>17.155603333680311</v>
      </c>
      <c r="AL6" s="22">
        <f t="shared" ca="1" si="16"/>
        <v>18.530169455053926</v>
      </c>
      <c r="AM6" s="11">
        <f t="shared" ca="1" si="17"/>
        <v>13.230169455053922</v>
      </c>
      <c r="AN6" s="20">
        <v>3</v>
      </c>
      <c r="AO6" s="20">
        <v>2</v>
      </c>
      <c r="AP6" s="20">
        <v>2</v>
      </c>
      <c r="AQ6" s="57">
        <f t="shared" si="18"/>
        <v>6.1499999999999999E-2</v>
      </c>
      <c r="AR6" s="403">
        <v>202050</v>
      </c>
      <c r="AS6" s="292">
        <v>3600000</v>
      </c>
      <c r="AT6" s="291" t="s">
        <v>764</v>
      </c>
    </row>
    <row r="7" spans="1:46" x14ac:dyDescent="0.25">
      <c r="A7" s="244" t="s">
        <v>156</v>
      </c>
      <c r="B7" s="49" t="s">
        <v>154</v>
      </c>
      <c r="C7" s="196">
        <f t="shared" ca="1" si="0"/>
        <v>6.3392857142857144</v>
      </c>
      <c r="D7" s="95" t="s">
        <v>66</v>
      </c>
      <c r="E7" s="4">
        <v>29</v>
      </c>
      <c r="F7" s="5">
        <f ca="1">$D$2-$D$1-1069-112-112-112-112-112-112-112-112-112</f>
        <v>74</v>
      </c>
      <c r="G7" s="6"/>
      <c r="H7" s="7">
        <v>1</v>
      </c>
      <c r="I7" s="8">
        <v>8.1</v>
      </c>
      <c r="J7" s="21">
        <f t="shared" si="1"/>
        <v>1.2113133585048663</v>
      </c>
      <c r="K7" s="9">
        <f t="shared" si="2"/>
        <v>8.1</v>
      </c>
      <c r="L7" s="9">
        <f t="shared" si="3"/>
        <v>32.4</v>
      </c>
      <c r="M7" s="62">
        <v>43383</v>
      </c>
      <c r="N7" s="63">
        <f t="shared" ca="1" si="4"/>
        <v>1</v>
      </c>
      <c r="O7" s="19">
        <v>7</v>
      </c>
      <c r="P7" s="20">
        <f t="shared" si="5"/>
        <v>89</v>
      </c>
      <c r="Q7" s="20">
        <v>5</v>
      </c>
      <c r="R7" s="57">
        <f t="shared" si="6"/>
        <v>0.84515425472851657</v>
      </c>
      <c r="S7" s="57">
        <f t="shared" si="7"/>
        <v>0.92504826128926143</v>
      </c>
      <c r="T7" s="10">
        <v>186600</v>
      </c>
      <c r="U7" s="10">
        <f t="shared" si="8"/>
        <v>1550</v>
      </c>
      <c r="V7" s="10">
        <v>26200</v>
      </c>
      <c r="W7" s="11">
        <f t="shared" si="9"/>
        <v>7.1221374045801529</v>
      </c>
      <c r="X7" s="265">
        <v>0</v>
      </c>
      <c r="Y7" s="21">
        <f>14+14/16</f>
        <v>14.875</v>
      </c>
      <c r="Z7" s="265">
        <f>3+1/4+(30/90)*1/4+1/4*29/90+1/8*31/90</f>
        <v>3.4569444444444448</v>
      </c>
      <c r="AA7" s="21">
        <f>9+2/5</f>
        <v>9.4</v>
      </c>
      <c r="AB7" s="265">
        <f>12+0/9</f>
        <v>12</v>
      </c>
      <c r="AC7" s="21">
        <v>3.95</v>
      </c>
      <c r="AD7" s="265">
        <f>15+2/3</f>
        <v>15.666666666666666</v>
      </c>
      <c r="AE7" s="12">
        <v>1732</v>
      </c>
      <c r="AF7" s="11">
        <f t="shared" ca="1" si="10"/>
        <v>4.807759291625783</v>
      </c>
      <c r="AG7" s="22">
        <f t="shared" ca="1" si="11"/>
        <v>14.440570432565078</v>
      </c>
      <c r="AH7" s="22">
        <f t="shared" ca="1" si="12"/>
        <v>15.818852338316054</v>
      </c>
      <c r="AI7" s="22">
        <f t="shared" ca="1" si="13"/>
        <v>4.7905521990607234</v>
      </c>
      <c r="AJ7" s="22">
        <f t="shared" ca="1" si="14"/>
        <v>5.2477870046630741</v>
      </c>
      <c r="AK7" s="22">
        <f t="shared" ca="1" si="15"/>
        <v>15.954805138953668</v>
      </c>
      <c r="AL7" s="22">
        <f t="shared" ca="1" si="16"/>
        <v>17.477613350408539</v>
      </c>
      <c r="AM7" s="11">
        <f t="shared" ca="1" si="17"/>
        <v>14.362980025171531</v>
      </c>
      <c r="AN7" s="20">
        <v>0</v>
      </c>
      <c r="AO7" s="20">
        <v>3</v>
      </c>
      <c r="AP7" s="20">
        <v>2</v>
      </c>
      <c r="AQ7" s="57">
        <f t="shared" si="18"/>
        <v>0.1158</v>
      </c>
      <c r="AR7" s="10">
        <v>185050</v>
      </c>
      <c r="AS7" s="292">
        <v>2500000</v>
      </c>
      <c r="AT7" s="291" t="s">
        <v>764</v>
      </c>
    </row>
    <row r="8" spans="1:46" x14ac:dyDescent="0.25">
      <c r="A8" s="244" t="s">
        <v>157</v>
      </c>
      <c r="B8" s="49" t="s">
        <v>154</v>
      </c>
      <c r="C8" s="196">
        <f t="shared" ca="1" si="0"/>
        <v>6.4732142857142856</v>
      </c>
      <c r="D8" s="95" t="s">
        <v>47</v>
      </c>
      <c r="E8" s="4">
        <v>29</v>
      </c>
      <c r="F8" s="5">
        <f ca="1">$D$2-$D$1-880+55-112-112-14-21-112-112-112-112-112-112-112-112-112</f>
        <v>59</v>
      </c>
      <c r="G8" s="6"/>
      <c r="H8" s="7">
        <v>4</v>
      </c>
      <c r="I8" s="8">
        <v>9</v>
      </c>
      <c r="J8" s="21">
        <f t="shared" si="1"/>
        <v>1.2723233459190999</v>
      </c>
      <c r="K8" s="9">
        <f t="shared" si="2"/>
        <v>144</v>
      </c>
      <c r="L8" s="9">
        <f t="shared" si="3"/>
        <v>225</v>
      </c>
      <c r="M8" s="62">
        <v>43419</v>
      </c>
      <c r="N8" s="63">
        <f t="shared" ca="1" si="4"/>
        <v>1</v>
      </c>
      <c r="O8" s="19">
        <v>7.1</v>
      </c>
      <c r="P8" s="20">
        <f t="shared" si="5"/>
        <v>90</v>
      </c>
      <c r="Q8" s="20">
        <v>6</v>
      </c>
      <c r="R8" s="57">
        <f t="shared" si="6"/>
        <v>0.92582009977255142</v>
      </c>
      <c r="S8" s="57">
        <f t="shared" si="7"/>
        <v>0.99928545900129484</v>
      </c>
      <c r="T8" s="10">
        <v>174090</v>
      </c>
      <c r="U8" s="10">
        <f t="shared" si="8"/>
        <v>-6040</v>
      </c>
      <c r="V8" s="10">
        <v>17460</v>
      </c>
      <c r="W8" s="11">
        <f t="shared" si="9"/>
        <v>9.970790378006873</v>
      </c>
      <c r="X8" s="265">
        <v>0</v>
      </c>
      <c r="Y8" s="21">
        <f>13+3/16</f>
        <v>13.1875</v>
      </c>
      <c r="Z8" s="265">
        <f>11+6/9</f>
        <v>11.666666666666666</v>
      </c>
      <c r="AA8" s="21">
        <f>5+1/4</f>
        <v>5.25</v>
      </c>
      <c r="AB8" s="265">
        <f>11+1/7</f>
        <v>11.142857142857142</v>
      </c>
      <c r="AC8" s="21">
        <v>4</v>
      </c>
      <c r="AD8" s="265">
        <f>15+1/3</f>
        <v>15.333333333333334</v>
      </c>
      <c r="AE8" s="12">
        <v>1806</v>
      </c>
      <c r="AF8" s="11">
        <f t="shared" ca="1" si="10"/>
        <v>4.8941378337195065</v>
      </c>
      <c r="AG8" s="22">
        <f t="shared" ca="1" si="11"/>
        <v>14.313015192584841</v>
      </c>
      <c r="AH8" s="22">
        <f t="shared" ca="1" si="12"/>
        <v>15.4598233459191</v>
      </c>
      <c r="AI8" s="22">
        <f t="shared" ca="1" si="13"/>
        <v>12.904997124180751</v>
      </c>
      <c r="AJ8" s="22">
        <f t="shared" ca="1" si="14"/>
        <v>13.938990012585766</v>
      </c>
      <c r="AK8" s="22">
        <f t="shared" ca="1" si="15"/>
        <v>17.225490923119327</v>
      </c>
      <c r="AL8" s="22">
        <f t="shared" ca="1" si="16"/>
        <v>18.605656679252437</v>
      </c>
      <c r="AM8" s="11">
        <f t="shared" ca="1" si="17"/>
        <v>14.205656679252431</v>
      </c>
      <c r="AN8" s="20">
        <v>0</v>
      </c>
      <c r="AO8" s="20">
        <v>2</v>
      </c>
      <c r="AP8" s="20">
        <v>2</v>
      </c>
      <c r="AQ8" s="57">
        <f t="shared" si="18"/>
        <v>6.1499999999999999E-2</v>
      </c>
      <c r="AR8" s="10">
        <v>180130</v>
      </c>
      <c r="AS8" s="292">
        <v>3869000</v>
      </c>
      <c r="AT8" s="291" t="s">
        <v>764</v>
      </c>
    </row>
    <row r="9" spans="1:46" x14ac:dyDescent="0.25">
      <c r="A9" s="244" t="s">
        <v>158</v>
      </c>
      <c r="B9" s="49" t="s">
        <v>154</v>
      </c>
      <c r="C9" s="196">
        <f t="shared" ca="1" si="0"/>
        <v>6.0892857142857144</v>
      </c>
      <c r="D9" s="95" t="s">
        <v>62</v>
      </c>
      <c r="E9" s="4">
        <v>29</v>
      </c>
      <c r="F9" s="5">
        <f ca="1">$D$2-$D$1-1377-112-112-112-112-112-112</f>
        <v>102</v>
      </c>
      <c r="G9" s="6"/>
      <c r="H9" s="7">
        <v>2</v>
      </c>
      <c r="I9" s="8">
        <v>8.1</v>
      </c>
      <c r="J9" s="21">
        <f t="shared" si="1"/>
        <v>1.2113133585048663</v>
      </c>
      <c r="K9" s="9">
        <f t="shared" si="2"/>
        <v>32.4</v>
      </c>
      <c r="L9" s="9">
        <f t="shared" si="3"/>
        <v>72.899999999999991</v>
      </c>
      <c r="M9" s="62">
        <v>43706</v>
      </c>
      <c r="N9" s="63">
        <f t="shared" ca="1" si="4"/>
        <v>1</v>
      </c>
      <c r="O9" s="19">
        <v>7</v>
      </c>
      <c r="P9" s="20">
        <f t="shared" si="5"/>
        <v>89</v>
      </c>
      <c r="Q9" s="20">
        <v>6</v>
      </c>
      <c r="R9" s="57">
        <f t="shared" si="6"/>
        <v>0.92582009977255142</v>
      </c>
      <c r="S9" s="57">
        <f t="shared" si="7"/>
        <v>0.99928545900129484</v>
      </c>
      <c r="T9" s="10">
        <v>183940</v>
      </c>
      <c r="U9" s="10">
        <f t="shared" si="8"/>
        <v>31540</v>
      </c>
      <c r="V9" s="10">
        <v>26200</v>
      </c>
      <c r="W9" s="11">
        <f t="shared" si="9"/>
        <v>7.0206106870229004</v>
      </c>
      <c r="X9" s="265">
        <v>0</v>
      </c>
      <c r="Y9" s="21">
        <f>14+15/16</f>
        <v>14.9375</v>
      </c>
      <c r="Z9" s="265">
        <f>5+1/4+1/8</f>
        <v>5.375</v>
      </c>
      <c r="AA9" s="21">
        <f>3+1/3</f>
        <v>3.3333333333333335</v>
      </c>
      <c r="AB9" s="265">
        <f>12+2/9</f>
        <v>12.222222222222221</v>
      </c>
      <c r="AC9" s="21">
        <v>6</v>
      </c>
      <c r="AD9" s="265">
        <v>15</v>
      </c>
      <c r="AE9" s="12">
        <v>1732</v>
      </c>
      <c r="AF9" s="11">
        <f t="shared" ca="1" si="10"/>
        <v>5.3253038496738361</v>
      </c>
      <c r="AG9" s="22">
        <f t="shared" ca="1" si="11"/>
        <v>15.876716094551838</v>
      </c>
      <c r="AH9" s="22">
        <f t="shared" ca="1" si="12"/>
        <v>17.148813358504867</v>
      </c>
      <c r="AI9" s="22">
        <f t="shared" ca="1" si="13"/>
        <v>7.0235613904768153</v>
      </c>
      <c r="AJ9" s="22">
        <f t="shared" ca="1" si="14"/>
        <v>7.5863133585048663</v>
      </c>
      <c r="AK9" s="22">
        <f t="shared" ca="1" si="15"/>
        <v>16.860399950560176</v>
      </c>
      <c r="AL9" s="22">
        <f t="shared" ca="1" si="16"/>
        <v>18.211313358504867</v>
      </c>
      <c r="AM9" s="11">
        <f t="shared" ca="1" si="17"/>
        <v>14.511313358504868</v>
      </c>
      <c r="AN9" s="20">
        <v>2</v>
      </c>
      <c r="AO9" s="20">
        <v>2</v>
      </c>
      <c r="AP9" s="20">
        <v>1</v>
      </c>
      <c r="AQ9" s="57">
        <f t="shared" si="18"/>
        <v>6.1499999999999999E-2</v>
      </c>
      <c r="AR9" s="10">
        <v>152400</v>
      </c>
      <c r="AS9" s="292">
        <v>4162000</v>
      </c>
      <c r="AT9" s="291" t="s">
        <v>764</v>
      </c>
    </row>
    <row r="10" spans="1:46" x14ac:dyDescent="0.25">
      <c r="A10" s="244" t="s">
        <v>159</v>
      </c>
      <c r="B10" s="49" t="s">
        <v>160</v>
      </c>
      <c r="C10" s="196">
        <f t="shared" ca="1" si="0"/>
        <v>6.6517857142857144</v>
      </c>
      <c r="D10" s="95" t="s">
        <v>20</v>
      </c>
      <c r="E10" s="4">
        <v>29</v>
      </c>
      <c r="F10" s="5">
        <f ca="1">$D$2-$D$1-885-112-112-112-112-112-112-112-112-107-112-112</f>
        <v>39</v>
      </c>
      <c r="G10" s="6" t="s">
        <v>161</v>
      </c>
      <c r="H10" s="91">
        <v>5</v>
      </c>
      <c r="I10" s="8">
        <v>10</v>
      </c>
      <c r="J10" s="21">
        <f t="shared" si="1"/>
        <v>1.3333333333333333</v>
      </c>
      <c r="K10" s="9">
        <f t="shared" si="2"/>
        <v>250</v>
      </c>
      <c r="L10" s="9">
        <f t="shared" si="3"/>
        <v>360</v>
      </c>
      <c r="M10" s="62">
        <v>43137</v>
      </c>
      <c r="N10" s="63">
        <f t="shared" ca="1" si="4"/>
        <v>1</v>
      </c>
      <c r="O10" s="19">
        <v>7.2</v>
      </c>
      <c r="P10" s="20">
        <f t="shared" si="5"/>
        <v>91</v>
      </c>
      <c r="Q10" s="20">
        <v>6</v>
      </c>
      <c r="R10" s="57">
        <f t="shared" si="6"/>
        <v>0.92582009977255142</v>
      </c>
      <c r="S10" s="57">
        <f t="shared" si="7"/>
        <v>0.99928545900129484</v>
      </c>
      <c r="T10" s="10">
        <v>241370</v>
      </c>
      <c r="U10" s="10">
        <f t="shared" si="8"/>
        <v>7510</v>
      </c>
      <c r="V10" s="10">
        <v>26370</v>
      </c>
      <c r="W10" s="11">
        <f t="shared" si="9"/>
        <v>9.1532043989381879</v>
      </c>
      <c r="X10" s="265">
        <v>0</v>
      </c>
      <c r="Y10" s="21">
        <f>14+6/16</f>
        <v>14.375</v>
      </c>
      <c r="Z10" s="265">
        <f>5+0/5</f>
        <v>5</v>
      </c>
      <c r="AA10" s="21">
        <f>14+0/9</f>
        <v>14</v>
      </c>
      <c r="AB10" s="265">
        <f>8+1/5</f>
        <v>8.1999999999999993</v>
      </c>
      <c r="AC10" s="21">
        <f>5.25+0.25+0.25+0.25+0.25+0.25+0.25+0.25</f>
        <v>7</v>
      </c>
      <c r="AD10" s="265">
        <v>16</v>
      </c>
      <c r="AE10" s="12">
        <v>1992</v>
      </c>
      <c r="AF10" s="11">
        <f t="shared" ca="1" si="10"/>
        <v>4.3716067836135171</v>
      </c>
      <c r="AG10" s="22">
        <f t="shared" ca="1" si="11"/>
        <v>15.468910833699715</v>
      </c>
      <c r="AH10" s="22">
        <f t="shared" ca="1" si="12"/>
        <v>16.708333333333336</v>
      </c>
      <c r="AI10" s="22">
        <f t="shared" ca="1" si="13"/>
        <v>6.7893473983320431</v>
      </c>
      <c r="AJ10" s="22">
        <f t="shared" ca="1" si="14"/>
        <v>7.333333333333333</v>
      </c>
      <c r="AK10" s="22">
        <f t="shared" ca="1" si="15"/>
        <v>17.899188595602659</v>
      </c>
      <c r="AL10" s="22">
        <f t="shared" ca="1" si="16"/>
        <v>19.333333333333332</v>
      </c>
      <c r="AM10" s="11">
        <f t="shared" ca="1" si="17"/>
        <v>15.633333333333333</v>
      </c>
      <c r="AN10" s="20">
        <v>1</v>
      </c>
      <c r="AO10" s="20">
        <v>2</v>
      </c>
      <c r="AP10" s="20">
        <v>3</v>
      </c>
      <c r="AQ10" s="57">
        <f t="shared" si="18"/>
        <v>6.1499999999999999E-2</v>
      </c>
      <c r="AR10" s="10">
        <v>233860</v>
      </c>
      <c r="AS10" s="292">
        <v>1530000</v>
      </c>
      <c r="AT10" s="291" t="s">
        <v>764</v>
      </c>
    </row>
    <row r="11" spans="1:46" x14ac:dyDescent="0.25">
      <c r="A11" s="244" t="s">
        <v>162</v>
      </c>
      <c r="B11" s="49" t="s">
        <v>160</v>
      </c>
      <c r="C11" s="196">
        <f t="shared" ca="1" si="0"/>
        <v>7</v>
      </c>
      <c r="D11" s="95" t="s">
        <v>163</v>
      </c>
      <c r="E11" s="4">
        <v>28</v>
      </c>
      <c r="F11" s="5">
        <f ca="1">$D$2-$D$1-1479-112-112-112-112-112</f>
        <v>112</v>
      </c>
      <c r="G11" s="6" t="s">
        <v>164</v>
      </c>
      <c r="H11" s="7">
        <v>3</v>
      </c>
      <c r="I11" s="8">
        <v>10.1</v>
      </c>
      <c r="J11" s="21">
        <f t="shared" si="1"/>
        <v>1.3390951650435234</v>
      </c>
      <c r="K11" s="9">
        <f t="shared" si="2"/>
        <v>90.899999999999991</v>
      </c>
      <c r="L11" s="9">
        <f t="shared" si="3"/>
        <v>161.6</v>
      </c>
      <c r="M11" s="62">
        <v>43122</v>
      </c>
      <c r="N11" s="63">
        <f t="shared" ca="1" si="4"/>
        <v>1</v>
      </c>
      <c r="O11" s="19">
        <v>7.3</v>
      </c>
      <c r="P11" s="20">
        <f t="shared" si="5"/>
        <v>92</v>
      </c>
      <c r="Q11" s="20">
        <v>6</v>
      </c>
      <c r="R11" s="57">
        <f t="shared" si="6"/>
        <v>0.92582009977255142</v>
      </c>
      <c r="S11" s="57">
        <f t="shared" si="7"/>
        <v>0.99928545900129484</v>
      </c>
      <c r="T11" s="10">
        <v>333730</v>
      </c>
      <c r="U11" s="10">
        <f t="shared" si="8"/>
        <v>53540</v>
      </c>
      <c r="V11" s="10">
        <v>26350</v>
      </c>
      <c r="W11" s="11">
        <f t="shared" si="9"/>
        <v>12.665275142314991</v>
      </c>
      <c r="X11" s="265">
        <v>0</v>
      </c>
      <c r="Y11" s="21">
        <f>14+0/22</f>
        <v>14</v>
      </c>
      <c r="Z11" s="265">
        <f>4+3/4</f>
        <v>4.75</v>
      </c>
      <c r="AA11" s="21">
        <f>15+1/9</f>
        <v>15.111111111111111</v>
      </c>
      <c r="AB11" s="265">
        <f>10+0/7</f>
        <v>10</v>
      </c>
      <c r="AC11" s="21">
        <f>4.25+0.25+0.25+0.25+0.25+0.25+0.25+0.25+0.25+0.25+0.25+0.25</f>
        <v>7</v>
      </c>
      <c r="AD11" s="265">
        <f>16+1/3</f>
        <v>16.333333333333332</v>
      </c>
      <c r="AE11" s="12">
        <v>2141</v>
      </c>
      <c r="AF11" s="11">
        <f t="shared" ca="1" si="10"/>
        <v>4.7468284186876266</v>
      </c>
      <c r="AG11" s="22">
        <f t="shared" ca="1" si="11"/>
        <v>15.127062715893809</v>
      </c>
      <c r="AH11" s="22">
        <f t="shared" ca="1" si="12"/>
        <v>16.339095165043524</v>
      </c>
      <c r="AI11" s="22">
        <f t="shared" ca="1" si="13"/>
        <v>6.5632267929977068</v>
      </c>
      <c r="AJ11" s="22">
        <f t="shared" ca="1" si="14"/>
        <v>7.0890951650435232</v>
      </c>
      <c r="AK11" s="22">
        <f t="shared" ca="1" si="15"/>
        <v>18.213129715135643</v>
      </c>
      <c r="AL11" s="22">
        <f t="shared" ca="1" si="16"/>
        <v>19.672428498376856</v>
      </c>
      <c r="AM11" s="11">
        <f t="shared" ca="1" si="17"/>
        <v>15.872428498376856</v>
      </c>
      <c r="AN11" s="20">
        <v>2</v>
      </c>
      <c r="AO11" s="20">
        <v>0</v>
      </c>
      <c r="AP11" s="20">
        <v>2</v>
      </c>
      <c r="AQ11" s="57">
        <f t="shared" si="18"/>
        <v>2.63E-2</v>
      </c>
      <c r="AR11" s="10">
        <v>280190</v>
      </c>
      <c r="AS11" s="292">
        <v>600000</v>
      </c>
      <c r="AT11" s="291" t="s">
        <v>764</v>
      </c>
    </row>
    <row r="12" spans="1:46" x14ac:dyDescent="0.25">
      <c r="A12" s="244" t="s">
        <v>165</v>
      </c>
      <c r="B12" s="49" t="s">
        <v>160</v>
      </c>
      <c r="C12" s="196">
        <f t="shared" ca="1" si="0"/>
        <v>6.6517857142857144</v>
      </c>
      <c r="D12" s="95" t="s">
        <v>29</v>
      </c>
      <c r="E12" s="4">
        <v>29</v>
      </c>
      <c r="F12" s="5">
        <f ca="1">$D$2-$D$1-880-112-112-112-112-112-112-112-112-112-112-112</f>
        <v>39</v>
      </c>
      <c r="G12" s="6" t="s">
        <v>161</v>
      </c>
      <c r="H12" s="30">
        <v>6</v>
      </c>
      <c r="I12" s="8">
        <v>9.1</v>
      </c>
      <c r="J12" s="21">
        <f t="shared" si="1"/>
        <v>1.2787218564281246</v>
      </c>
      <c r="K12" s="9">
        <f t="shared" si="2"/>
        <v>327.59999999999997</v>
      </c>
      <c r="L12" s="9">
        <f t="shared" si="3"/>
        <v>445.9</v>
      </c>
      <c r="M12" s="62">
        <v>43051</v>
      </c>
      <c r="N12" s="63">
        <f t="shared" ca="1" si="4"/>
        <v>1</v>
      </c>
      <c r="O12" s="19">
        <v>7.2</v>
      </c>
      <c r="P12" s="20">
        <f t="shared" si="5"/>
        <v>91</v>
      </c>
      <c r="Q12" s="20">
        <v>6</v>
      </c>
      <c r="R12" s="57">
        <f t="shared" si="6"/>
        <v>0.92582009977255142</v>
      </c>
      <c r="S12" s="57">
        <f t="shared" si="7"/>
        <v>0.99928545900129484</v>
      </c>
      <c r="T12" s="10">
        <v>202550</v>
      </c>
      <c r="U12" s="10">
        <f t="shared" si="8"/>
        <v>-8600</v>
      </c>
      <c r="V12" s="10">
        <v>19430</v>
      </c>
      <c r="W12" s="11">
        <f t="shared" si="9"/>
        <v>10.424601132269686</v>
      </c>
      <c r="X12" s="265">
        <v>0</v>
      </c>
      <c r="Y12" s="21">
        <f>13+5/15</f>
        <v>13.333333333333334</v>
      </c>
      <c r="Z12" s="265">
        <f>4+2/4+1/4*60/90+1/8*30/90</f>
        <v>4.7083333333333339</v>
      </c>
      <c r="AA12" s="21">
        <f>14+0/6</f>
        <v>14</v>
      </c>
      <c r="AB12" s="265">
        <f>9+1/6</f>
        <v>9.1666666666666661</v>
      </c>
      <c r="AC12" s="21">
        <f>3.34+0.34+0.33+0.33+0.33+0.33+0.33+0.33+0.33+0.26+0.25+0.25+0.25+0.25</f>
        <v>7.25</v>
      </c>
      <c r="AD12" s="265">
        <f>16+1/3</f>
        <v>16.333333333333332</v>
      </c>
      <c r="AE12" s="12">
        <v>1888</v>
      </c>
      <c r="AF12" s="11">
        <f t="shared" ca="1" si="10"/>
        <v>4.4558369977767498</v>
      </c>
      <c r="AG12" s="22">
        <f t="shared" ca="1" si="11"/>
        <v>14.453954493439532</v>
      </c>
      <c r="AH12" s="22">
        <f t="shared" ca="1" si="12"/>
        <v>15.612055189761458</v>
      </c>
      <c r="AI12" s="22">
        <f t="shared" ca="1" si="13"/>
        <v>6.4687561329012766</v>
      </c>
      <c r="AJ12" s="22">
        <f t="shared" ca="1" si="14"/>
        <v>6.9870551897614588</v>
      </c>
      <c r="AK12" s="22">
        <f t="shared" ca="1" si="15"/>
        <v>18.157234892529736</v>
      </c>
      <c r="AL12" s="22">
        <f t="shared" ca="1" si="16"/>
        <v>19.612055189761456</v>
      </c>
      <c r="AM12" s="11">
        <f t="shared" ca="1" si="17"/>
        <v>15.887055189761456</v>
      </c>
      <c r="AN12" s="20">
        <v>2</v>
      </c>
      <c r="AO12" s="20">
        <v>2</v>
      </c>
      <c r="AP12" s="20">
        <v>1</v>
      </c>
      <c r="AQ12" s="57">
        <f t="shared" si="18"/>
        <v>6.1499999999999999E-2</v>
      </c>
      <c r="AR12" s="10">
        <v>211150</v>
      </c>
      <c r="AS12" s="292">
        <v>496109</v>
      </c>
      <c r="AT12" s="291" t="s">
        <v>764</v>
      </c>
    </row>
    <row r="13" spans="1:46" x14ac:dyDescent="0.25">
      <c r="A13" s="244" t="s">
        <v>166</v>
      </c>
      <c r="B13" s="49" t="s">
        <v>160</v>
      </c>
      <c r="C13" s="196">
        <f t="shared" ca="1" si="0"/>
        <v>6.6875</v>
      </c>
      <c r="D13" s="95" t="s">
        <v>14</v>
      </c>
      <c r="E13" s="4">
        <v>29</v>
      </c>
      <c r="F13" s="5">
        <f ca="1">$D$2-$D$1-880-4-112-112-112-112-112-112-112-112-112-112-112</f>
        <v>35</v>
      </c>
      <c r="G13" s="6" t="s">
        <v>164</v>
      </c>
      <c r="H13" s="7">
        <v>1</v>
      </c>
      <c r="I13" s="8">
        <v>10.4</v>
      </c>
      <c r="J13" s="21">
        <f t="shared" si="1"/>
        <v>1.3560444523983737</v>
      </c>
      <c r="K13" s="9">
        <f t="shared" si="2"/>
        <v>10.4</v>
      </c>
      <c r="L13" s="9">
        <f t="shared" si="3"/>
        <v>41.6</v>
      </c>
      <c r="M13" s="62">
        <v>43046</v>
      </c>
      <c r="N13" s="63">
        <v>1.5</v>
      </c>
      <c r="O13" s="19">
        <v>7.2</v>
      </c>
      <c r="P13" s="20">
        <f t="shared" si="5"/>
        <v>91</v>
      </c>
      <c r="Q13" s="20">
        <v>6</v>
      </c>
      <c r="R13" s="57">
        <f t="shared" si="6"/>
        <v>0.92582009977255142</v>
      </c>
      <c r="S13" s="57">
        <f t="shared" si="7"/>
        <v>0.99928545900129484</v>
      </c>
      <c r="T13" s="10">
        <v>277840</v>
      </c>
      <c r="U13" s="10">
        <f t="shared" si="8"/>
        <v>-3800</v>
      </c>
      <c r="V13" s="10">
        <v>29070</v>
      </c>
      <c r="W13" s="11">
        <f t="shared" si="9"/>
        <v>9.5576195390436869</v>
      </c>
      <c r="X13" s="265">
        <v>0</v>
      </c>
      <c r="Y13" s="21">
        <f>12+8/12</f>
        <v>12.666666666666666</v>
      </c>
      <c r="Z13" s="265">
        <f>6+3/5</f>
        <v>6.6</v>
      </c>
      <c r="AA13" s="21">
        <f>16+0/17</f>
        <v>16</v>
      </c>
      <c r="AB13" s="265">
        <f>9+3/6</f>
        <v>9.5</v>
      </c>
      <c r="AC13" s="21">
        <f>7+4/5</f>
        <v>7.8</v>
      </c>
      <c r="AD13" s="265">
        <f>17+0/3</f>
        <v>17</v>
      </c>
      <c r="AE13" s="12">
        <v>2040</v>
      </c>
      <c r="AF13" s="11">
        <f t="shared" si="10"/>
        <v>4.6562733215525469</v>
      </c>
      <c r="AG13" s="22">
        <f t="shared" si="11"/>
        <v>14.371237956993289</v>
      </c>
      <c r="AH13" s="22">
        <f t="shared" si="12"/>
        <v>15.52271111906504</v>
      </c>
      <c r="AI13" s="22">
        <f t="shared" si="13"/>
        <v>8.7545960183731442</v>
      </c>
      <c r="AJ13" s="22">
        <f t="shared" si="14"/>
        <v>9.4560444523983733</v>
      </c>
      <c r="AK13" s="22">
        <f t="shared" si="15"/>
        <v>19.308945155780229</v>
      </c>
      <c r="AL13" s="22">
        <f t="shared" si="16"/>
        <v>20.856044452398372</v>
      </c>
      <c r="AM13" s="11">
        <f t="shared" si="17"/>
        <v>17.09604445239837</v>
      </c>
      <c r="AN13" s="20">
        <v>4</v>
      </c>
      <c r="AO13" s="20">
        <v>3</v>
      </c>
      <c r="AP13" s="20">
        <v>2</v>
      </c>
      <c r="AQ13" s="57">
        <f t="shared" si="18"/>
        <v>0.1158</v>
      </c>
      <c r="AR13" s="10">
        <v>281640</v>
      </c>
      <c r="AS13" s="292">
        <v>0</v>
      </c>
      <c r="AT13" s="291" t="s">
        <v>764</v>
      </c>
    </row>
    <row r="14" spans="1:46" x14ac:dyDescent="0.25">
      <c r="A14" s="244" t="s">
        <v>167</v>
      </c>
      <c r="B14" s="49" t="s">
        <v>160</v>
      </c>
      <c r="C14" s="196">
        <f t="shared" ca="1" si="0"/>
        <v>6.6875</v>
      </c>
      <c r="D14" s="95" t="s">
        <v>168</v>
      </c>
      <c r="E14" s="4">
        <v>29</v>
      </c>
      <c r="F14" s="5">
        <f ca="1">$D$2-$D$1-880-4-112-112-112-112-112-112-112-112-112-112-112</f>
        <v>35</v>
      </c>
      <c r="G14" s="6" t="s">
        <v>161</v>
      </c>
      <c r="H14" s="30">
        <v>6</v>
      </c>
      <c r="I14" s="8">
        <v>8.9</v>
      </c>
      <c r="J14" s="21">
        <f t="shared" si="1"/>
        <v>1.265853342193217</v>
      </c>
      <c r="K14" s="9">
        <f t="shared" si="2"/>
        <v>320.40000000000003</v>
      </c>
      <c r="L14" s="9">
        <f t="shared" si="3"/>
        <v>436.1</v>
      </c>
      <c r="M14" s="62">
        <v>43054</v>
      </c>
      <c r="N14" s="63">
        <f t="shared" ref="N14:N21" ca="1" si="19">IF((TODAY()-M14)&gt;335,1,((TODAY()-M14)^0.64)/(336^0.64))</f>
        <v>1</v>
      </c>
      <c r="O14" s="19">
        <v>7</v>
      </c>
      <c r="P14" s="20">
        <f t="shared" si="5"/>
        <v>89</v>
      </c>
      <c r="Q14" s="20">
        <v>5</v>
      </c>
      <c r="R14" s="57">
        <f t="shared" si="6"/>
        <v>0.84515425472851657</v>
      </c>
      <c r="S14" s="57">
        <f t="shared" si="7"/>
        <v>0.92504826128926143</v>
      </c>
      <c r="T14" s="10">
        <v>220730</v>
      </c>
      <c r="U14" s="10">
        <f t="shared" si="8"/>
        <v>13690</v>
      </c>
      <c r="V14" s="10">
        <v>22560</v>
      </c>
      <c r="W14" s="11">
        <f t="shared" si="9"/>
        <v>9.7841312056737593</v>
      </c>
      <c r="X14" s="265">
        <v>0</v>
      </c>
      <c r="Y14" s="21">
        <f>13+0/18</f>
        <v>13</v>
      </c>
      <c r="Z14" s="265">
        <f>6+2/5</f>
        <v>6.4</v>
      </c>
      <c r="AA14" s="21">
        <f>15+0/9</f>
        <v>15</v>
      </c>
      <c r="AB14" s="265">
        <v>9</v>
      </c>
      <c r="AC14" s="21">
        <v>8</v>
      </c>
      <c r="AD14" s="265">
        <f>16+0/3</f>
        <v>16</v>
      </c>
      <c r="AE14" s="12">
        <v>2074</v>
      </c>
      <c r="AF14" s="11">
        <f t="shared" ca="1" si="10"/>
        <v>3.9930960843525369</v>
      </c>
      <c r="AG14" s="22">
        <f t="shared" ca="1" si="11"/>
        <v>12.902000904216143</v>
      </c>
      <c r="AH14" s="22">
        <f t="shared" ca="1" si="12"/>
        <v>14.133433864382463</v>
      </c>
      <c r="AI14" s="22">
        <f t="shared" ca="1" si="13"/>
        <v>7.3239828230079338</v>
      </c>
      <c r="AJ14" s="22">
        <f t="shared" ca="1" si="14"/>
        <v>8.023021205883623</v>
      </c>
      <c r="AK14" s="22">
        <f t="shared" ca="1" si="15"/>
        <v>16.282617923130211</v>
      </c>
      <c r="AL14" s="22">
        <f t="shared" ca="1" si="16"/>
        <v>17.836714263472668</v>
      </c>
      <c r="AM14" s="11">
        <f t="shared" ca="1" si="17"/>
        <v>15.865853342193216</v>
      </c>
      <c r="AN14" s="20">
        <v>2</v>
      </c>
      <c r="AO14" s="20">
        <v>2</v>
      </c>
      <c r="AP14" s="20">
        <v>1</v>
      </c>
      <c r="AQ14" s="57">
        <f t="shared" si="18"/>
        <v>6.1499999999999999E-2</v>
      </c>
      <c r="AR14" s="10">
        <v>207040</v>
      </c>
      <c r="AS14" s="292">
        <v>245000</v>
      </c>
      <c r="AT14" s="291" t="s">
        <v>764</v>
      </c>
    </row>
    <row r="15" spans="1:46" x14ac:dyDescent="0.25">
      <c r="A15" s="244" t="s">
        <v>169</v>
      </c>
      <c r="B15" s="49" t="s">
        <v>170</v>
      </c>
      <c r="C15" s="196">
        <f t="shared" ca="1" si="0"/>
        <v>6.9196428571428568</v>
      </c>
      <c r="D15" s="95" t="s">
        <v>171</v>
      </c>
      <c r="E15" s="4">
        <v>29</v>
      </c>
      <c r="F15" s="5">
        <f ca="1">$D$2-$D$1-1470-112-112-112-112-112-112</f>
        <v>9</v>
      </c>
      <c r="G15" s="6" t="s">
        <v>164</v>
      </c>
      <c r="H15" s="7">
        <v>2</v>
      </c>
      <c r="I15" s="8">
        <v>6.7</v>
      </c>
      <c r="J15" s="21">
        <f t="shared" si="1"/>
        <v>1.1014330702677686</v>
      </c>
      <c r="K15" s="9">
        <f t="shared" si="2"/>
        <v>26.8</v>
      </c>
      <c r="L15" s="9">
        <f t="shared" si="3"/>
        <v>60.300000000000004</v>
      </c>
      <c r="M15" s="62">
        <v>43744</v>
      </c>
      <c r="N15" s="63">
        <f t="shared" ca="1" si="19"/>
        <v>1</v>
      </c>
      <c r="O15" s="19">
        <v>7.1</v>
      </c>
      <c r="P15" s="20">
        <f t="shared" si="5"/>
        <v>90</v>
      </c>
      <c r="Q15" s="20">
        <v>6</v>
      </c>
      <c r="R15" s="57">
        <f t="shared" si="6"/>
        <v>0.92582009977255142</v>
      </c>
      <c r="S15" s="57">
        <f t="shared" si="7"/>
        <v>0.99928545900129484</v>
      </c>
      <c r="T15" s="403">
        <v>121140</v>
      </c>
      <c r="U15" s="10">
        <f t="shared" si="8"/>
        <v>-12960</v>
      </c>
      <c r="V15" s="10">
        <v>21060</v>
      </c>
      <c r="W15" s="11">
        <f t="shared" si="9"/>
        <v>5.7521367521367521</v>
      </c>
      <c r="X15" s="265">
        <v>0</v>
      </c>
      <c r="Y15" s="21">
        <f>13+10/14</f>
        <v>13.714285714285714</v>
      </c>
      <c r="Z15" s="265">
        <f>9+5/7+1/7*(80/90)</f>
        <v>9.8412698412698401</v>
      </c>
      <c r="AA15" s="21">
        <f>5+3/5</f>
        <v>5.6</v>
      </c>
      <c r="AB15" s="265">
        <f>9+0/7</f>
        <v>9</v>
      </c>
      <c r="AC15" s="21">
        <v>4</v>
      </c>
      <c r="AD15" s="265">
        <f>21+1/5</f>
        <v>21.2</v>
      </c>
      <c r="AE15" s="12">
        <v>1788</v>
      </c>
      <c r="AF15" s="11">
        <f t="shared" ca="1" si="10"/>
        <v>4.3997962610696417</v>
      </c>
      <c r="AG15" s="22">
        <f t="shared" ca="1" si="11"/>
        <v>14.642510343089921</v>
      </c>
      <c r="AH15" s="22">
        <f t="shared" ca="1" si="12"/>
        <v>15.815718784553482</v>
      </c>
      <c r="AI15" s="22">
        <f t="shared" ca="1" si="13"/>
        <v>11.05679440111369</v>
      </c>
      <c r="AJ15" s="22">
        <f t="shared" ca="1" si="14"/>
        <v>11.942702911537609</v>
      </c>
      <c r="AK15" s="22">
        <f t="shared" ca="1" si="15"/>
        <v>22.498755189731288</v>
      </c>
      <c r="AL15" s="22">
        <f t="shared" ca="1" si="16"/>
        <v>24.30143307026777</v>
      </c>
      <c r="AM15" s="11">
        <f t="shared" ca="1" si="17"/>
        <v>18.14143307026777</v>
      </c>
      <c r="AN15" s="20">
        <v>0</v>
      </c>
      <c r="AO15" s="20">
        <v>3</v>
      </c>
      <c r="AP15" s="20">
        <v>2</v>
      </c>
      <c r="AQ15" s="57">
        <f t="shared" si="18"/>
        <v>0.1158</v>
      </c>
      <c r="AR15" s="403">
        <v>134100</v>
      </c>
      <c r="AS15" s="292">
        <v>4500000</v>
      </c>
      <c r="AT15" s="291" t="s">
        <v>764</v>
      </c>
    </row>
    <row r="16" spans="1:46" x14ac:dyDescent="0.25">
      <c r="A16" s="244" t="s">
        <v>172</v>
      </c>
      <c r="B16" s="49" t="s">
        <v>170</v>
      </c>
      <c r="C16" s="196">
        <f t="shared" ca="1" si="0"/>
        <v>3.6696428571428572</v>
      </c>
      <c r="D16" s="192" t="s">
        <v>765</v>
      </c>
      <c r="E16" s="4">
        <v>32</v>
      </c>
      <c r="F16" s="5">
        <f ca="1">$D$2-$D$1-1778-112-112-112</f>
        <v>37</v>
      </c>
      <c r="G16" s="6" t="s">
        <v>164</v>
      </c>
      <c r="H16" s="7">
        <v>1</v>
      </c>
      <c r="I16" s="8">
        <v>7.5</v>
      </c>
      <c r="J16" s="21">
        <f t="shared" si="1"/>
        <v>1.1667483511889334</v>
      </c>
      <c r="K16" s="9">
        <f t="shared" si="2"/>
        <v>7.5</v>
      </c>
      <c r="L16" s="9">
        <f t="shared" si="3"/>
        <v>30</v>
      </c>
      <c r="M16" s="62">
        <v>44094</v>
      </c>
      <c r="N16" s="63">
        <f t="shared" ca="1" si="19"/>
        <v>0.97892228102518331</v>
      </c>
      <c r="O16" s="19">
        <v>6.2</v>
      </c>
      <c r="P16" s="20">
        <f t="shared" si="5"/>
        <v>81</v>
      </c>
      <c r="Q16" s="20">
        <v>6</v>
      </c>
      <c r="R16" s="57">
        <f t="shared" si="6"/>
        <v>0.92582009977255142</v>
      </c>
      <c r="S16" s="57">
        <f t="shared" si="7"/>
        <v>0.99928545900129484</v>
      </c>
      <c r="T16" s="403">
        <v>83000</v>
      </c>
      <c r="U16" s="10">
        <f t="shared" si="8"/>
        <v>-1650</v>
      </c>
      <c r="V16" s="10">
        <v>19044</v>
      </c>
      <c r="W16" s="11">
        <f t="shared" si="9"/>
        <v>4.3583280823356434</v>
      </c>
      <c r="X16" s="265">
        <v>0</v>
      </c>
      <c r="Y16" s="21">
        <v>10</v>
      </c>
      <c r="Z16" s="265">
        <v>14</v>
      </c>
      <c r="AA16" s="21">
        <v>3</v>
      </c>
      <c r="AB16" s="265">
        <v>10</v>
      </c>
      <c r="AC16" s="21">
        <v>8</v>
      </c>
      <c r="AD16" s="265">
        <v>16</v>
      </c>
      <c r="AE16" s="12">
        <v>1863</v>
      </c>
      <c r="AF16" s="11">
        <f t="shared" ca="1" si="10"/>
        <v>4.2167647486953825</v>
      </c>
      <c r="AG16" s="22">
        <f t="shared" ca="1" si="11"/>
        <v>11.244705996521022</v>
      </c>
      <c r="AH16" s="22">
        <f t="shared" ca="1" si="12"/>
        <v>12.145670632214117</v>
      </c>
      <c r="AI16" s="22">
        <f t="shared" ca="1" si="13"/>
        <v>14.947986395611228</v>
      </c>
      <c r="AJ16" s="22">
        <f t="shared" ca="1" si="14"/>
        <v>16.145670632214117</v>
      </c>
      <c r="AK16" s="22">
        <f t="shared" ca="1" si="15"/>
        <v>17.72544669492888</v>
      </c>
      <c r="AL16" s="22">
        <f t="shared" ca="1" si="16"/>
        <v>19.145670632214117</v>
      </c>
      <c r="AM16" s="11">
        <f t="shared" ca="1" si="17"/>
        <v>15.745670632214116</v>
      </c>
      <c r="AN16" s="20">
        <v>2</v>
      </c>
      <c r="AO16" s="20">
        <v>2</v>
      </c>
      <c r="AP16" s="20">
        <v>2</v>
      </c>
      <c r="AQ16" s="57">
        <f t="shared" si="18"/>
        <v>6.1499999999999999E-2</v>
      </c>
      <c r="AR16" s="403">
        <v>84650</v>
      </c>
      <c r="AS16" s="292">
        <f>5280000+27204</f>
        <v>5307204</v>
      </c>
      <c r="AT16" s="291" t="s">
        <v>180</v>
      </c>
    </row>
    <row r="17" spans="1:46" x14ac:dyDescent="0.25">
      <c r="A17" s="244" t="s">
        <v>153</v>
      </c>
      <c r="B17" s="49" t="s">
        <v>170</v>
      </c>
      <c r="C17" s="196">
        <f ca="1">((36*112)-(E17*112)-(F17))/112</f>
        <v>1.7410714285714286</v>
      </c>
      <c r="D17" s="192" t="s">
        <v>771</v>
      </c>
      <c r="E17" s="4">
        <v>34</v>
      </c>
      <c r="F17" s="5">
        <f ca="1">$D$2-$D$1-1898-112-112</f>
        <v>29</v>
      </c>
      <c r="G17" s="6"/>
      <c r="H17" s="7">
        <v>3</v>
      </c>
      <c r="I17" s="8">
        <v>10.3</v>
      </c>
      <c r="J17" s="21">
        <f>LOG(I17)*4/3</f>
        <v>1.3504496329402296</v>
      </c>
      <c r="K17" s="9">
        <f>(H17)*(H17)*(I17)</f>
        <v>92.7</v>
      </c>
      <c r="L17" s="9">
        <f>(H17+1)*(H17+1)*I17</f>
        <v>164.8</v>
      </c>
      <c r="M17" s="62">
        <v>44251</v>
      </c>
      <c r="N17" s="63">
        <f ca="1">IF((TODAY()-M17)&gt;335,1,((TODAY()-M17)^0.64)/(336^0.64))</f>
        <v>0.64171294878145202</v>
      </c>
      <c r="O17" s="19">
        <v>5.5</v>
      </c>
      <c r="P17" s="20">
        <f>O17*10+19</f>
        <v>74</v>
      </c>
      <c r="Q17" s="20">
        <v>5</v>
      </c>
      <c r="R17" s="57">
        <f>(Q17/7)^0.5</f>
        <v>0.84515425472851657</v>
      </c>
      <c r="S17" s="57">
        <f>IF(Q17=7,1,((Q17+0.99)/7)^0.5)</f>
        <v>0.92504826128926143</v>
      </c>
      <c r="T17" s="10">
        <v>15260</v>
      </c>
      <c r="U17" s="10">
        <f t="shared" si="8"/>
        <v>-16310</v>
      </c>
      <c r="V17" s="10">
        <v>7840</v>
      </c>
      <c r="W17" s="11">
        <f>T17/V17</f>
        <v>1.9464285714285714</v>
      </c>
      <c r="X17" s="265">
        <v>0</v>
      </c>
      <c r="Y17" s="21">
        <v>5.95</v>
      </c>
      <c r="Z17" s="265">
        <v>13</v>
      </c>
      <c r="AA17" s="21">
        <v>7</v>
      </c>
      <c r="AB17" s="265">
        <v>12</v>
      </c>
      <c r="AC17" s="21">
        <v>4</v>
      </c>
      <c r="AD17" s="265">
        <v>16</v>
      </c>
      <c r="AE17" s="12">
        <v>1576</v>
      </c>
      <c r="AF17" s="11">
        <f t="shared" ca="1" si="10"/>
        <v>3.7954279969097682</v>
      </c>
      <c r="AG17" s="22">
        <f t="shared" ca="1" si="11"/>
        <v>6.7123524976876983</v>
      </c>
      <c r="AH17" s="22">
        <f t="shared" ca="1" si="12"/>
        <v>7.3530137538193916</v>
      </c>
      <c r="AI17" s="22">
        <f t="shared" ca="1" si="13"/>
        <v>12.670689993523741</v>
      </c>
      <c r="AJ17" s="22">
        <f t="shared" ca="1" si="14"/>
        <v>13.880045457215878</v>
      </c>
      <c r="AK17" s="22">
        <f t="shared" ca="1" si="15"/>
        <v>16.051307012437807</v>
      </c>
      <c r="AL17" s="22">
        <f t="shared" ca="1" si="16"/>
        <v>17.583325856306086</v>
      </c>
      <c r="AM17" s="11">
        <f t="shared" ca="1" si="17"/>
        <v>14.392162581721681</v>
      </c>
      <c r="AN17" s="20">
        <v>2</v>
      </c>
      <c r="AO17" s="20">
        <v>3</v>
      </c>
      <c r="AP17" s="20">
        <v>2</v>
      </c>
      <c r="AQ17" s="57">
        <f>IF(AO17=4,IF(AP17=0,0.137+0.0697,0.137+0.02),IF(AO17=3,IF(AP17=0,0.0958+0.0697,0.0958+0.02),IF(AO17=2,IF(AP17=0,0.0415+0.0697,0.0415+0.02),IF(AO17=1,IF(AP17=0,0.0294+0.0697,0.0294+0.02),IF(AO17=0,IF(AP17=0,0.0063+0.0697,0.0063+0.02))))))</f>
        <v>0.1158</v>
      </c>
      <c r="AR17" s="10">
        <v>31570</v>
      </c>
      <c r="AS17" s="292">
        <v>1475000</v>
      </c>
      <c r="AT17" s="291" t="s">
        <v>180</v>
      </c>
    </row>
    <row r="18" spans="1:46" x14ac:dyDescent="0.25">
      <c r="A18" s="487" t="s">
        <v>1561</v>
      </c>
      <c r="B18" s="488" t="s">
        <v>170</v>
      </c>
      <c r="C18" s="489">
        <f ca="1">((36*112)-(E18*112)-(F18))/112</f>
        <v>3.4464285714285716</v>
      </c>
      <c r="D18" s="506" t="s">
        <v>1555</v>
      </c>
      <c r="E18" s="490">
        <v>32</v>
      </c>
      <c r="F18" s="491">
        <f ca="1">$D$2-$D$1-2089</f>
        <v>62</v>
      </c>
      <c r="G18" s="492" t="s">
        <v>164</v>
      </c>
      <c r="H18" s="493">
        <v>2</v>
      </c>
      <c r="I18" s="494">
        <v>8.8000000000000007</v>
      </c>
      <c r="J18" s="495">
        <f>LOG(I18)*4/3</f>
        <v>1.2593102295335583</v>
      </c>
      <c r="K18" s="496">
        <f>(H18)*(H18)*(I18)</f>
        <v>35.200000000000003</v>
      </c>
      <c r="L18" s="496">
        <f>(H18+1)*(H18+1)*I18</f>
        <v>79.2</v>
      </c>
      <c r="M18" s="497">
        <v>44419</v>
      </c>
      <c r="N18" s="498">
        <f ca="1">IF((TODAY()-M18)&gt;335,1,((TODAY()-M18)^0.64)/(336^0.64))</f>
        <v>0</v>
      </c>
      <c r="O18" s="499">
        <v>5.3</v>
      </c>
      <c r="P18" s="500">
        <f>O18*10+19</f>
        <v>72</v>
      </c>
      <c r="Q18" s="500">
        <v>4</v>
      </c>
      <c r="R18" s="501">
        <f>(Q18/7)^0.5</f>
        <v>0.7559289460184544</v>
      </c>
      <c r="S18" s="501">
        <f>IF(Q18=7,1,((Q18+0.99)/7)^0.5)</f>
        <v>0.84430867747355465</v>
      </c>
      <c r="T18" s="502">
        <v>91890</v>
      </c>
      <c r="U18" s="502">
        <f t="shared" si="8"/>
        <v>0</v>
      </c>
      <c r="V18" s="502">
        <v>21432</v>
      </c>
      <c r="W18" s="503">
        <f>T18/V18</f>
        <v>4.2875139977603585</v>
      </c>
      <c r="X18" s="504">
        <v>0</v>
      </c>
      <c r="Y18" s="495">
        <v>2</v>
      </c>
      <c r="Z18" s="504">
        <v>14</v>
      </c>
      <c r="AA18" s="495">
        <v>10</v>
      </c>
      <c r="AB18" s="504">
        <v>13</v>
      </c>
      <c r="AC18" s="495">
        <v>9</v>
      </c>
      <c r="AD18" s="504">
        <v>11</v>
      </c>
      <c r="AE18" s="505">
        <v>1876</v>
      </c>
      <c r="AF18" s="503">
        <f t="shared" ca="1" si="10"/>
        <v>3.0027322065101756</v>
      </c>
      <c r="AG18" s="22">
        <f t="shared" ref="AG18" ca="1" si="20">(Y18+J18+N18)*(Q18/7)^0.5</f>
        <v>2.4638069465584698</v>
      </c>
      <c r="AH18" s="22">
        <f t="shared" ref="AH18" ca="1" si="21">(Y18+J18+N18)*(IF(Q18=7,(Q18/7)^0.5,((Q18+1)/7)^0.5))</f>
        <v>2.754619907970465</v>
      </c>
      <c r="AI18" s="22">
        <f t="shared" ref="AI18" ca="1" si="22">(Z18+N18+(LOG(I18)*4/3))*(Q18/7)^0.5</f>
        <v>11.534954298779923</v>
      </c>
      <c r="AJ18" s="22">
        <f t="shared" ref="AJ18" ca="1" si="23">(Z18+N18+(LOG(I18)*4/3))*(IF(Q18=7,(Q18/7)^0.5,((Q18+1)/7)^0.5))</f>
        <v>12.896470964712663</v>
      </c>
      <c r="AK18" s="22">
        <f t="shared" ref="AK18" ca="1" si="24">(AD18+1+(LOG(I18)*4/3)+N18)*(Q18/7)^0.5</f>
        <v>10.023096406743013</v>
      </c>
      <c r="AL18" s="22">
        <f t="shared" ref="AL18" ca="1" si="25">(AD18+1+N18+(LOG(I18)*4/3))*(IF(Q18=7,(Q18/7)^0.5,((Q18+1)/7)^0.5))</f>
        <v>11.20616245525563</v>
      </c>
      <c r="AM18" s="11">
        <f t="shared" ref="AM18" ca="1" si="26">(AD18+LOG(I18)*4/3+N18)*0.7+(AC18+LOG(I18)*4/3+N18)*0.3</f>
        <v>11.659310229533558</v>
      </c>
      <c r="AN18" s="500">
        <v>2</v>
      </c>
      <c r="AO18" s="500">
        <v>2</v>
      </c>
      <c r="AP18" s="500">
        <v>2</v>
      </c>
      <c r="AQ18" s="501">
        <f>IF(AO18=4,IF(AP18=0,0.137+0.0697,0.137+0.02),IF(AO18=3,IF(AP18=0,0.0958+0.0697,0.0958+0.02),IF(AO18=2,IF(AP18=0,0.0415+0.0697,0.0415+0.02),IF(AO18=1,IF(AP18=0,0.0294+0.0697,0.0294+0.02),IF(AO18=0,IF(AP18=0,0.0063+0.0697,0.0063+0.02))))))</f>
        <v>6.1499999999999999E-2</v>
      </c>
      <c r="AR18" s="502">
        <v>91890</v>
      </c>
      <c r="AS18" s="292">
        <v>2890000</v>
      </c>
      <c r="AT18" s="291" t="s">
        <v>180</v>
      </c>
    </row>
    <row r="19" spans="1:46" x14ac:dyDescent="0.25">
      <c r="A19" s="244" t="s">
        <v>320</v>
      </c>
      <c r="B19" s="49" t="s">
        <v>175</v>
      </c>
      <c r="C19" s="196">
        <f t="shared" ca="1" si="0"/>
        <v>6.4017857142857144</v>
      </c>
      <c r="D19" s="313" t="s">
        <v>770</v>
      </c>
      <c r="E19" s="4">
        <v>29</v>
      </c>
      <c r="F19" s="5">
        <f ca="1">$D$2-$D$1-1972-112</f>
        <v>67</v>
      </c>
      <c r="G19" s="6"/>
      <c r="H19" s="7">
        <v>1</v>
      </c>
      <c r="I19" s="8">
        <v>7.2</v>
      </c>
      <c r="J19" s="21">
        <f t="shared" si="1"/>
        <v>1.1431099952416914</v>
      </c>
      <c r="K19" s="9">
        <f t="shared" si="2"/>
        <v>7.2</v>
      </c>
      <c r="L19" s="9">
        <f t="shared" si="3"/>
        <v>28.8</v>
      </c>
      <c r="M19" s="62">
        <v>44262</v>
      </c>
      <c r="N19" s="63">
        <f t="shared" ca="1" si="19"/>
        <v>0.61449540541451142</v>
      </c>
      <c r="O19" s="19">
        <v>6.5</v>
      </c>
      <c r="P19" s="20">
        <f t="shared" si="5"/>
        <v>84</v>
      </c>
      <c r="Q19" s="20">
        <v>5</v>
      </c>
      <c r="R19" s="57">
        <f t="shared" si="6"/>
        <v>0.84515425472851657</v>
      </c>
      <c r="S19" s="57">
        <f t="shared" si="7"/>
        <v>0.92504826128926143</v>
      </c>
      <c r="T19" s="10">
        <v>204810</v>
      </c>
      <c r="U19" s="10">
        <f t="shared" si="8"/>
        <v>3750</v>
      </c>
      <c r="V19" s="10">
        <v>24280</v>
      </c>
      <c r="W19" s="11">
        <f t="shared" si="9"/>
        <v>8.4353377265238887</v>
      </c>
      <c r="X19" s="265">
        <v>0</v>
      </c>
      <c r="Y19" s="21">
        <v>4</v>
      </c>
      <c r="Z19" s="265">
        <f>3+0/4</f>
        <v>3</v>
      </c>
      <c r="AA19" s="21">
        <f>9+1/8</f>
        <v>9.125</v>
      </c>
      <c r="AB19" s="265">
        <v>14</v>
      </c>
      <c r="AC19" s="21">
        <v>13.95</v>
      </c>
      <c r="AD19" s="265">
        <v>3</v>
      </c>
      <c r="AE19" s="12">
        <v>1602</v>
      </c>
      <c r="AF19" s="11">
        <f t="shared" ca="1" si="10"/>
        <v>3.9376598998509698</v>
      </c>
      <c r="AG19" s="22">
        <f t="shared" ca="1" si="11"/>
        <v>4.8660647014124754</v>
      </c>
      <c r="AH19" s="22">
        <f t="shared" ca="1" si="12"/>
        <v>5.3305068064865067</v>
      </c>
      <c r="AI19" s="22">
        <f t="shared" ca="1" si="13"/>
        <v>4.0209104466839589</v>
      </c>
      <c r="AJ19" s="22">
        <f t="shared" ca="1" si="14"/>
        <v>4.4046867067139557</v>
      </c>
      <c r="AK19" s="22">
        <f t="shared" ca="1" si="15"/>
        <v>4.8660647014124754</v>
      </c>
      <c r="AL19" s="22">
        <f t="shared" ca="1" si="16"/>
        <v>5.3305068064865067</v>
      </c>
      <c r="AM19" s="11">
        <f t="shared" ca="1" si="17"/>
        <v>8.0426054006562016</v>
      </c>
      <c r="AN19" s="20">
        <v>1</v>
      </c>
      <c r="AO19" s="20">
        <v>2</v>
      </c>
      <c r="AP19" s="20">
        <v>2</v>
      </c>
      <c r="AQ19" s="57">
        <f t="shared" si="18"/>
        <v>6.1499999999999999E-2</v>
      </c>
      <c r="AR19" s="10">
        <v>201060</v>
      </c>
      <c r="AS19" s="292">
        <v>7500000</v>
      </c>
      <c r="AT19" s="291" t="s">
        <v>180</v>
      </c>
    </row>
    <row r="20" spans="1:46" x14ac:dyDescent="0.25">
      <c r="A20" s="244" t="s">
        <v>174</v>
      </c>
      <c r="B20" s="49" t="s">
        <v>175</v>
      </c>
      <c r="C20" s="196">
        <f t="shared" ca="1" si="0"/>
        <v>4.3392857142857144</v>
      </c>
      <c r="D20" s="192" t="s">
        <v>737</v>
      </c>
      <c r="E20" s="4">
        <v>31</v>
      </c>
      <c r="F20" s="5">
        <f ca="1">$D$2-$D$1-1741-112-112-112</f>
        <v>74</v>
      </c>
      <c r="G20" s="6" t="s">
        <v>164</v>
      </c>
      <c r="H20" s="7">
        <v>2</v>
      </c>
      <c r="I20" s="8">
        <v>15</v>
      </c>
      <c r="J20" s="21">
        <f t="shared" si="1"/>
        <v>1.5681216787409085</v>
      </c>
      <c r="K20" s="9">
        <f t="shared" si="2"/>
        <v>60</v>
      </c>
      <c r="L20" s="9">
        <f t="shared" si="3"/>
        <v>135</v>
      </c>
      <c r="M20" s="62">
        <v>44069</v>
      </c>
      <c r="N20" s="63">
        <f t="shared" ca="1" si="19"/>
        <v>1</v>
      </c>
      <c r="O20" s="19">
        <v>6.5</v>
      </c>
      <c r="P20" s="20">
        <f t="shared" si="5"/>
        <v>84</v>
      </c>
      <c r="Q20" s="20">
        <v>5</v>
      </c>
      <c r="R20" s="57">
        <f t="shared" si="6"/>
        <v>0.84515425472851657</v>
      </c>
      <c r="S20" s="57">
        <f t="shared" si="7"/>
        <v>0.92504826128926143</v>
      </c>
      <c r="T20" s="10">
        <v>110280</v>
      </c>
      <c r="U20" s="10">
        <f t="shared" si="8"/>
        <v>3270</v>
      </c>
      <c r="V20" s="10">
        <v>14580</v>
      </c>
      <c r="W20" s="11">
        <f t="shared" si="9"/>
        <v>7.5637860082304531</v>
      </c>
      <c r="X20" s="265">
        <v>0</v>
      </c>
      <c r="Y20" s="21">
        <v>2</v>
      </c>
      <c r="Z20" s="265">
        <v>9</v>
      </c>
      <c r="AA20" s="21">
        <v>14</v>
      </c>
      <c r="AB20" s="265">
        <v>11</v>
      </c>
      <c r="AC20" s="21">
        <v>11</v>
      </c>
      <c r="AD20" s="265">
        <f>11+0/2</f>
        <v>11</v>
      </c>
      <c r="AE20" s="12">
        <v>1689</v>
      </c>
      <c r="AF20" s="11">
        <f t="shared" ca="1" si="10"/>
        <v>3.349384875478707</v>
      </c>
      <c r="AG20" s="22">
        <f t="shared" ca="1" si="11"/>
        <v>3.8607674729054526</v>
      </c>
      <c r="AH20" s="22">
        <f t="shared" ca="1" si="12"/>
        <v>4.2292588683850632</v>
      </c>
      <c r="AI20" s="22">
        <f t="shared" ca="1" si="13"/>
        <v>9.7768472560050679</v>
      </c>
      <c r="AJ20" s="22">
        <f t="shared" ca="1" si="14"/>
        <v>10.709999566792924</v>
      </c>
      <c r="AK20" s="22">
        <f t="shared" ca="1" si="15"/>
        <v>12.312310020190619</v>
      </c>
      <c r="AL20" s="22">
        <f t="shared" ca="1" si="16"/>
        <v>13.487459866110576</v>
      </c>
      <c r="AM20" s="11">
        <f t="shared" ca="1" si="17"/>
        <v>13.568121678740908</v>
      </c>
      <c r="AN20" s="20">
        <v>1</v>
      </c>
      <c r="AO20" s="20">
        <v>1</v>
      </c>
      <c r="AP20" s="20">
        <v>1</v>
      </c>
      <c r="AQ20" s="57">
        <f t="shared" si="18"/>
        <v>4.9399999999999999E-2</v>
      </c>
      <c r="AR20" s="10">
        <v>107010</v>
      </c>
      <c r="AS20" s="292">
        <v>6324000</v>
      </c>
      <c r="AT20" s="291" t="s">
        <v>180</v>
      </c>
    </row>
    <row r="21" spans="1:46" x14ac:dyDescent="0.25">
      <c r="A21" s="244" t="s">
        <v>178</v>
      </c>
      <c r="B21" s="49" t="s">
        <v>175</v>
      </c>
      <c r="C21" s="196">
        <f t="shared" ca="1" si="0"/>
        <v>6.4821428571428568</v>
      </c>
      <c r="D21" s="313" t="s">
        <v>682</v>
      </c>
      <c r="E21" s="4">
        <v>29</v>
      </c>
      <c r="F21" s="5">
        <f ca="1">$D$2-$D$1-1600-45-112-112-112-112</f>
        <v>58</v>
      </c>
      <c r="G21" s="6" t="s">
        <v>164</v>
      </c>
      <c r="H21" s="7">
        <v>1</v>
      </c>
      <c r="I21" s="8">
        <v>7.7</v>
      </c>
      <c r="J21" s="21">
        <f t="shared" si="1"/>
        <v>1.181987633563309</v>
      </c>
      <c r="K21" s="9">
        <f t="shared" si="2"/>
        <v>7.7</v>
      </c>
      <c r="L21" s="9">
        <f t="shared" si="3"/>
        <v>30.8</v>
      </c>
      <c r="M21" s="62">
        <v>43590</v>
      </c>
      <c r="N21" s="63">
        <f t="shared" ca="1" si="19"/>
        <v>1</v>
      </c>
      <c r="O21" s="19">
        <v>7.1</v>
      </c>
      <c r="P21" s="20">
        <f t="shared" si="5"/>
        <v>90</v>
      </c>
      <c r="Q21" s="20">
        <v>7</v>
      </c>
      <c r="R21" s="57">
        <f t="shared" si="6"/>
        <v>1</v>
      </c>
      <c r="S21" s="57">
        <f t="shared" si="7"/>
        <v>1</v>
      </c>
      <c r="T21" s="10">
        <v>270480</v>
      </c>
      <c r="U21" s="10">
        <f t="shared" si="8"/>
        <v>8210</v>
      </c>
      <c r="V21" s="10">
        <v>28392</v>
      </c>
      <c r="W21" s="11">
        <f t="shared" si="9"/>
        <v>9.5266272189349106</v>
      </c>
      <c r="X21" s="265">
        <v>0</v>
      </c>
      <c r="Y21" s="21">
        <v>4</v>
      </c>
      <c r="Z21" s="265">
        <f>8+1/6*(29/90)+0.5/6*(61/90)+1/6</f>
        <v>8.2768518518518519</v>
      </c>
      <c r="AA21" s="21">
        <f>11+4/6</f>
        <v>11.666666666666666</v>
      </c>
      <c r="AB21" s="265">
        <f>12+4/9</f>
        <v>12.444444444444445</v>
      </c>
      <c r="AC21" s="21">
        <v>14</v>
      </c>
      <c r="AD21" s="265">
        <f>13+1/3</f>
        <v>13.333333333333334</v>
      </c>
      <c r="AE21" s="12">
        <v>1910</v>
      </c>
      <c r="AF21" s="11">
        <f t="shared" ca="1" si="10"/>
        <v>4.4293564736973519</v>
      </c>
      <c r="AG21" s="22">
        <f t="shared" ca="1" si="11"/>
        <v>6.1819876335633088</v>
      </c>
      <c r="AH21" s="22">
        <f t="shared" ca="1" si="12"/>
        <v>6.1819876335633088</v>
      </c>
      <c r="AI21" s="22">
        <f t="shared" ca="1" si="13"/>
        <v>10.458839485415162</v>
      </c>
      <c r="AJ21" s="22">
        <f t="shared" ca="1" si="14"/>
        <v>10.458839485415162</v>
      </c>
      <c r="AK21" s="22">
        <f t="shared" ca="1" si="15"/>
        <v>16.515320966896645</v>
      </c>
      <c r="AL21" s="22">
        <f t="shared" ca="1" si="16"/>
        <v>16.515320966896642</v>
      </c>
      <c r="AM21" s="11">
        <f t="shared" ca="1" si="17"/>
        <v>15.715320966896641</v>
      </c>
      <c r="AN21" s="20">
        <v>1</v>
      </c>
      <c r="AO21" s="20">
        <v>0</v>
      </c>
      <c r="AP21" s="20">
        <v>1</v>
      </c>
      <c r="AQ21" s="57">
        <f t="shared" si="18"/>
        <v>2.63E-2</v>
      </c>
      <c r="AR21" s="10">
        <v>262270</v>
      </c>
      <c r="AS21" s="292">
        <v>12306000</v>
      </c>
      <c r="AT21" s="291" t="s">
        <v>764</v>
      </c>
    </row>
    <row r="22" spans="1:46" x14ac:dyDescent="0.25">
      <c r="V22" s="44"/>
    </row>
    <row r="24" spans="1:46" x14ac:dyDescent="0.25">
      <c r="D24" s="23"/>
      <c r="T24" s="44"/>
      <c r="V24" s="44"/>
    </row>
    <row r="25" spans="1:46" x14ac:dyDescent="0.25">
      <c r="D25" s="23"/>
    </row>
    <row r="26" spans="1:46" x14ac:dyDescent="0.25">
      <c r="D26" s="61"/>
      <c r="AS26" s="296"/>
    </row>
    <row r="27" spans="1:46" x14ac:dyDescent="0.25">
      <c r="D27" s="1"/>
    </row>
    <row r="28" spans="1:46" x14ac:dyDescent="0.25">
      <c r="M28" s="23"/>
      <c r="T28" s="44"/>
      <c r="V28" s="44"/>
    </row>
    <row r="29" spans="1:46" x14ac:dyDescent="0.25">
      <c r="M29" s="23"/>
    </row>
  </sheetData>
  <conditionalFormatting sqref="X4:AD21">
    <cfRule type="colorScale" priority="18">
      <colorScale>
        <cfvo type="min"/>
        <cfvo type="max"/>
        <color rgb="FFFCFCFF"/>
        <color rgb="FFF8696B"/>
      </colorScale>
    </cfRule>
  </conditionalFormatting>
  <conditionalFormatting sqref="X4:AD21">
    <cfRule type="cellIs" dxfId="52" priority="19" operator="greaterThan">
      <formula>10</formula>
    </cfRule>
  </conditionalFormatting>
  <conditionalFormatting sqref="W17:W18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{455B1121-88DB-485C-CE90-B055FA47AC26}</x14:id>
        </ext>
      </extLst>
    </cfRule>
  </conditionalFormatting>
  <conditionalFormatting sqref="U2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{20E65445-B502-CC35-5785-1B5F6E38F240}</x14:id>
        </ext>
      </extLst>
    </cfRule>
  </conditionalFormatting>
  <conditionalFormatting sqref="W4:W16 W19:W21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{54A1CDFE-05EA-C8A0-DE6E-3F4D0171AC31}</x14:id>
        </ext>
      </extLst>
    </cfRule>
  </conditionalFormatting>
  <conditionalFormatting sqref="C4:C21">
    <cfRule type="colorScale" priority="23">
      <colorScale>
        <cfvo type="min"/>
        <cfvo type="max"/>
        <color rgb="FFFFEF9C"/>
        <color rgb="FF63BE7B"/>
      </colorScale>
    </cfRule>
  </conditionalFormatting>
  <conditionalFormatting sqref="T4:T21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{34CE30BA-CC8B-9E63-00D4-DB0741866E36}</x14:id>
        </ext>
      </extLst>
    </cfRule>
  </conditionalFormatting>
  <conditionalFormatting sqref="V4:V2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{5366CBA3-B950-E749-380E-A928C555A138}</x14:id>
        </ext>
      </extLst>
    </cfRule>
  </conditionalFormatting>
  <conditionalFormatting sqref="AK4:AL2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F2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2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21">
    <cfRule type="colorScale" priority="29">
      <colorScale>
        <cfvo type="min"/>
        <cfvo type="max"/>
        <color rgb="FFFFEF9C"/>
        <color rgb="FF63BE7B"/>
      </colorScale>
    </cfRule>
  </conditionalFormatting>
  <conditionalFormatting sqref="I4:I2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1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{567ED915-6BB1-30DF-6F8C-2416738B610B}</x14:id>
        </ext>
      </extLst>
    </cfRule>
  </conditionalFormatting>
  <conditionalFormatting sqref="P4:P2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J2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H2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4:AQ21">
    <cfRule type="colorScale" priority="38">
      <colorScale>
        <cfvo type="min"/>
        <cfvo type="max"/>
        <color rgb="FFFCFCFF"/>
        <color rgb="FFF8696B"/>
      </colorScale>
    </cfRule>
  </conditionalFormatting>
  <conditionalFormatting sqref="R4:S2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:AS21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{4DAFD0AF-A744-43BB-A8A0-097B76CD3F56}</x14:id>
        </ext>
      </extLst>
    </cfRule>
  </conditionalFormatting>
  <conditionalFormatting sqref="AE4:AE21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{7676AE00-9D90-144E-5CF6-F5615F2E3031}</x14:id>
        </ext>
      </extLst>
    </cfRule>
  </conditionalFormatting>
  <conditionalFormatting sqref="K4:L21">
    <cfRule type="colorScale" priority="10">
      <colorScale>
        <cfvo type="min"/>
        <cfvo type="max"/>
        <color rgb="FFFCFCFF"/>
        <color rgb="FFF8696B"/>
      </colorScale>
    </cfRule>
  </conditionalFormatting>
  <conditionalFormatting sqref="AR4:AR2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{11FBBA9D-2F38-42FC-88BB-7601D8BF13B7}</x14:id>
        </ext>
      </extLst>
    </cfRule>
  </conditionalFormatting>
  <pageMargins left="0.7" right="0.7" top="0.75" bottom="0.75" header="0.3" footer="0.3"/>
  <pageSetup paperSize="9" fitToWidth="0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5B1121-88DB-485C-CE90-B055FA47AC2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W17:W18</xm:sqref>
        </x14:conditionalFormatting>
        <x14:conditionalFormatting xmlns:xm="http://schemas.microsoft.com/office/excel/2006/main">
          <x14:cfRule type="dataBar" id="{20E65445-B502-CC35-5785-1B5F6E38F2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U2</xm:sqref>
        </x14:conditionalFormatting>
        <x14:conditionalFormatting xmlns:xm="http://schemas.microsoft.com/office/excel/2006/main">
          <x14:cfRule type="dataBar" id="{54A1CDFE-05EA-C8A0-DE6E-3F4D0171AC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W4:W16 W19:W21</xm:sqref>
        </x14:conditionalFormatting>
        <x14:conditionalFormatting xmlns:xm="http://schemas.microsoft.com/office/excel/2006/main">
          <x14:cfRule type="dataBar" id="{34CE30BA-CC8B-9E63-00D4-DB0741866E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T4:T21</xm:sqref>
        </x14:conditionalFormatting>
        <x14:conditionalFormatting xmlns:xm="http://schemas.microsoft.com/office/excel/2006/main">
          <x14:cfRule type="dataBar" id="{5366CBA3-B950-E749-380E-A928C555A1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V4:V21</xm:sqref>
        </x14:conditionalFormatting>
        <x14:conditionalFormatting xmlns:xm="http://schemas.microsoft.com/office/excel/2006/main">
          <x14:cfRule type="dataBar" id="{567ED915-6BB1-30DF-6F8C-2416738B61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4DAFD0AF-A744-43BB-A8A0-097B76CD3F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AS4:AS21</xm:sqref>
        </x14:conditionalFormatting>
        <x14:conditionalFormatting xmlns:xm="http://schemas.microsoft.com/office/excel/2006/main">
          <x14:cfRule type="dataBar" id="{7676AE00-9D90-144E-5CF6-F5615F2E30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AE4:AE21</xm:sqref>
        </x14:conditionalFormatting>
        <x14:conditionalFormatting xmlns:xm="http://schemas.microsoft.com/office/excel/2006/main">
          <x14:cfRule type="dataBar" id="{11FBBA9D-2F38-42FC-88BB-7601D8BF13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AR4:AR21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K120"/>
  <sheetViews>
    <sheetView zoomScale="110" zoomScaleNormal="110" workbookViewId="0">
      <selection activeCell="J8" sqref="J8"/>
    </sheetView>
  </sheetViews>
  <sheetFormatPr baseColWidth="10" defaultColWidth="10.7109375" defaultRowHeight="15" x14ac:dyDescent="0.25"/>
  <cols>
    <col min="1" max="1" width="24.7109375" customWidth="1"/>
    <col min="2" max="2" width="6.140625" customWidth="1"/>
    <col min="3" max="3" width="5.42578125" customWidth="1"/>
    <col min="4" max="4" width="5.5703125" customWidth="1"/>
    <col min="5" max="5" width="8" bestFit="1" customWidth="1"/>
    <col min="6" max="6" width="11.85546875" customWidth="1"/>
    <col min="7" max="8" width="6.140625" customWidth="1"/>
    <col min="9" max="9" width="6.7109375" customWidth="1"/>
    <col min="10" max="10" width="5" customWidth="1"/>
    <col min="11" max="11" width="5.28515625" customWidth="1"/>
    <col min="12" max="12" width="5.5703125" customWidth="1"/>
    <col min="13" max="13" width="5.42578125" customWidth="1"/>
    <col min="14" max="14" width="5.5703125" customWidth="1"/>
    <col min="15" max="15" width="5" customWidth="1"/>
    <col min="16" max="16" width="5.5703125" customWidth="1"/>
    <col min="17" max="17" width="5.140625" customWidth="1"/>
    <col min="18" max="20" width="5.5703125" customWidth="1"/>
    <col min="21" max="21" width="5.140625" bestFit="1" customWidth="1"/>
    <col min="22" max="22" width="5" customWidth="1"/>
    <col min="23" max="23" width="5.42578125" customWidth="1"/>
    <col min="24" max="24" width="5.5703125" customWidth="1"/>
    <col min="25" max="25" width="5" customWidth="1"/>
    <col min="26" max="26" width="4" customWidth="1"/>
    <col min="27" max="32" width="5.140625" customWidth="1"/>
    <col min="33" max="33" width="18.42578125" customWidth="1"/>
  </cols>
  <sheetData>
    <row r="1" spans="1:35" x14ac:dyDescent="0.25">
      <c r="A1" s="114" t="s">
        <v>179</v>
      </c>
      <c r="B1" s="114"/>
      <c r="C1" s="114"/>
      <c r="D1" s="115"/>
      <c r="E1" s="114"/>
      <c r="F1" s="115"/>
      <c r="G1" s="116"/>
      <c r="H1" s="115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5"/>
      <c r="X1" s="115"/>
      <c r="Y1" s="115"/>
      <c r="Z1" s="115"/>
      <c r="AA1" s="117"/>
      <c r="AB1" s="117"/>
      <c r="AC1" s="117"/>
      <c r="AD1" s="117"/>
      <c r="AE1" s="117"/>
      <c r="AF1" s="117"/>
      <c r="AG1" s="116"/>
    </row>
    <row r="2" spans="1:35" x14ac:dyDescent="0.25">
      <c r="A2" s="118" t="s">
        <v>180</v>
      </c>
      <c r="B2" s="118" t="s">
        <v>181</v>
      </c>
      <c r="C2" s="118" t="s">
        <v>111</v>
      </c>
      <c r="D2" s="119" t="s">
        <v>182</v>
      </c>
      <c r="E2" s="118" t="s">
        <v>183</v>
      </c>
      <c r="F2" s="119" t="s">
        <v>184</v>
      </c>
      <c r="G2" s="120" t="s">
        <v>848</v>
      </c>
      <c r="H2" s="119" t="s">
        <v>113</v>
      </c>
      <c r="I2" s="406" t="s">
        <v>151</v>
      </c>
      <c r="J2" s="406" t="s">
        <v>185</v>
      </c>
      <c r="K2" s="407" t="s">
        <v>186</v>
      </c>
      <c r="L2" s="407" t="s">
        <v>185</v>
      </c>
      <c r="M2" s="406" t="s">
        <v>187</v>
      </c>
      <c r="N2" s="406" t="s">
        <v>185</v>
      </c>
      <c r="O2" s="407" t="s">
        <v>188</v>
      </c>
      <c r="P2" s="407" t="s">
        <v>185</v>
      </c>
      <c r="Q2" s="406" t="s">
        <v>189</v>
      </c>
      <c r="R2" s="406" t="s">
        <v>185</v>
      </c>
      <c r="S2" s="407" t="s">
        <v>190</v>
      </c>
      <c r="T2" s="407" t="s">
        <v>185</v>
      </c>
      <c r="U2" s="406" t="s">
        <v>191</v>
      </c>
      <c r="V2" s="406" t="s">
        <v>185</v>
      </c>
      <c r="W2" s="121" t="s">
        <v>192</v>
      </c>
      <c r="X2" s="121" t="s">
        <v>193</v>
      </c>
      <c r="Y2" s="119" t="s">
        <v>194</v>
      </c>
      <c r="Z2" s="119" t="s">
        <v>191</v>
      </c>
      <c r="AA2" s="122" t="s">
        <v>151</v>
      </c>
      <c r="AB2" s="122" t="s">
        <v>186</v>
      </c>
      <c r="AC2" s="122" t="s">
        <v>195</v>
      </c>
      <c r="AD2" s="122" t="s">
        <v>315</v>
      </c>
      <c r="AE2" s="122" t="s">
        <v>318</v>
      </c>
      <c r="AF2" s="122" t="s">
        <v>175</v>
      </c>
      <c r="AG2" s="120" t="s">
        <v>196</v>
      </c>
    </row>
    <row r="3" spans="1:35" x14ac:dyDescent="0.25">
      <c r="A3" s="148" t="s">
        <v>860</v>
      </c>
      <c r="B3" s="123">
        <v>16</v>
      </c>
      <c r="C3" s="124">
        <f ca="1">+A33-3257</f>
        <v>164</v>
      </c>
      <c r="D3" s="125" t="s">
        <v>193</v>
      </c>
      <c r="E3" s="126">
        <f ca="1">F3-TODAY()</f>
        <v>-52</v>
      </c>
      <c r="F3" s="414">
        <v>44367</v>
      </c>
      <c r="G3" s="419" t="s">
        <v>854</v>
      </c>
      <c r="H3" s="128" t="s">
        <v>849</v>
      </c>
      <c r="I3" s="420"/>
      <c r="J3" s="415">
        <v>0.99</v>
      </c>
      <c r="K3" s="420">
        <v>2</v>
      </c>
      <c r="L3" s="415">
        <v>2.99</v>
      </c>
      <c r="M3" s="421">
        <v>5</v>
      </c>
      <c r="N3" s="416">
        <v>5.99</v>
      </c>
      <c r="O3" s="421">
        <v>3</v>
      </c>
      <c r="P3" s="416">
        <v>3.99</v>
      </c>
      <c r="Q3" s="421">
        <v>3</v>
      </c>
      <c r="R3" s="416">
        <v>3.99</v>
      </c>
      <c r="S3" s="421"/>
      <c r="T3" s="416"/>
      <c r="U3" s="420">
        <v>3</v>
      </c>
      <c r="V3" s="422">
        <v>3.99</v>
      </c>
      <c r="W3" s="129">
        <f>7-(COUNTBLANK(I3)+COUNTBLANK(K3)+COUNTBLANK(M3)+COUNTBLANK(O3)+COUNTBLANK(Q3)+COUNTBLANK(S3)+COUNTBLANK(U3))</f>
        <v>5</v>
      </c>
      <c r="X3" s="128">
        <f>COUNT(V3,R3,T3,P3,N3,L3,J3)</f>
        <v>6</v>
      </c>
      <c r="Y3" s="128"/>
      <c r="Z3" s="128"/>
      <c r="AA3" s="130"/>
      <c r="AB3" s="130">
        <v>3</v>
      </c>
      <c r="AC3" s="130"/>
      <c r="AD3" s="130">
        <v>5.5</v>
      </c>
      <c r="AE3" s="130">
        <v>5</v>
      </c>
      <c r="AF3" s="130">
        <v>4.5</v>
      </c>
      <c r="AG3" s="130"/>
    </row>
    <row r="4" spans="1:35" x14ac:dyDescent="0.25">
      <c r="A4" s="148" t="s">
        <v>850</v>
      </c>
      <c r="B4" s="123">
        <v>16</v>
      </c>
      <c r="C4" s="124">
        <f ca="1">+A33-3265</f>
        <v>156</v>
      </c>
      <c r="D4" s="125"/>
      <c r="E4" s="126">
        <f ca="1">F4-TODAY()</f>
        <v>-44</v>
      </c>
      <c r="F4" s="414">
        <v>44375</v>
      </c>
      <c r="G4" s="425" t="s">
        <v>849</v>
      </c>
      <c r="H4" s="128" t="s">
        <v>849</v>
      </c>
      <c r="I4" s="420">
        <v>6</v>
      </c>
      <c r="J4" s="415">
        <v>6.99</v>
      </c>
      <c r="K4" s="420">
        <v>3</v>
      </c>
      <c r="L4" s="415">
        <v>3.99</v>
      </c>
      <c r="M4" s="424">
        <v>0</v>
      </c>
      <c r="N4" s="417">
        <v>0.99</v>
      </c>
      <c r="O4" s="420"/>
      <c r="P4" s="415">
        <v>1.99</v>
      </c>
      <c r="Q4" s="424"/>
      <c r="R4" s="415">
        <v>0.99</v>
      </c>
      <c r="S4" s="420"/>
      <c r="T4" s="415">
        <v>0.99</v>
      </c>
      <c r="U4" s="420"/>
      <c r="V4" s="415"/>
      <c r="W4" s="129">
        <f>7-(COUNTBLANK(I4)+COUNTBLANK(K4)+COUNTBLANK(M4)+COUNTBLANK(O4)+COUNTBLANK(Q4)+COUNTBLANK(S4)+COUNTBLANK(U4))</f>
        <v>3</v>
      </c>
      <c r="X4" s="128">
        <f>COUNT(V4,R4,T4,P4,N4,L4,J4)</f>
        <v>6</v>
      </c>
      <c r="Y4" s="128"/>
      <c r="Z4" s="128"/>
      <c r="AA4" s="130">
        <v>6</v>
      </c>
      <c r="AB4" s="130">
        <v>2</v>
      </c>
      <c r="AC4" s="130"/>
      <c r="AD4" s="130"/>
      <c r="AE4" s="130"/>
      <c r="AF4" s="130"/>
      <c r="AG4" s="130"/>
      <c r="AI4" s="3"/>
    </row>
    <row r="5" spans="1:35" x14ac:dyDescent="0.25">
      <c r="A5" s="131" t="s">
        <v>198</v>
      </c>
      <c r="B5" s="131"/>
      <c r="C5" s="131"/>
      <c r="D5" s="132"/>
      <c r="E5" s="131"/>
      <c r="F5" s="132"/>
      <c r="G5" s="133"/>
      <c r="H5" s="132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2"/>
      <c r="X5" s="132"/>
      <c r="Y5" s="132"/>
      <c r="Z5" s="132"/>
      <c r="AA5" s="134"/>
      <c r="AB5" s="134"/>
      <c r="AC5" s="134"/>
      <c r="AD5" s="134"/>
      <c r="AE5" s="134"/>
      <c r="AF5" s="134"/>
      <c r="AG5" s="133"/>
      <c r="AI5" s="3"/>
    </row>
    <row r="6" spans="1:35" x14ac:dyDescent="0.25">
      <c r="A6" s="135" t="s">
        <v>199</v>
      </c>
      <c r="B6" s="135"/>
      <c r="C6" s="135"/>
      <c r="D6" s="136"/>
      <c r="E6" s="135"/>
      <c r="F6" s="137"/>
      <c r="G6" s="138"/>
      <c r="H6" s="137"/>
      <c r="I6" s="139" t="s">
        <v>200</v>
      </c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7"/>
      <c r="X6" s="137"/>
      <c r="Y6" s="137"/>
      <c r="Z6" s="137"/>
      <c r="AA6" s="140" t="s">
        <v>201</v>
      </c>
      <c r="AB6" s="140"/>
      <c r="AC6" s="140"/>
      <c r="AD6" s="140"/>
      <c r="AE6" s="140"/>
      <c r="AF6" s="140"/>
      <c r="AG6" s="141"/>
      <c r="AI6" s="3"/>
    </row>
    <row r="7" spans="1:35" x14ac:dyDescent="0.25">
      <c r="A7" s="142" t="s">
        <v>180</v>
      </c>
      <c r="B7" s="142" t="s">
        <v>181</v>
      </c>
      <c r="C7" s="142" t="s">
        <v>111</v>
      </c>
      <c r="D7" s="143" t="s">
        <v>182</v>
      </c>
      <c r="E7" s="142" t="s">
        <v>183</v>
      </c>
      <c r="F7" s="143" t="str">
        <f>F2</f>
        <v>Promoción</v>
      </c>
      <c r="G7" s="144" t="str">
        <f>G2</f>
        <v>Nivel</v>
      </c>
      <c r="H7" s="143" t="str">
        <f>H2</f>
        <v>Lid</v>
      </c>
      <c r="I7" s="408" t="s">
        <v>151</v>
      </c>
      <c r="J7" s="408" t="str">
        <f t="shared" ref="J7:Y7" si="0">J2</f>
        <v>Pot</v>
      </c>
      <c r="K7" s="409" t="str">
        <f t="shared" si="0"/>
        <v>DEF</v>
      </c>
      <c r="L7" s="409" t="str">
        <f t="shared" si="0"/>
        <v>Pot</v>
      </c>
      <c r="M7" s="408" t="str">
        <f t="shared" si="0"/>
        <v>JUG</v>
      </c>
      <c r="N7" s="408" t="str">
        <f t="shared" si="0"/>
        <v>Pot</v>
      </c>
      <c r="O7" s="409" t="str">
        <f t="shared" si="0"/>
        <v>LAT</v>
      </c>
      <c r="P7" s="409" t="str">
        <f t="shared" si="0"/>
        <v>Pot</v>
      </c>
      <c r="Q7" s="408" t="str">
        <f t="shared" si="0"/>
        <v>PAS</v>
      </c>
      <c r="R7" s="408" t="str">
        <f t="shared" si="0"/>
        <v>Pot</v>
      </c>
      <c r="S7" s="409" t="str">
        <f t="shared" si="0"/>
        <v>ANO</v>
      </c>
      <c r="T7" s="409" t="str">
        <f t="shared" si="0"/>
        <v>Pot</v>
      </c>
      <c r="U7" s="408" t="str">
        <f t="shared" si="0"/>
        <v>BP</v>
      </c>
      <c r="V7" s="408" t="str">
        <f t="shared" si="0"/>
        <v>Pot</v>
      </c>
      <c r="W7" s="145" t="str">
        <f t="shared" si="0"/>
        <v>HAB</v>
      </c>
      <c r="X7" s="145" t="str">
        <f t="shared" si="0"/>
        <v>POT</v>
      </c>
      <c r="Y7" s="143" t="str">
        <f t="shared" si="0"/>
        <v>Cap</v>
      </c>
      <c r="Z7" s="143" t="s">
        <v>191</v>
      </c>
      <c r="AA7" s="146" t="str">
        <f t="shared" ref="AA7:AG7" si="1">AA2</f>
        <v>POR</v>
      </c>
      <c r="AB7" s="146" t="str">
        <f t="shared" si="1"/>
        <v>DEF</v>
      </c>
      <c r="AC7" s="146" t="str">
        <f t="shared" si="1"/>
        <v>DL</v>
      </c>
      <c r="AD7" s="146" t="str">
        <f t="shared" si="1"/>
        <v>INN</v>
      </c>
      <c r="AE7" s="146" t="str">
        <f t="shared" si="1"/>
        <v>EXT</v>
      </c>
      <c r="AF7" s="146" t="str">
        <f t="shared" si="1"/>
        <v>DAV</v>
      </c>
      <c r="AG7" s="144" t="str">
        <f t="shared" si="1"/>
        <v>Atributs</v>
      </c>
      <c r="AI7" s="3"/>
    </row>
    <row r="8" spans="1:35" x14ac:dyDescent="0.25">
      <c r="A8" s="148" t="s">
        <v>847</v>
      </c>
      <c r="B8" s="123">
        <v>16</v>
      </c>
      <c r="C8" s="124">
        <f ca="1">+A33-3308</f>
        <v>113</v>
      </c>
      <c r="D8" s="125"/>
      <c r="E8" s="126">
        <f ca="1">F8-TODAY()</f>
        <v>-1</v>
      </c>
      <c r="F8" s="414">
        <v>44418</v>
      </c>
      <c r="G8" s="419" t="s">
        <v>849</v>
      </c>
      <c r="H8" s="128" t="s">
        <v>849</v>
      </c>
      <c r="I8" s="423"/>
      <c r="J8" s="415">
        <v>1.99</v>
      </c>
      <c r="K8" s="423">
        <v>4</v>
      </c>
      <c r="L8" s="415">
        <v>4.99</v>
      </c>
      <c r="M8" s="424">
        <v>5</v>
      </c>
      <c r="N8" s="417">
        <v>5.99</v>
      </c>
      <c r="O8" s="421">
        <v>5</v>
      </c>
      <c r="P8" s="416">
        <v>5.99</v>
      </c>
      <c r="Q8" s="421">
        <v>3</v>
      </c>
      <c r="R8" s="416">
        <v>3.99</v>
      </c>
      <c r="S8" s="421">
        <v>4</v>
      </c>
      <c r="T8" s="416">
        <v>5.99</v>
      </c>
      <c r="U8" s="423"/>
      <c r="V8" s="417"/>
      <c r="W8" s="129">
        <f>7-(COUNTBLANK(I8)+COUNTBLANK(K8)+COUNTBLANK(M8)+COUNTBLANK(O8)+COUNTBLANK(Q8)+COUNTBLANK(S8)+COUNTBLANK(U8))</f>
        <v>5</v>
      </c>
      <c r="X8" s="128">
        <f>COUNT(V8,R8,T8,P8,N8,L8,J8)</f>
        <v>6</v>
      </c>
      <c r="Y8" s="128"/>
      <c r="Z8" s="128"/>
      <c r="AA8" s="130"/>
      <c r="AB8" s="130">
        <v>4</v>
      </c>
      <c r="AC8" s="130">
        <v>4.5</v>
      </c>
      <c r="AD8" s="130">
        <v>5.5</v>
      </c>
      <c r="AE8" s="130">
        <v>6</v>
      </c>
      <c r="AF8" s="130">
        <v>6.5</v>
      </c>
      <c r="AG8" s="130"/>
      <c r="AI8" s="3"/>
    </row>
    <row r="9" spans="1:35" x14ac:dyDescent="0.25">
      <c r="A9" s="148" t="s">
        <v>853</v>
      </c>
      <c r="B9" s="123">
        <v>16</v>
      </c>
      <c r="C9" s="124">
        <f ca="1">+A33-3244</f>
        <v>177</v>
      </c>
      <c r="D9" s="125" t="s">
        <v>173</v>
      </c>
      <c r="E9" s="126">
        <f ca="1">F9-TODAY()</f>
        <v>-65</v>
      </c>
      <c r="F9" s="414">
        <v>44354</v>
      </c>
      <c r="G9" s="419">
        <v>4</v>
      </c>
      <c r="H9" s="128" t="s">
        <v>849</v>
      </c>
      <c r="I9" s="420"/>
      <c r="J9" s="420"/>
      <c r="K9" s="420">
        <v>5</v>
      </c>
      <c r="L9" s="420">
        <v>5.99</v>
      </c>
      <c r="M9" s="420">
        <v>4</v>
      </c>
      <c r="N9" s="420">
        <v>4.99</v>
      </c>
      <c r="O9" s="420">
        <v>3</v>
      </c>
      <c r="P9" s="420">
        <v>3.99</v>
      </c>
      <c r="Q9" s="420"/>
      <c r="R9" s="420">
        <v>4.99</v>
      </c>
      <c r="S9" s="421">
        <v>2</v>
      </c>
      <c r="T9" s="416">
        <v>2.99</v>
      </c>
      <c r="U9" s="420">
        <v>2</v>
      </c>
      <c r="V9" s="417">
        <v>2.99</v>
      </c>
      <c r="W9" s="129">
        <f>7-(COUNTBLANK(I9)+COUNTBLANK(K9)+COUNTBLANK(M9)+COUNTBLANK(O9)+COUNTBLANK(Q9)+COUNTBLANK(S9)+COUNTBLANK(U9))</f>
        <v>5</v>
      </c>
      <c r="X9" s="128">
        <f>COUNT(V9,R9,T9,P9,N9,L9,J9)</f>
        <v>6</v>
      </c>
      <c r="Y9" s="128">
        <v>1</v>
      </c>
      <c r="Z9" s="128"/>
      <c r="AA9" s="130"/>
      <c r="AB9" s="130">
        <v>5</v>
      </c>
      <c r="AC9" s="130">
        <v>5</v>
      </c>
      <c r="AD9" s="130">
        <v>5.5</v>
      </c>
      <c r="AE9" s="130">
        <v>5</v>
      </c>
      <c r="AF9" s="130">
        <v>4</v>
      </c>
      <c r="AG9" s="130"/>
      <c r="AI9" s="3"/>
    </row>
    <row r="10" spans="1:35" x14ac:dyDescent="0.25">
      <c r="A10" s="148" t="s">
        <v>882</v>
      </c>
      <c r="B10" s="123">
        <v>15</v>
      </c>
      <c r="C10" s="124">
        <f ca="1">+A33-3277</f>
        <v>144</v>
      </c>
      <c r="D10" s="125"/>
      <c r="E10" s="126">
        <f ca="1">F10-TODAY()</f>
        <v>80</v>
      </c>
      <c r="F10" s="414">
        <v>44499</v>
      </c>
      <c r="G10" s="431" t="s">
        <v>858</v>
      </c>
      <c r="H10" s="128" t="s">
        <v>849</v>
      </c>
      <c r="I10" s="420"/>
      <c r="J10" s="415">
        <v>1.99</v>
      </c>
      <c r="K10" s="420">
        <v>2</v>
      </c>
      <c r="L10" s="415">
        <v>2.99</v>
      </c>
      <c r="M10" s="421"/>
      <c r="N10" s="416"/>
      <c r="O10" s="420"/>
      <c r="P10" s="415">
        <v>5.99</v>
      </c>
      <c r="Q10" s="424">
        <v>3</v>
      </c>
      <c r="R10" s="415">
        <v>3.99</v>
      </c>
      <c r="S10" s="421"/>
      <c r="T10" s="416"/>
      <c r="U10" s="420"/>
      <c r="V10" s="417"/>
      <c r="W10" s="129">
        <f>7-(COUNTBLANK(I10)+COUNTBLANK(K10)+COUNTBLANK(M10)+COUNTBLANK(O10)+COUNTBLANK(Q10)+COUNTBLANK(S10)+COUNTBLANK(U10))</f>
        <v>2</v>
      </c>
      <c r="X10" s="128">
        <f>COUNT(V10,R10,T10,P10,N10,L10,J10)</f>
        <v>4</v>
      </c>
      <c r="Y10" s="128"/>
      <c r="Z10" s="128"/>
      <c r="AA10" s="130"/>
      <c r="AB10" s="130"/>
      <c r="AC10" s="130">
        <v>3</v>
      </c>
      <c r="AD10" s="130"/>
      <c r="AE10" s="130">
        <v>5.5</v>
      </c>
      <c r="AF10" s="130"/>
      <c r="AG10" s="130"/>
      <c r="AI10" s="3"/>
    </row>
    <row r="11" spans="1:35" x14ac:dyDescent="0.25">
      <c r="A11" s="150" t="s">
        <v>202</v>
      </c>
      <c r="B11" s="150"/>
      <c r="C11" s="150"/>
      <c r="D11" s="151"/>
      <c r="E11" s="150"/>
      <c r="F11" s="151"/>
      <c r="G11" s="152"/>
      <c r="H11" s="151"/>
      <c r="I11" s="418"/>
      <c r="J11" s="418"/>
      <c r="K11" s="418"/>
      <c r="L11" s="418"/>
      <c r="M11" s="418"/>
      <c r="N11" s="418"/>
      <c r="O11" s="418"/>
      <c r="P11" s="418"/>
      <c r="Q11" s="418"/>
      <c r="R11" s="418"/>
      <c r="S11" s="418"/>
      <c r="T11" s="418"/>
      <c r="U11" s="418"/>
      <c r="V11" s="418"/>
      <c r="W11" s="151"/>
      <c r="X11" s="151"/>
      <c r="Y11" s="151"/>
      <c r="Z11" s="151"/>
      <c r="AA11" s="153"/>
      <c r="AB11" s="153"/>
      <c r="AC11" s="153"/>
      <c r="AD11" s="153"/>
      <c r="AE11" s="153"/>
      <c r="AF11" s="153"/>
      <c r="AG11" s="152"/>
      <c r="AI11" s="3"/>
    </row>
    <row r="12" spans="1:35" x14ac:dyDescent="0.25">
      <c r="A12" s="154" t="s">
        <v>199</v>
      </c>
      <c r="B12" s="154"/>
      <c r="C12" s="154"/>
      <c r="D12" s="155"/>
      <c r="E12" s="154"/>
      <c r="F12" s="156"/>
      <c r="G12" s="157"/>
      <c r="H12" s="156"/>
      <c r="I12" s="158" t="s">
        <v>200</v>
      </c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6"/>
      <c r="X12" s="156"/>
      <c r="Y12" s="156"/>
      <c r="Z12" s="156"/>
      <c r="AA12" s="159" t="s">
        <v>201</v>
      </c>
      <c r="AB12" s="159"/>
      <c r="AC12" s="159"/>
      <c r="AD12" s="159"/>
      <c r="AE12" s="159"/>
      <c r="AF12" s="159"/>
      <c r="AG12" s="160"/>
      <c r="AI12" s="3"/>
    </row>
    <row r="13" spans="1:35" x14ac:dyDescent="0.25">
      <c r="A13" s="161" t="s">
        <v>180</v>
      </c>
      <c r="B13" s="161" t="s">
        <v>181</v>
      </c>
      <c r="C13" s="161" t="s">
        <v>111</v>
      </c>
      <c r="D13" s="162" t="s">
        <v>182</v>
      </c>
      <c r="E13" s="161" t="s">
        <v>183</v>
      </c>
      <c r="F13" s="162" t="str">
        <f>F7</f>
        <v>Promoción</v>
      </c>
      <c r="G13" s="163" t="str">
        <f>G7</f>
        <v>Nivel</v>
      </c>
      <c r="H13" s="162" t="str">
        <f>H7</f>
        <v>Lid</v>
      </c>
      <c r="I13" s="410" t="s">
        <v>151</v>
      </c>
      <c r="J13" s="410" t="str">
        <f t="shared" ref="J13:Y13" si="2">J7</f>
        <v>Pot</v>
      </c>
      <c r="K13" s="411" t="str">
        <f t="shared" si="2"/>
        <v>DEF</v>
      </c>
      <c r="L13" s="411" t="str">
        <f t="shared" si="2"/>
        <v>Pot</v>
      </c>
      <c r="M13" s="410" t="str">
        <f t="shared" si="2"/>
        <v>JUG</v>
      </c>
      <c r="N13" s="410" t="str">
        <f t="shared" si="2"/>
        <v>Pot</v>
      </c>
      <c r="O13" s="411" t="str">
        <f t="shared" si="2"/>
        <v>LAT</v>
      </c>
      <c r="P13" s="411" t="str">
        <f t="shared" si="2"/>
        <v>Pot</v>
      </c>
      <c r="Q13" s="410" t="str">
        <f t="shared" si="2"/>
        <v>PAS</v>
      </c>
      <c r="R13" s="410" t="str">
        <f t="shared" si="2"/>
        <v>Pot</v>
      </c>
      <c r="S13" s="411" t="str">
        <f t="shared" si="2"/>
        <v>ANO</v>
      </c>
      <c r="T13" s="411" t="str">
        <f t="shared" si="2"/>
        <v>Pot</v>
      </c>
      <c r="U13" s="410" t="str">
        <f t="shared" si="2"/>
        <v>BP</v>
      </c>
      <c r="V13" s="410" t="str">
        <f t="shared" si="2"/>
        <v>Pot</v>
      </c>
      <c r="W13" s="164" t="str">
        <f t="shared" si="2"/>
        <v>HAB</v>
      </c>
      <c r="X13" s="164" t="str">
        <f t="shared" si="2"/>
        <v>POT</v>
      </c>
      <c r="Y13" s="162" t="str">
        <f t="shared" si="2"/>
        <v>Cap</v>
      </c>
      <c r="Z13" s="162" t="s">
        <v>191</v>
      </c>
      <c r="AA13" s="165" t="str">
        <f t="shared" ref="AA13:AG13" si="3">AA7</f>
        <v>POR</v>
      </c>
      <c r="AB13" s="165" t="str">
        <f t="shared" si="3"/>
        <v>DEF</v>
      </c>
      <c r="AC13" s="165" t="str">
        <f t="shared" si="3"/>
        <v>DL</v>
      </c>
      <c r="AD13" s="165" t="str">
        <f t="shared" si="3"/>
        <v>INN</v>
      </c>
      <c r="AE13" s="165" t="str">
        <f t="shared" si="3"/>
        <v>EXT</v>
      </c>
      <c r="AF13" s="165" t="str">
        <f t="shared" si="3"/>
        <v>DAV</v>
      </c>
      <c r="AG13" s="163" t="str">
        <f t="shared" si="3"/>
        <v>Atributs</v>
      </c>
      <c r="AI13" s="3"/>
    </row>
    <row r="14" spans="1:35" x14ac:dyDescent="0.25">
      <c r="A14" s="148" t="s">
        <v>878</v>
      </c>
      <c r="B14" s="123">
        <v>15</v>
      </c>
      <c r="C14" s="124">
        <f ca="1">+A33-3246</f>
        <v>175</v>
      </c>
      <c r="D14" s="125"/>
      <c r="E14" s="126">
        <f ca="1">F14-TODAY()</f>
        <v>49</v>
      </c>
      <c r="F14" s="414">
        <v>44468</v>
      </c>
      <c r="G14" s="419" t="s">
        <v>849</v>
      </c>
      <c r="H14" s="128" t="s">
        <v>849</v>
      </c>
      <c r="I14" s="420"/>
      <c r="J14" s="415"/>
      <c r="K14" s="421"/>
      <c r="L14" s="416"/>
      <c r="M14" s="421"/>
      <c r="N14" s="416"/>
      <c r="O14" s="421">
        <v>4</v>
      </c>
      <c r="P14" s="416"/>
      <c r="Q14" s="420"/>
      <c r="R14" s="417">
        <v>3.99</v>
      </c>
      <c r="S14" s="421"/>
      <c r="T14" s="416"/>
      <c r="U14" s="420"/>
      <c r="V14" s="420"/>
      <c r="W14" s="129">
        <f>7-(COUNTBLANK(I14)+COUNTBLANK(K14)+COUNTBLANK(M14)+COUNTBLANK(O14)+COUNTBLANK(Q14)+COUNTBLANK(S14)+COUNTBLANK(U14))</f>
        <v>1</v>
      </c>
      <c r="X14" s="128">
        <f>COUNT(V14,R14,T14,P14,N14,L14,J14)</f>
        <v>1</v>
      </c>
      <c r="Y14" s="128"/>
      <c r="Z14" s="128">
        <v>1</v>
      </c>
      <c r="AA14" s="130"/>
      <c r="AB14" s="130"/>
      <c r="AC14" s="130"/>
      <c r="AD14" s="130"/>
      <c r="AE14" s="130"/>
      <c r="AF14" s="130"/>
      <c r="AG14" s="130"/>
      <c r="AI14" s="3"/>
    </row>
    <row r="15" spans="1:35" x14ac:dyDescent="0.25">
      <c r="A15" s="148" t="s">
        <v>868</v>
      </c>
      <c r="B15" s="123">
        <v>15</v>
      </c>
      <c r="C15" s="124">
        <f ca="1">+A33-3313</f>
        <v>108</v>
      </c>
      <c r="D15" s="125"/>
      <c r="E15" s="126">
        <f ca="1">F15-TODAY()</f>
        <v>116</v>
      </c>
      <c r="F15" s="414">
        <v>44535</v>
      </c>
      <c r="G15" s="419" t="s">
        <v>854</v>
      </c>
      <c r="H15" s="128" t="s">
        <v>849</v>
      </c>
      <c r="I15" s="424"/>
      <c r="J15" s="415"/>
      <c r="K15" s="424"/>
      <c r="L15" s="415"/>
      <c r="M15" s="420"/>
      <c r="N15" s="415">
        <v>2.99</v>
      </c>
      <c r="O15" s="420">
        <v>3</v>
      </c>
      <c r="P15" s="415">
        <v>4.99</v>
      </c>
      <c r="Q15" s="420"/>
      <c r="R15" s="415"/>
      <c r="S15" s="421"/>
      <c r="T15" s="416"/>
      <c r="U15" s="420"/>
      <c r="V15" s="415"/>
      <c r="W15" s="129">
        <f>7-(COUNTBLANK(I15)+COUNTBLANK(K15)+COUNTBLANK(M15)+COUNTBLANK(O15)+COUNTBLANK(Q15)+COUNTBLANK(S15)+COUNTBLANK(U15))</f>
        <v>1</v>
      </c>
      <c r="X15" s="128">
        <f>COUNT(V15,R15,T15,P15,N15,L15,J15)</f>
        <v>2</v>
      </c>
      <c r="Y15" s="128"/>
      <c r="Z15" s="128"/>
      <c r="AA15" s="130"/>
      <c r="AB15" s="130"/>
      <c r="AC15" s="130">
        <v>2.5</v>
      </c>
      <c r="AD15" s="130"/>
      <c r="AE15" s="130"/>
      <c r="AF15" s="130">
        <v>6</v>
      </c>
      <c r="AG15" s="130"/>
      <c r="AI15" s="3"/>
    </row>
    <row r="16" spans="1:35" x14ac:dyDescent="0.25">
      <c r="A16" s="148" t="s">
        <v>855</v>
      </c>
      <c r="B16" s="123">
        <v>16</v>
      </c>
      <c r="C16" s="124">
        <f ca="1">+A33-3315</f>
        <v>106</v>
      </c>
      <c r="D16" s="125" t="s">
        <v>164</v>
      </c>
      <c r="E16" s="126">
        <f t="shared" ref="E16:E17" ca="1" si="4">F16-TODAY()</f>
        <v>6</v>
      </c>
      <c r="F16" s="414">
        <v>44425</v>
      </c>
      <c r="G16" s="419">
        <v>4</v>
      </c>
      <c r="H16" s="128" t="s">
        <v>849</v>
      </c>
      <c r="I16" s="420"/>
      <c r="J16" s="420">
        <v>1.99</v>
      </c>
      <c r="K16" s="421">
        <v>2</v>
      </c>
      <c r="L16" s="416"/>
      <c r="M16" s="421">
        <v>4</v>
      </c>
      <c r="N16" s="416">
        <v>4.99</v>
      </c>
      <c r="O16" s="420"/>
      <c r="P16" s="415">
        <v>2.99</v>
      </c>
      <c r="Q16" s="421">
        <v>3</v>
      </c>
      <c r="R16" s="416">
        <v>3.99</v>
      </c>
      <c r="S16" s="420"/>
      <c r="T16" s="415">
        <v>5.99</v>
      </c>
      <c r="U16" s="420"/>
      <c r="V16" s="415"/>
      <c r="W16" s="129">
        <f t="shared" ref="W16:W17" si="5">7-(COUNTBLANK(I16)+COUNTBLANK(K16)+COUNTBLANK(M16)+COUNTBLANK(O16)+COUNTBLANK(Q16)+COUNTBLANK(S16)+COUNTBLANK(U16))</f>
        <v>3</v>
      </c>
      <c r="X16" s="128">
        <f t="shared" ref="X16:X17" si="6">COUNT(V16,R16,T16,P16,N16,L16,J16)</f>
        <v>5</v>
      </c>
      <c r="Y16" s="128"/>
      <c r="Z16" s="128"/>
      <c r="AA16" s="130"/>
      <c r="AB16" s="130">
        <v>2.5</v>
      </c>
      <c r="AC16" s="130"/>
      <c r="AD16" s="130">
        <v>4.5</v>
      </c>
      <c r="AE16" s="130">
        <v>3.5</v>
      </c>
      <c r="AF16" s="130">
        <v>5</v>
      </c>
      <c r="AG16" s="130"/>
      <c r="AI16" s="3"/>
    </row>
    <row r="17" spans="1:35" x14ac:dyDescent="0.25">
      <c r="A17" s="148" t="s">
        <v>856</v>
      </c>
      <c r="B17" s="123">
        <v>16</v>
      </c>
      <c r="C17" s="124">
        <f ca="1">+A33-3314</f>
        <v>107</v>
      </c>
      <c r="D17" s="125"/>
      <c r="E17" s="126">
        <f t="shared" ca="1" si="4"/>
        <v>5</v>
      </c>
      <c r="F17" s="414">
        <v>44424</v>
      </c>
      <c r="G17" s="419">
        <v>4</v>
      </c>
      <c r="H17" s="128" t="s">
        <v>849</v>
      </c>
      <c r="I17" s="420"/>
      <c r="J17" s="420">
        <v>1.99</v>
      </c>
      <c r="K17" s="421">
        <v>3</v>
      </c>
      <c r="L17" s="416">
        <v>3.99</v>
      </c>
      <c r="M17" s="421">
        <v>2</v>
      </c>
      <c r="N17" s="416">
        <v>2.99</v>
      </c>
      <c r="O17" s="420">
        <v>4</v>
      </c>
      <c r="P17" s="415">
        <v>6.99</v>
      </c>
      <c r="Q17" s="420">
        <v>2</v>
      </c>
      <c r="R17" s="415">
        <v>2.99</v>
      </c>
      <c r="S17" s="420"/>
      <c r="T17" s="415"/>
      <c r="U17" s="420"/>
      <c r="V17" s="420"/>
      <c r="W17" s="129">
        <f t="shared" si="5"/>
        <v>4</v>
      </c>
      <c r="X17" s="128">
        <f t="shared" si="6"/>
        <v>5</v>
      </c>
      <c r="Y17" s="128"/>
      <c r="Z17" s="128"/>
      <c r="AA17" s="130"/>
      <c r="AB17" s="130">
        <v>3.5</v>
      </c>
      <c r="AC17" s="130">
        <v>4</v>
      </c>
      <c r="AD17" s="130"/>
      <c r="AE17" s="130">
        <v>5</v>
      </c>
      <c r="AF17" s="130">
        <v>3.5</v>
      </c>
      <c r="AG17" s="130"/>
      <c r="AI17" s="3"/>
    </row>
    <row r="18" spans="1:35" x14ac:dyDescent="0.25">
      <c r="A18" s="148" t="s">
        <v>851</v>
      </c>
      <c r="B18" s="123">
        <v>17</v>
      </c>
      <c r="C18" s="124">
        <f ca="1">+A33-3309</f>
        <v>112</v>
      </c>
      <c r="D18" s="125"/>
      <c r="E18" s="126">
        <f ca="1">F18-TODAY()</f>
        <v>-95</v>
      </c>
      <c r="F18" s="414">
        <v>44324</v>
      </c>
      <c r="G18" s="419">
        <v>4</v>
      </c>
      <c r="H18" s="128" t="s">
        <v>849</v>
      </c>
      <c r="I18" s="420"/>
      <c r="J18" s="420">
        <v>0.99</v>
      </c>
      <c r="K18" s="420"/>
      <c r="L18" s="415">
        <v>2.99</v>
      </c>
      <c r="M18" s="420">
        <v>5</v>
      </c>
      <c r="N18" s="415">
        <v>6.99</v>
      </c>
      <c r="O18" s="424"/>
      <c r="P18" s="417">
        <v>3.99</v>
      </c>
      <c r="Q18" s="421">
        <v>3</v>
      </c>
      <c r="R18" s="416">
        <v>3.99</v>
      </c>
      <c r="S18" s="424">
        <v>3</v>
      </c>
      <c r="T18" s="415">
        <v>3.99</v>
      </c>
      <c r="U18" s="420"/>
      <c r="V18" s="420"/>
      <c r="W18" s="129">
        <f>7-(COUNTBLANK(I18)+COUNTBLANK(K18)+COUNTBLANK(M18)+COUNTBLANK(O18)+COUNTBLANK(Q18)+COUNTBLANK(S18)+COUNTBLANK(U18))</f>
        <v>3</v>
      </c>
      <c r="X18" s="128">
        <f>COUNT(V18,R18,T18,P18,N18,L18,J18)</f>
        <v>6</v>
      </c>
      <c r="Y18" s="128"/>
      <c r="Z18" s="128"/>
      <c r="AA18" s="130"/>
      <c r="AB18" s="130"/>
      <c r="AC18" s="130"/>
      <c r="AD18" s="130">
        <v>6</v>
      </c>
      <c r="AE18" s="130"/>
      <c r="AF18" s="130">
        <v>4.5</v>
      </c>
      <c r="AG18" s="130"/>
      <c r="AI18" s="3"/>
    </row>
    <row r="19" spans="1:35" x14ac:dyDescent="0.25">
      <c r="A19" s="427" t="s">
        <v>859</v>
      </c>
      <c r="B19" s="123">
        <v>17</v>
      </c>
      <c r="C19" s="124">
        <f ca="1">+A33-3313</f>
        <v>108</v>
      </c>
      <c r="D19" s="125"/>
      <c r="E19" s="126">
        <f ca="1">F19-TODAY()</f>
        <v>-32</v>
      </c>
      <c r="F19" s="414">
        <v>44387</v>
      </c>
      <c r="G19" s="431" t="s">
        <v>858</v>
      </c>
      <c r="H19" s="128" t="s">
        <v>849</v>
      </c>
      <c r="I19" s="420"/>
      <c r="J19" s="429">
        <v>1.99</v>
      </c>
      <c r="K19" s="420"/>
      <c r="L19" s="429">
        <v>2.99</v>
      </c>
      <c r="M19" s="428">
        <v>2</v>
      </c>
      <c r="N19" s="429">
        <v>2.99</v>
      </c>
      <c r="O19" s="420">
        <v>5</v>
      </c>
      <c r="P19" s="429">
        <v>7</v>
      </c>
      <c r="Q19" s="428">
        <v>4</v>
      </c>
      <c r="R19" s="429">
        <v>5.99</v>
      </c>
      <c r="S19" s="428">
        <v>3</v>
      </c>
      <c r="T19" s="429"/>
      <c r="U19" s="420"/>
      <c r="V19" s="429"/>
      <c r="W19" s="129">
        <f>7-(COUNTBLANK(I19)+COUNTBLANK(K19)+COUNTBLANK(M19)+COUNTBLANK(O19)+COUNTBLANK(Q19)+COUNTBLANK(S19)+COUNTBLANK(U19))</f>
        <v>4</v>
      </c>
      <c r="X19" s="128">
        <f>COUNT(V19,R19,T19,P19,N19,L19,J19)</f>
        <v>5</v>
      </c>
      <c r="Y19" s="128"/>
      <c r="Z19" s="128"/>
      <c r="AA19" s="430"/>
      <c r="AB19" s="430"/>
      <c r="AC19" s="430">
        <v>4</v>
      </c>
      <c r="AD19" s="430">
        <v>3</v>
      </c>
      <c r="AE19" s="430">
        <v>5.5</v>
      </c>
      <c r="AF19" s="430">
        <v>6</v>
      </c>
      <c r="AG19" s="430"/>
      <c r="AI19" s="3"/>
    </row>
    <row r="20" spans="1:35" x14ac:dyDescent="0.25">
      <c r="A20" s="427" t="s">
        <v>857</v>
      </c>
      <c r="B20" s="123">
        <v>17</v>
      </c>
      <c r="C20" s="124">
        <f ca="1">+A33-3304</f>
        <v>117</v>
      </c>
      <c r="D20" s="125"/>
      <c r="E20" s="126">
        <f ca="1">F20-TODAY()</f>
        <v>-46</v>
      </c>
      <c r="F20" s="414">
        <v>44373</v>
      </c>
      <c r="G20" s="431" t="s">
        <v>858</v>
      </c>
      <c r="H20" s="128" t="s">
        <v>849</v>
      </c>
      <c r="I20" s="420"/>
      <c r="J20" s="429"/>
      <c r="K20" s="420">
        <v>4</v>
      </c>
      <c r="L20" s="429">
        <v>5.99</v>
      </c>
      <c r="M20" s="428">
        <v>2</v>
      </c>
      <c r="N20" s="429">
        <v>2.99</v>
      </c>
      <c r="O20" s="420"/>
      <c r="P20" s="429">
        <v>7</v>
      </c>
      <c r="Q20" s="428">
        <v>3</v>
      </c>
      <c r="R20" s="429">
        <v>3.99</v>
      </c>
      <c r="S20" s="428"/>
      <c r="T20" s="429">
        <v>5.99</v>
      </c>
      <c r="U20" s="420"/>
      <c r="V20" s="429"/>
      <c r="W20" s="129">
        <f>7-(COUNTBLANK(I20)+COUNTBLANK(K20)+COUNTBLANK(M20)+COUNTBLANK(O20)+COUNTBLANK(Q20)+COUNTBLANK(S20)+COUNTBLANK(U20))</f>
        <v>3</v>
      </c>
      <c r="X20" s="128">
        <f>COUNT(V20,R20,T20,P20,N20,L20,J20)</f>
        <v>5</v>
      </c>
      <c r="Y20" s="128"/>
      <c r="Z20" s="128"/>
      <c r="AA20" s="430"/>
      <c r="AB20" s="430"/>
      <c r="AC20" s="430">
        <v>5</v>
      </c>
      <c r="AD20" s="430">
        <v>3.5</v>
      </c>
      <c r="AE20" s="430"/>
      <c r="AF20" s="430">
        <v>6</v>
      </c>
      <c r="AG20" s="430"/>
      <c r="AI20" s="3"/>
    </row>
    <row r="21" spans="1:35" x14ac:dyDescent="0.25">
      <c r="A21" s="166" t="s">
        <v>199</v>
      </c>
      <c r="B21" s="166"/>
      <c r="C21" s="166"/>
      <c r="D21" s="167"/>
      <c r="E21" s="166"/>
      <c r="F21" s="168"/>
      <c r="G21" s="169"/>
      <c r="H21" s="168"/>
      <c r="I21" s="170" t="s">
        <v>200</v>
      </c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68"/>
      <c r="X21" s="168"/>
      <c r="Y21" s="168"/>
      <c r="Z21" s="168"/>
      <c r="AA21" s="171" t="s">
        <v>201</v>
      </c>
      <c r="AB21" s="171"/>
      <c r="AC21" s="171"/>
      <c r="AD21" s="171"/>
      <c r="AE21" s="171"/>
      <c r="AF21" s="171"/>
      <c r="AG21" s="172"/>
      <c r="AI21" s="3"/>
    </row>
    <row r="22" spans="1:35" x14ac:dyDescent="0.25">
      <c r="A22" s="173" t="s">
        <v>180</v>
      </c>
      <c r="B22" s="173" t="s">
        <v>181</v>
      </c>
      <c r="C22" s="173" t="s">
        <v>111</v>
      </c>
      <c r="D22" s="174" t="s">
        <v>182</v>
      </c>
      <c r="E22" s="173" t="s">
        <v>183</v>
      </c>
      <c r="F22" s="174" t="str">
        <f>F13</f>
        <v>Promoción</v>
      </c>
      <c r="G22" s="175" t="str">
        <f>G13</f>
        <v>Nivel</v>
      </c>
      <c r="H22" s="174" t="str">
        <f>H13</f>
        <v>Lid</v>
      </c>
      <c r="I22" s="412" t="s">
        <v>151</v>
      </c>
      <c r="J22" s="412" t="str">
        <f t="shared" ref="J22:Y22" si="7">J13</f>
        <v>Pot</v>
      </c>
      <c r="K22" s="413" t="str">
        <f t="shared" si="7"/>
        <v>DEF</v>
      </c>
      <c r="L22" s="413" t="str">
        <f t="shared" si="7"/>
        <v>Pot</v>
      </c>
      <c r="M22" s="412" t="str">
        <f t="shared" si="7"/>
        <v>JUG</v>
      </c>
      <c r="N22" s="412" t="str">
        <f t="shared" si="7"/>
        <v>Pot</v>
      </c>
      <c r="O22" s="413" t="str">
        <f t="shared" si="7"/>
        <v>LAT</v>
      </c>
      <c r="P22" s="413" t="str">
        <f t="shared" si="7"/>
        <v>Pot</v>
      </c>
      <c r="Q22" s="412" t="str">
        <f t="shared" si="7"/>
        <v>PAS</v>
      </c>
      <c r="R22" s="412" t="str">
        <f t="shared" si="7"/>
        <v>Pot</v>
      </c>
      <c r="S22" s="413" t="str">
        <f t="shared" si="7"/>
        <v>ANO</v>
      </c>
      <c r="T22" s="413" t="str">
        <f t="shared" si="7"/>
        <v>Pot</v>
      </c>
      <c r="U22" s="412" t="str">
        <f t="shared" si="7"/>
        <v>BP</v>
      </c>
      <c r="V22" s="412" t="str">
        <f t="shared" si="7"/>
        <v>Pot</v>
      </c>
      <c r="W22" s="176" t="str">
        <f t="shared" si="7"/>
        <v>HAB</v>
      </c>
      <c r="X22" s="176" t="str">
        <f t="shared" si="7"/>
        <v>POT</v>
      </c>
      <c r="Y22" s="174" t="str">
        <f t="shared" si="7"/>
        <v>Cap</v>
      </c>
      <c r="Z22" s="174" t="s">
        <v>191</v>
      </c>
      <c r="AA22" s="177" t="str">
        <f t="shared" ref="AA22:AG22" si="8">AA13</f>
        <v>POR</v>
      </c>
      <c r="AB22" s="177" t="str">
        <f t="shared" si="8"/>
        <v>DEF</v>
      </c>
      <c r="AC22" s="177" t="str">
        <f t="shared" si="8"/>
        <v>DL</v>
      </c>
      <c r="AD22" s="177" t="str">
        <f t="shared" si="8"/>
        <v>INN</v>
      </c>
      <c r="AE22" s="177" t="str">
        <f t="shared" si="8"/>
        <v>EXT</v>
      </c>
      <c r="AF22" s="177" t="str">
        <f t="shared" si="8"/>
        <v>DAV</v>
      </c>
      <c r="AG22" s="175" t="str">
        <f t="shared" si="8"/>
        <v>Atributs</v>
      </c>
      <c r="AI22" s="3"/>
    </row>
    <row r="23" spans="1:35" x14ac:dyDescent="0.25">
      <c r="A23" s="148"/>
      <c r="B23" s="123">
        <v>17</v>
      </c>
      <c r="C23" s="124">
        <f ca="1">+A33-3306</f>
        <v>115</v>
      </c>
      <c r="D23" s="125"/>
      <c r="E23" s="126">
        <f ca="1">F23-TODAY()</f>
        <v>0</v>
      </c>
      <c r="F23" s="414">
        <f ca="1">TODAY()</f>
        <v>44419</v>
      </c>
      <c r="G23" s="426" t="s">
        <v>849</v>
      </c>
      <c r="H23" s="128" t="s">
        <v>849</v>
      </c>
      <c r="I23" s="420"/>
      <c r="J23" s="420"/>
      <c r="K23" s="424"/>
      <c r="L23" s="420"/>
      <c r="M23" s="420"/>
      <c r="N23" s="415"/>
      <c r="O23" s="420"/>
      <c r="P23" s="415"/>
      <c r="Q23" s="420"/>
      <c r="R23" s="415"/>
      <c r="S23" s="421"/>
      <c r="T23" s="416"/>
      <c r="U23" s="420"/>
      <c r="V23" s="420"/>
      <c r="W23" s="129">
        <f>7-(COUNTBLANK(I23)+COUNTBLANK(K23)+COUNTBLANK(M23)+COUNTBLANK(O23)+COUNTBLANK(Q23)+COUNTBLANK(S23)+COUNTBLANK(U23))</f>
        <v>0</v>
      </c>
      <c r="X23" s="128">
        <f>COUNT(V23,R23,T23,P23,N23,L23,J23)</f>
        <v>0</v>
      </c>
      <c r="Y23" s="128"/>
      <c r="Z23" s="128"/>
      <c r="AA23" s="130"/>
      <c r="AB23" s="130"/>
      <c r="AC23" s="130"/>
      <c r="AD23" s="130"/>
      <c r="AE23" s="130"/>
      <c r="AF23" s="130"/>
      <c r="AG23" s="130"/>
      <c r="AI23" s="3"/>
    </row>
    <row r="24" spans="1:35" x14ac:dyDescent="0.25">
      <c r="A24" s="148" t="s">
        <v>852</v>
      </c>
      <c r="B24" s="123">
        <v>16</v>
      </c>
      <c r="C24" s="124">
        <f ca="1">+A33-3282</f>
        <v>139</v>
      </c>
      <c r="D24" s="125" t="s">
        <v>193</v>
      </c>
      <c r="E24" s="126">
        <f ca="1">F24-TODAY()</f>
        <v>85</v>
      </c>
      <c r="F24" s="414">
        <v>44504</v>
      </c>
      <c r="G24" s="419" t="s">
        <v>849</v>
      </c>
      <c r="H24" s="128" t="s">
        <v>849</v>
      </c>
      <c r="I24" s="420"/>
      <c r="J24" s="415">
        <v>0.99</v>
      </c>
      <c r="K24" s="420"/>
      <c r="L24" s="415"/>
      <c r="M24" s="421">
        <v>3</v>
      </c>
      <c r="N24" s="416">
        <v>3.99</v>
      </c>
      <c r="O24" s="424">
        <v>4</v>
      </c>
      <c r="P24" s="415">
        <v>4.99</v>
      </c>
      <c r="Q24" s="421"/>
      <c r="R24" s="416">
        <v>2.99</v>
      </c>
      <c r="S24" s="420">
        <v>3</v>
      </c>
      <c r="T24" s="415">
        <v>4.99</v>
      </c>
      <c r="U24" s="420"/>
      <c r="V24" s="420">
        <v>2.99</v>
      </c>
      <c r="W24" s="129">
        <f>7-(COUNTBLANK(I24)+COUNTBLANK(K24)+COUNTBLANK(M24)+COUNTBLANK(O24)+COUNTBLANK(Q24)+COUNTBLANK(S24)+COUNTBLANK(U24))</f>
        <v>3</v>
      </c>
      <c r="X24" s="128">
        <f>COUNT(V24,R24,T24,P24,N24,L24,J24)</f>
        <v>6</v>
      </c>
      <c r="Y24" s="128"/>
      <c r="Z24" s="128"/>
      <c r="AA24" s="130"/>
      <c r="AB24" s="130"/>
      <c r="AC24" s="130"/>
      <c r="AD24" s="130"/>
      <c r="AE24" s="130">
        <v>4.5</v>
      </c>
      <c r="AF24" s="130">
        <v>5.5</v>
      </c>
      <c r="AG24" s="130"/>
      <c r="AI24" s="3"/>
    </row>
    <row r="25" spans="1:35" x14ac:dyDescent="0.25">
      <c r="A25" s="148" t="s">
        <v>864</v>
      </c>
      <c r="B25" s="123">
        <v>16</v>
      </c>
      <c r="C25" s="124">
        <f ca="1">+A33-3231</f>
        <v>190</v>
      </c>
      <c r="D25" s="125"/>
      <c r="E25" s="126">
        <f ca="1">F25-TODAY()</f>
        <v>-78</v>
      </c>
      <c r="F25" s="414">
        <v>44341</v>
      </c>
      <c r="G25" s="419" t="s">
        <v>849</v>
      </c>
      <c r="H25" s="128" t="s">
        <v>849</v>
      </c>
      <c r="I25" s="420"/>
      <c r="J25" s="415">
        <v>1.99</v>
      </c>
      <c r="K25" s="420"/>
      <c r="L25" s="415">
        <v>2.99</v>
      </c>
      <c r="M25" s="421">
        <v>2</v>
      </c>
      <c r="N25" s="416">
        <v>2.99</v>
      </c>
      <c r="O25" s="424"/>
      <c r="P25" s="417">
        <v>5.99</v>
      </c>
      <c r="Q25" s="421"/>
      <c r="R25" s="416">
        <v>4.99</v>
      </c>
      <c r="S25" s="420">
        <v>2</v>
      </c>
      <c r="T25" s="415">
        <v>2.99</v>
      </c>
      <c r="U25" s="420"/>
      <c r="V25" s="415"/>
      <c r="W25" s="129">
        <f>7-(COUNTBLANK(I25)+COUNTBLANK(K25)+COUNTBLANK(M25)+COUNTBLANK(O25)+COUNTBLANK(Q25)+COUNTBLANK(S25)+COUNTBLANK(U25))</f>
        <v>2</v>
      </c>
      <c r="X25" s="128">
        <f>COUNT(V25,R25,T25,P25,N25,L25,J25)</f>
        <v>6</v>
      </c>
      <c r="Y25" s="128"/>
      <c r="Z25" s="128"/>
      <c r="AA25" s="130"/>
      <c r="AB25" s="130"/>
      <c r="AC25" s="130">
        <v>3</v>
      </c>
      <c r="AD25" s="130">
        <v>3</v>
      </c>
      <c r="AE25" s="130">
        <v>4.5</v>
      </c>
      <c r="AF25" s="130">
        <v>4.5</v>
      </c>
      <c r="AG25" s="130"/>
      <c r="AI25" s="3"/>
    </row>
    <row r="26" spans="1:35" x14ac:dyDescent="0.25">
      <c r="A26" s="148" t="s">
        <v>863</v>
      </c>
      <c r="B26" s="123">
        <v>18</v>
      </c>
      <c r="C26" s="124">
        <f ca="1">+A33-3287</f>
        <v>134</v>
      </c>
      <c r="D26" s="125" t="s">
        <v>193</v>
      </c>
      <c r="E26" s="126">
        <f ca="1">F26-TODAY()</f>
        <v>0</v>
      </c>
      <c r="F26" s="414">
        <f ca="1">TODAY()</f>
        <v>44419</v>
      </c>
      <c r="G26" s="425" t="s">
        <v>849</v>
      </c>
      <c r="H26" s="128" t="s">
        <v>849</v>
      </c>
      <c r="I26" s="420"/>
      <c r="J26" s="420">
        <v>1.99</v>
      </c>
      <c r="K26" s="424"/>
      <c r="L26" s="420">
        <v>2.99</v>
      </c>
      <c r="M26" s="420">
        <v>3</v>
      </c>
      <c r="N26" s="420">
        <v>3.99</v>
      </c>
      <c r="O26" s="420">
        <v>1</v>
      </c>
      <c r="P26" s="420">
        <v>1.99</v>
      </c>
      <c r="Q26" s="420">
        <v>2</v>
      </c>
      <c r="R26" s="415">
        <v>2.99</v>
      </c>
      <c r="S26" s="420">
        <v>4</v>
      </c>
      <c r="T26" s="420">
        <v>4.99</v>
      </c>
      <c r="U26" s="420"/>
      <c r="V26" s="420"/>
      <c r="W26" s="129">
        <f>7-(COUNTBLANK(I26)+COUNTBLANK(K26)+COUNTBLANK(M26)+COUNTBLANK(O26)+COUNTBLANK(Q26)+COUNTBLANK(S26)+COUNTBLANK(U26))</f>
        <v>4</v>
      </c>
      <c r="X26" s="128">
        <f>COUNT(V26,R26,T26,P26,N26,L26,J26)</f>
        <v>6</v>
      </c>
      <c r="Y26" s="128"/>
      <c r="Z26" s="128">
        <v>1</v>
      </c>
      <c r="AA26" s="130">
        <v>1.5</v>
      </c>
      <c r="AB26" s="130">
        <v>2.5</v>
      </c>
      <c r="AC26" s="130">
        <v>2.5</v>
      </c>
      <c r="AD26" s="130">
        <v>3.5</v>
      </c>
      <c r="AE26" s="130">
        <v>3</v>
      </c>
      <c r="AF26" s="130">
        <v>4.5</v>
      </c>
      <c r="AG26" s="130"/>
      <c r="AI26" s="3"/>
    </row>
    <row r="27" spans="1:35" x14ac:dyDescent="0.25">
      <c r="A27" s="148" t="s">
        <v>861</v>
      </c>
      <c r="B27" s="123">
        <v>18</v>
      </c>
      <c r="C27" s="147">
        <f ca="1">+A33-3262</f>
        <v>159</v>
      </c>
      <c r="D27" s="125"/>
      <c r="E27" s="126">
        <f t="shared" ref="E27:E28" ca="1" si="9">F27-TODAY()</f>
        <v>0</v>
      </c>
      <c r="F27" s="414">
        <f ca="1">TODAY()</f>
        <v>44419</v>
      </c>
      <c r="G27" s="426" t="s">
        <v>849</v>
      </c>
      <c r="H27" s="128" t="s">
        <v>849</v>
      </c>
      <c r="I27" s="420"/>
      <c r="J27" s="420"/>
      <c r="K27" s="420"/>
      <c r="L27" s="420">
        <v>6.99</v>
      </c>
      <c r="M27" s="420"/>
      <c r="N27" s="420">
        <v>3.99</v>
      </c>
      <c r="O27" s="420">
        <v>3</v>
      </c>
      <c r="P27" s="420">
        <v>4.99</v>
      </c>
      <c r="Q27" s="420">
        <v>3</v>
      </c>
      <c r="R27" s="420">
        <v>3.99</v>
      </c>
      <c r="S27" s="420">
        <v>3</v>
      </c>
      <c r="T27" s="420">
        <v>3.99</v>
      </c>
      <c r="U27" s="420"/>
      <c r="V27" s="420"/>
      <c r="W27" s="129">
        <f t="shared" ref="W27:W28" si="10">7-(COUNTBLANK(I27)+COUNTBLANK(K27)+COUNTBLANK(M27)+COUNTBLANK(O27)+COUNTBLANK(Q27)+COUNTBLANK(S27)+COUNTBLANK(U27))</f>
        <v>3</v>
      </c>
      <c r="X27" s="128">
        <f t="shared" ref="X27:X28" si="11">COUNT(V27,R27,T27,P27,N27,L27,J27)</f>
        <v>5</v>
      </c>
      <c r="Y27" s="128"/>
      <c r="Z27" s="128"/>
      <c r="AA27" s="130">
        <v>2</v>
      </c>
      <c r="AB27" s="130">
        <v>4.5</v>
      </c>
      <c r="AC27" s="130">
        <v>5</v>
      </c>
      <c r="AD27" s="130">
        <v>4</v>
      </c>
      <c r="AE27" s="130">
        <v>5</v>
      </c>
      <c r="AF27" s="130">
        <v>6</v>
      </c>
      <c r="AG27" s="130"/>
      <c r="AI27" s="3"/>
    </row>
    <row r="28" spans="1:35" x14ac:dyDescent="0.25">
      <c r="A28" s="148" t="s">
        <v>862</v>
      </c>
      <c r="B28" s="123">
        <v>18</v>
      </c>
      <c r="C28" s="147">
        <f ca="1">+A33-3240</f>
        <v>181</v>
      </c>
      <c r="D28" s="125"/>
      <c r="E28" s="126">
        <f t="shared" ca="1" si="9"/>
        <v>0</v>
      </c>
      <c r="F28" s="414">
        <f ca="1">TODAY()</f>
        <v>44419</v>
      </c>
      <c r="G28" s="426" t="s">
        <v>849</v>
      </c>
      <c r="H28" s="128" t="s">
        <v>849</v>
      </c>
      <c r="I28" s="420"/>
      <c r="J28" s="420">
        <v>0.99</v>
      </c>
      <c r="K28" s="420">
        <v>2</v>
      </c>
      <c r="L28" s="420">
        <v>2.99</v>
      </c>
      <c r="M28" s="420">
        <v>4</v>
      </c>
      <c r="N28" s="420">
        <v>4.99</v>
      </c>
      <c r="O28" s="424"/>
      <c r="P28" s="420">
        <v>2.99</v>
      </c>
      <c r="Q28" s="420">
        <v>2</v>
      </c>
      <c r="R28" s="420">
        <v>2.99</v>
      </c>
      <c r="S28" s="420">
        <v>4</v>
      </c>
      <c r="T28" s="415">
        <v>4.99</v>
      </c>
      <c r="U28" s="420"/>
      <c r="V28" s="420"/>
      <c r="W28" s="129">
        <f t="shared" si="10"/>
        <v>4</v>
      </c>
      <c r="X28" s="128">
        <f t="shared" si="11"/>
        <v>6</v>
      </c>
      <c r="Y28" s="128">
        <v>1</v>
      </c>
      <c r="Z28" s="128"/>
      <c r="AA28" s="130">
        <v>1</v>
      </c>
      <c r="AB28" s="130">
        <v>3</v>
      </c>
      <c r="AC28" s="130">
        <v>3</v>
      </c>
      <c r="AD28" s="130">
        <v>4.5</v>
      </c>
      <c r="AE28" s="130">
        <v>4</v>
      </c>
      <c r="AF28" s="130">
        <v>4.5</v>
      </c>
      <c r="AG28" s="130"/>
      <c r="AI28" s="3"/>
    </row>
    <row r="29" spans="1:35" x14ac:dyDescent="0.25">
      <c r="A29" s="123"/>
      <c r="B29" s="123"/>
      <c r="C29" s="123"/>
      <c r="D29" s="128"/>
      <c r="E29" s="123"/>
      <c r="F29" s="128"/>
      <c r="G29" s="149"/>
      <c r="H29" s="128"/>
      <c r="I29" s="405"/>
      <c r="J29" s="405"/>
      <c r="K29" s="405"/>
      <c r="L29" s="405"/>
      <c r="M29" s="405"/>
      <c r="N29" s="405"/>
      <c r="O29" s="405"/>
      <c r="P29" s="405"/>
      <c r="Q29" s="405"/>
      <c r="R29" s="405"/>
      <c r="S29" s="405"/>
      <c r="T29" s="405"/>
      <c r="U29" s="405"/>
      <c r="V29" s="405"/>
      <c r="W29" s="128"/>
      <c r="X29" s="128"/>
      <c r="Y29" s="128"/>
      <c r="Z29" s="128"/>
      <c r="AA29" s="178"/>
      <c r="AB29" s="178"/>
      <c r="AC29" s="178"/>
      <c r="AD29" s="178"/>
      <c r="AE29" s="178"/>
      <c r="AF29" s="178"/>
      <c r="AG29" s="149"/>
      <c r="AI29" s="3"/>
    </row>
    <row r="30" spans="1:35" x14ac:dyDescent="0.25">
      <c r="A30" s="123"/>
      <c r="B30" s="123"/>
      <c r="C30" s="147"/>
      <c r="D30" s="128"/>
      <c r="E30" s="123"/>
      <c r="F30" s="128"/>
      <c r="G30" s="149"/>
      <c r="H30" s="128"/>
      <c r="I30" s="3"/>
      <c r="J30" s="3"/>
      <c r="K30" s="3"/>
      <c r="L30" s="3"/>
      <c r="M30" s="3"/>
      <c r="N30" s="3"/>
      <c r="O30" s="123"/>
      <c r="P30" s="123"/>
      <c r="Q30" s="123"/>
      <c r="R30" s="123"/>
      <c r="S30" s="123"/>
      <c r="T30" s="123"/>
      <c r="U30" s="123"/>
      <c r="V30" s="123"/>
      <c r="W30" s="128"/>
      <c r="X30" s="128"/>
      <c r="Y30" s="128"/>
      <c r="Z30" s="128"/>
      <c r="AA30" s="178"/>
      <c r="AB30" s="178"/>
      <c r="AC30" s="178"/>
      <c r="AD30" s="178"/>
      <c r="AE30" s="179"/>
      <c r="AF30" s="179"/>
      <c r="AG30" s="180"/>
      <c r="AI30" s="3"/>
    </row>
    <row r="31" spans="1:35" x14ac:dyDescent="0.25">
      <c r="A31" s="181" t="s">
        <v>204</v>
      </c>
      <c r="B31" s="123"/>
      <c r="C31" s="123"/>
      <c r="D31" s="128"/>
      <c r="E31" s="123"/>
      <c r="F31" s="128"/>
      <c r="G31" s="477"/>
      <c r="H31" s="477"/>
      <c r="I31" s="477"/>
      <c r="J31" s="477"/>
      <c r="K31" s="477"/>
      <c r="L31" s="477"/>
      <c r="M31" s="477"/>
      <c r="N31" s="3"/>
      <c r="O31" s="123"/>
      <c r="P31" s="123"/>
      <c r="Q31" s="123"/>
      <c r="R31" s="123"/>
      <c r="S31" s="123"/>
      <c r="T31" s="123"/>
      <c r="U31" s="123"/>
      <c r="V31" s="123"/>
      <c r="W31" s="128"/>
      <c r="X31" s="128"/>
      <c r="Y31" s="128"/>
      <c r="Z31" s="128"/>
      <c r="AA31" s="178"/>
      <c r="AB31" s="178"/>
      <c r="AC31" s="178"/>
      <c r="AD31" s="178"/>
      <c r="AE31" s="178"/>
      <c r="AF31" s="178"/>
      <c r="AG31" s="149"/>
    </row>
    <row r="32" spans="1:35" x14ac:dyDescent="0.25">
      <c r="A32" s="182">
        <f ca="1">TODAY()</f>
        <v>44419</v>
      </c>
      <c r="B32" s="123"/>
      <c r="C32" s="123"/>
      <c r="D32" s="129"/>
      <c r="E32" s="123"/>
      <c r="F32" s="183"/>
      <c r="G32" s="184"/>
      <c r="H32" s="18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83"/>
      <c r="V32" s="183"/>
      <c r="W32" s="183"/>
      <c r="X32" s="183"/>
      <c r="Y32" s="183"/>
      <c r="Z32" s="183"/>
      <c r="AA32" s="178"/>
      <c r="AB32" s="178"/>
      <c r="AC32" s="178"/>
      <c r="AD32" s="178"/>
      <c r="AE32" s="178"/>
      <c r="AF32" s="178"/>
      <c r="AG32" s="149"/>
    </row>
    <row r="33" spans="1:33" x14ac:dyDescent="0.25">
      <c r="A33" s="147">
        <f ca="1">411+A36</f>
        <v>3421</v>
      </c>
      <c r="B33" s="123"/>
      <c r="C33" s="123"/>
      <c r="D33" s="128"/>
      <c r="E33" s="123"/>
      <c r="F33" s="183"/>
      <c r="G33" s="184"/>
      <c r="H33" s="18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83"/>
      <c r="W33" s="183"/>
      <c r="X33" s="183"/>
      <c r="Y33" s="183"/>
      <c r="Z33" s="183"/>
      <c r="AA33" s="185"/>
      <c r="AB33" s="185"/>
      <c r="AC33" s="178"/>
      <c r="AD33" s="178"/>
      <c r="AE33" s="178"/>
      <c r="AF33" s="178"/>
      <c r="AG33" s="149"/>
    </row>
    <row r="34" spans="1:33" x14ac:dyDescent="0.25">
      <c r="A34" s="123"/>
      <c r="B34" s="123"/>
      <c r="C34" s="123"/>
      <c r="D34" s="128"/>
      <c r="E34" s="123"/>
      <c r="F34" s="128"/>
      <c r="G34" s="149"/>
      <c r="H34" s="128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8"/>
      <c r="X34" s="128"/>
      <c r="Y34" s="128"/>
      <c r="Z34" s="128"/>
      <c r="AA34" s="178"/>
      <c r="AB34" s="178"/>
      <c r="AC34" s="178"/>
      <c r="AD34" s="178"/>
      <c r="AE34" s="178"/>
      <c r="AF34" s="178"/>
      <c r="AG34" s="149"/>
    </row>
    <row r="35" spans="1:33" x14ac:dyDescent="0.25">
      <c r="A35" s="186">
        <v>41409</v>
      </c>
      <c r="B35" s="123"/>
      <c r="C35" s="123"/>
      <c r="D35" s="128"/>
      <c r="E35" s="123"/>
      <c r="F35" s="128"/>
      <c r="G35" s="149"/>
      <c r="H35" s="128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8"/>
      <c r="X35" s="128"/>
      <c r="Y35" s="128"/>
      <c r="Z35" s="128"/>
      <c r="AA35" s="178"/>
      <c r="AB35" s="178"/>
      <c r="AC35" s="178"/>
      <c r="AD35" s="178"/>
      <c r="AE35" s="178"/>
      <c r="AF35" s="178"/>
      <c r="AG35" s="149"/>
    </row>
    <row r="36" spans="1:33" x14ac:dyDescent="0.25">
      <c r="A36" s="186">
        <f ca="1">A32-A35</f>
        <v>3010</v>
      </c>
      <c r="B36" s="123"/>
      <c r="C36" s="147"/>
      <c r="D36" s="128"/>
      <c r="E36" s="123"/>
      <c r="F36" s="127"/>
      <c r="G36" s="149"/>
      <c r="H36" s="128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8"/>
      <c r="X36" s="128"/>
      <c r="Y36" s="128"/>
      <c r="Z36" s="128"/>
      <c r="AA36" s="178"/>
      <c r="AB36" s="178"/>
      <c r="AC36" s="178"/>
      <c r="AD36" s="178"/>
      <c r="AE36" s="178"/>
      <c r="AF36" s="178"/>
      <c r="AG36" s="149"/>
    </row>
    <row r="37" spans="1:33" x14ac:dyDescent="0.25">
      <c r="A37" s="123"/>
      <c r="B37" s="123"/>
      <c r="C37" s="123"/>
      <c r="D37" s="128"/>
      <c r="E37" s="123"/>
      <c r="F37" s="128"/>
      <c r="G37" s="149"/>
      <c r="H37" s="128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8"/>
      <c r="X37" s="128"/>
      <c r="Y37" s="128"/>
      <c r="Z37" s="128"/>
      <c r="AA37" s="178"/>
      <c r="AB37" s="178"/>
      <c r="AC37" s="178"/>
      <c r="AD37" s="178"/>
      <c r="AE37" s="178"/>
      <c r="AF37" s="178"/>
      <c r="AG37" s="149"/>
    </row>
    <row r="38" spans="1:33" x14ac:dyDescent="0.25">
      <c r="A38" s="123"/>
      <c r="B38" s="123"/>
      <c r="C38" s="123"/>
      <c r="D38" s="128"/>
      <c r="E38" s="123"/>
      <c r="F38" s="128"/>
      <c r="G38" s="149"/>
      <c r="H38" s="128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8"/>
      <c r="X38" s="128"/>
      <c r="Y38" s="128"/>
      <c r="Z38" s="128"/>
      <c r="AA38" s="178"/>
      <c r="AB38" s="178"/>
      <c r="AC38" s="178"/>
      <c r="AD38" s="178"/>
      <c r="AE38" s="178"/>
      <c r="AF38" s="178"/>
      <c r="AG38" s="149"/>
    </row>
    <row r="39" spans="1:33" x14ac:dyDescent="0.25">
      <c r="A39" s="123"/>
      <c r="B39" s="123"/>
      <c r="C39" s="123"/>
      <c r="D39" s="128"/>
      <c r="E39" s="123"/>
      <c r="F39" s="128"/>
      <c r="G39" s="149"/>
      <c r="H39" s="128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8"/>
      <c r="X39" s="128"/>
      <c r="Y39" s="128"/>
      <c r="Z39" s="128"/>
      <c r="AA39" s="178"/>
      <c r="AB39" s="178"/>
      <c r="AC39" s="178"/>
      <c r="AD39" s="178"/>
      <c r="AE39" s="178"/>
      <c r="AF39" s="178"/>
      <c r="AG39" s="149"/>
    </row>
    <row r="79" spans="35:37" x14ac:dyDescent="0.25">
      <c r="AI79" s="3"/>
      <c r="AJ79" s="3"/>
      <c r="AK79" s="3"/>
    </row>
    <row r="80" spans="35:37" x14ac:dyDescent="0.25">
      <c r="AI80" s="3"/>
      <c r="AJ80" s="3"/>
      <c r="AK80" s="3"/>
    </row>
    <row r="81" spans="35:37" x14ac:dyDescent="0.25">
      <c r="AI81" s="3"/>
      <c r="AJ81" s="3"/>
      <c r="AK81" s="3"/>
    </row>
    <row r="82" spans="35:37" x14ac:dyDescent="0.25">
      <c r="AI82" s="3"/>
      <c r="AJ82" s="3"/>
      <c r="AK82" s="3"/>
    </row>
    <row r="83" spans="35:37" x14ac:dyDescent="0.25">
      <c r="AI83" s="3"/>
      <c r="AJ83" s="3"/>
      <c r="AK83" s="3"/>
    </row>
    <row r="84" spans="35:37" x14ac:dyDescent="0.25">
      <c r="AI84" s="3"/>
      <c r="AJ84" s="3"/>
      <c r="AK84" s="3"/>
    </row>
    <row r="85" spans="35:37" x14ac:dyDescent="0.25">
      <c r="AI85" s="3"/>
      <c r="AJ85" s="3"/>
      <c r="AK85" s="3"/>
    </row>
    <row r="86" spans="35:37" x14ac:dyDescent="0.25">
      <c r="AI86" s="3"/>
      <c r="AJ86" s="3"/>
      <c r="AK86" s="3"/>
    </row>
    <row r="87" spans="35:37" x14ac:dyDescent="0.25">
      <c r="AI87" s="3"/>
      <c r="AJ87" s="3"/>
      <c r="AK87" s="3"/>
    </row>
    <row r="88" spans="35:37" x14ac:dyDescent="0.25">
      <c r="AI88" s="3"/>
      <c r="AJ88" s="3"/>
      <c r="AK88" s="3"/>
    </row>
    <row r="89" spans="35:37" x14ac:dyDescent="0.25">
      <c r="AI89" s="3"/>
      <c r="AJ89" s="3"/>
      <c r="AK89" s="3"/>
    </row>
    <row r="90" spans="35:37" x14ac:dyDescent="0.25">
      <c r="AI90" s="3"/>
      <c r="AJ90" s="3"/>
      <c r="AK90" s="3"/>
    </row>
    <row r="91" spans="35:37" x14ac:dyDescent="0.25">
      <c r="AI91" s="3"/>
      <c r="AJ91" s="3"/>
      <c r="AK91" s="3"/>
    </row>
    <row r="92" spans="35:37" x14ac:dyDescent="0.25">
      <c r="AI92" s="3"/>
      <c r="AJ92" s="3"/>
      <c r="AK92" s="3"/>
    </row>
    <row r="93" spans="35:37" x14ac:dyDescent="0.25">
      <c r="AI93" s="3"/>
      <c r="AJ93" s="3"/>
      <c r="AK93" s="3"/>
    </row>
    <row r="94" spans="35:37" x14ac:dyDescent="0.25">
      <c r="AI94" s="3"/>
      <c r="AJ94" s="3"/>
      <c r="AK94" s="3"/>
    </row>
    <row r="95" spans="35:37" x14ac:dyDescent="0.25">
      <c r="AI95" s="3"/>
      <c r="AJ95" s="3"/>
      <c r="AK95" s="3"/>
    </row>
    <row r="96" spans="35:37" x14ac:dyDescent="0.25">
      <c r="AI96" s="3"/>
      <c r="AJ96" s="3"/>
      <c r="AK96" s="3"/>
    </row>
    <row r="97" spans="35:37" x14ac:dyDescent="0.25">
      <c r="AI97" s="3"/>
      <c r="AJ97" s="3"/>
      <c r="AK97" s="3"/>
    </row>
    <row r="98" spans="35:37" x14ac:dyDescent="0.25">
      <c r="AI98" s="3"/>
      <c r="AJ98" s="3"/>
      <c r="AK98" s="3"/>
    </row>
    <row r="99" spans="35:37" x14ac:dyDescent="0.25">
      <c r="AI99" s="3"/>
      <c r="AJ99" s="3"/>
      <c r="AK99" s="3"/>
    </row>
    <row r="100" spans="35:37" x14ac:dyDescent="0.25">
      <c r="AI100" s="3"/>
      <c r="AJ100" s="3"/>
      <c r="AK100" s="3"/>
    </row>
    <row r="101" spans="35:37" x14ac:dyDescent="0.25">
      <c r="AI101" s="3"/>
      <c r="AJ101" s="3"/>
      <c r="AK101" s="3"/>
    </row>
    <row r="102" spans="35:37" x14ac:dyDescent="0.25">
      <c r="AI102" s="3"/>
      <c r="AJ102" s="3"/>
      <c r="AK102" s="3"/>
    </row>
    <row r="103" spans="35:37" x14ac:dyDescent="0.25">
      <c r="AI103" s="3"/>
      <c r="AJ103" s="3"/>
      <c r="AK103" s="3"/>
    </row>
    <row r="104" spans="35:37" x14ac:dyDescent="0.25">
      <c r="AI104" s="3"/>
      <c r="AJ104" s="3"/>
      <c r="AK104" s="3"/>
    </row>
    <row r="105" spans="35:37" x14ac:dyDescent="0.25">
      <c r="AI105" s="3"/>
      <c r="AJ105" s="3"/>
      <c r="AK105" s="3"/>
    </row>
    <row r="106" spans="35:37" x14ac:dyDescent="0.25">
      <c r="AI106" s="3"/>
      <c r="AJ106" s="3"/>
      <c r="AK106" s="3"/>
    </row>
    <row r="107" spans="35:37" x14ac:dyDescent="0.25">
      <c r="AI107" s="3"/>
      <c r="AJ107" s="3"/>
      <c r="AK107" s="3"/>
    </row>
    <row r="108" spans="35:37" x14ac:dyDescent="0.25">
      <c r="AI108" s="3"/>
      <c r="AJ108" s="3"/>
      <c r="AK108" s="3"/>
    </row>
    <row r="109" spans="35:37" x14ac:dyDescent="0.25">
      <c r="AI109" s="3"/>
      <c r="AJ109" s="3"/>
      <c r="AK109" s="3"/>
    </row>
    <row r="110" spans="35:37" x14ac:dyDescent="0.25">
      <c r="AI110" s="3"/>
      <c r="AJ110" s="3"/>
      <c r="AK110" s="3"/>
    </row>
    <row r="111" spans="35:37" x14ac:dyDescent="0.25">
      <c r="AI111" s="3"/>
      <c r="AJ111" s="3"/>
      <c r="AK111" s="3"/>
    </row>
    <row r="112" spans="35:37" x14ac:dyDescent="0.25">
      <c r="AI112" s="3"/>
      <c r="AJ112" s="3"/>
      <c r="AK112" s="3"/>
    </row>
    <row r="113" spans="35:37" x14ac:dyDescent="0.25">
      <c r="AI113" s="3"/>
      <c r="AJ113" s="3"/>
      <c r="AK113" s="3"/>
    </row>
    <row r="114" spans="35:37" x14ac:dyDescent="0.25">
      <c r="AI114" s="3"/>
      <c r="AJ114" s="3"/>
      <c r="AK114" s="3"/>
    </row>
    <row r="115" spans="35:37" x14ac:dyDescent="0.25">
      <c r="AI115" s="3"/>
      <c r="AJ115" s="3"/>
      <c r="AK115" s="3"/>
    </row>
    <row r="116" spans="35:37" x14ac:dyDescent="0.25">
      <c r="AI116" s="3"/>
      <c r="AJ116" s="3"/>
      <c r="AK116" s="3"/>
    </row>
    <row r="117" spans="35:37" x14ac:dyDescent="0.25">
      <c r="AI117" s="3"/>
      <c r="AJ117" s="3"/>
      <c r="AK117" s="3"/>
    </row>
    <row r="118" spans="35:37" x14ac:dyDescent="0.25">
      <c r="AI118" s="3"/>
      <c r="AJ118" s="3"/>
      <c r="AK118" s="3"/>
    </row>
    <row r="119" spans="35:37" x14ac:dyDescent="0.25">
      <c r="AI119" s="3"/>
      <c r="AJ119" s="3"/>
      <c r="AK119" s="3"/>
    </row>
    <row r="120" spans="35:37" x14ac:dyDescent="0.25">
      <c r="AI120" s="3"/>
      <c r="AJ120" s="3"/>
      <c r="AK120" s="3"/>
    </row>
  </sheetData>
  <mergeCells count="1">
    <mergeCell ref="G31:M31"/>
  </mergeCells>
  <conditionalFormatting sqref="E23:E28 E14:E20 E8:E10 E4">
    <cfRule type="cellIs" dxfId="51" priority="2" stopIfTrue="1" operator="lessThan">
      <formula>1</formula>
    </cfRule>
  </conditionalFormatting>
  <conditionalFormatting sqref="E23:E28 E14:E20 E8:E10 E4">
    <cfRule type="cellIs" dxfId="50" priority="3" stopIfTrue="1" operator="between">
      <formula>1</formula>
      <formula>50</formula>
    </cfRule>
  </conditionalFormatting>
  <conditionalFormatting sqref="E23:E28 E14:E20 E8:E10 E4">
    <cfRule type="cellIs" dxfId="49" priority="4" stopIfTrue="1" operator="greaterThan">
      <formula>50</formula>
    </cfRule>
  </conditionalFormatting>
  <conditionalFormatting sqref="AA23:AF28 AA14:AF20 AA8:AF10 AA4:AF4">
    <cfRule type="cellIs" dxfId="48" priority="5" stopIfTrue="1" operator="between">
      <formula>4</formula>
      <formula>5</formula>
    </cfRule>
  </conditionalFormatting>
  <conditionalFormatting sqref="AA23:AF28 AA14:AF20 AA8:AF10 AA4:AF4">
    <cfRule type="cellIs" dxfId="47" priority="6" stopIfTrue="1" operator="lessThan">
      <formula>4</formula>
    </cfRule>
  </conditionalFormatting>
  <conditionalFormatting sqref="AA23:AF28 AA14:AF20 AA8:AF10 AA4:AF4">
    <cfRule type="cellIs" dxfId="46" priority="7" stopIfTrue="1" operator="greaterThan">
      <formula>5</formula>
    </cfRule>
  </conditionalFormatting>
  <conditionalFormatting sqref="AA16:AF16">
    <cfRule type="cellIs" dxfId="45" priority="22" stopIfTrue="1" operator="between">
      <formula>4</formula>
      <formula>5</formula>
    </cfRule>
  </conditionalFormatting>
  <conditionalFormatting sqref="AA16:AF16">
    <cfRule type="cellIs" dxfId="44" priority="23" stopIfTrue="1" operator="lessThan">
      <formula>4</formula>
    </cfRule>
  </conditionalFormatting>
  <conditionalFormatting sqref="AA16:AF16">
    <cfRule type="cellIs" dxfId="43" priority="24" stopIfTrue="1" operator="greaterThan">
      <formula>5</formula>
    </cfRule>
  </conditionalFormatting>
  <conditionalFormatting sqref="AA8:AF8">
    <cfRule type="cellIs" dxfId="42" priority="25" stopIfTrue="1" operator="between">
      <formula>4</formula>
      <formula>5</formula>
    </cfRule>
  </conditionalFormatting>
  <conditionalFormatting sqref="AA8:AF8">
    <cfRule type="cellIs" dxfId="41" priority="26" stopIfTrue="1" operator="lessThan">
      <formula>4</formula>
    </cfRule>
  </conditionalFormatting>
  <conditionalFormatting sqref="AA8:AF8">
    <cfRule type="cellIs" dxfId="40" priority="27" stopIfTrue="1" operator="greaterThan">
      <formula>5</formula>
    </cfRule>
  </conditionalFormatting>
  <conditionalFormatting sqref="E3:E4">
    <cfRule type="cellIs" dxfId="39" priority="28" stopIfTrue="1" operator="lessThan">
      <formula>1</formula>
    </cfRule>
  </conditionalFormatting>
  <conditionalFormatting sqref="E3:E4">
    <cfRule type="cellIs" dxfId="38" priority="29" stopIfTrue="1" operator="between">
      <formula>1</formula>
      <formula>50</formula>
    </cfRule>
  </conditionalFormatting>
  <conditionalFormatting sqref="E3:E4">
    <cfRule type="cellIs" dxfId="37" priority="30" stopIfTrue="1" operator="greaterThan">
      <formula>50</formula>
    </cfRule>
  </conditionalFormatting>
  <conditionalFormatting sqref="AA3:AF4">
    <cfRule type="cellIs" dxfId="36" priority="31" stopIfTrue="1" operator="between">
      <formula>4</formula>
      <formula>5</formula>
    </cfRule>
  </conditionalFormatting>
  <conditionalFormatting sqref="AA3:AF4">
    <cfRule type="cellIs" dxfId="35" priority="32" stopIfTrue="1" operator="lessThan">
      <formula>4</formula>
    </cfRule>
  </conditionalFormatting>
  <conditionalFormatting sqref="AA3:AF4">
    <cfRule type="cellIs" dxfId="34" priority="33" stopIfTrue="1" operator="greaterThan">
      <formula>5</formula>
    </cfRule>
  </conditionalFormatting>
  <conditionalFormatting sqref="W14:X20 W23:X28 W8:X10 W3:X4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V20 I23:V28 I8:V10 I3:V4">
    <cfRule type="colorScale" priority="24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ignoredErrors>
    <ignoredError sqref="G19:G20 G3" numberStoredAsText="1"/>
  </ignoredErrors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60B5-5C01-40EE-B490-7F75B04C6567}">
  <sheetPr>
    <tabColor rgb="FFFABF8F"/>
  </sheetPr>
  <dimension ref="A1:AC53"/>
  <sheetViews>
    <sheetView topLeftCell="A16" zoomScale="80" zoomScaleNormal="80" workbookViewId="0">
      <pane xSplit="12" topLeftCell="M1" activePane="topRight" state="frozen"/>
      <selection pane="topRight" activeCell="O47" sqref="O47"/>
    </sheetView>
  </sheetViews>
  <sheetFormatPr baseColWidth="10" defaultRowHeight="15" x14ac:dyDescent="0.25"/>
  <cols>
    <col min="1" max="1" width="0.85546875" style="284" customWidth="1"/>
    <col min="2" max="2" width="24.42578125" bestFit="1" customWidth="1"/>
    <col min="3" max="3" width="20.5703125" bestFit="1" customWidth="1"/>
    <col min="4" max="4" width="10.85546875" bestFit="1" customWidth="1"/>
    <col min="5" max="5" width="2.7109375" customWidth="1"/>
    <col min="6" max="6" width="22.5703125" bestFit="1" customWidth="1"/>
    <col min="7" max="7" width="20.5703125" bestFit="1" customWidth="1"/>
    <col min="8" max="8" width="10.85546875" bestFit="1" customWidth="1"/>
    <col min="9" max="9" width="3.140625" customWidth="1"/>
    <col min="10" max="10" width="23" style="284" bestFit="1" customWidth="1"/>
    <col min="11" max="11" width="15.5703125" style="284" bestFit="1" customWidth="1"/>
    <col min="12" max="12" width="18" style="320" bestFit="1" customWidth="1"/>
    <col min="13" max="14" width="15.5703125" style="284" bestFit="1" customWidth="1"/>
    <col min="15" max="15" width="14.28515625" style="284" bestFit="1" customWidth="1"/>
    <col min="16" max="16" width="19" style="284" bestFit="1" customWidth="1"/>
    <col min="17" max="28" width="14.28515625" style="284" bestFit="1" customWidth="1"/>
    <col min="29" max="29" width="18.7109375" customWidth="1"/>
  </cols>
  <sheetData>
    <row r="1" spans="1:29" x14ac:dyDescent="0.25">
      <c r="J1" s="315"/>
      <c r="K1" s="315"/>
      <c r="L1" s="318"/>
      <c r="M1" s="316">
        <v>44319</v>
      </c>
      <c r="N1" s="316">
        <f t="shared" ref="N1:AB1" si="0">M1+7</f>
        <v>44326</v>
      </c>
      <c r="O1" s="316">
        <f t="shared" si="0"/>
        <v>44333</v>
      </c>
      <c r="P1" s="316">
        <f t="shared" si="0"/>
        <v>44340</v>
      </c>
      <c r="Q1" s="316">
        <f t="shared" si="0"/>
        <v>44347</v>
      </c>
      <c r="R1" s="316">
        <f t="shared" si="0"/>
        <v>44354</v>
      </c>
      <c r="S1" s="316">
        <f t="shared" si="0"/>
        <v>44361</v>
      </c>
      <c r="T1" s="316">
        <f t="shared" si="0"/>
        <v>44368</v>
      </c>
      <c r="U1" s="316">
        <f t="shared" si="0"/>
        <v>44375</v>
      </c>
      <c r="V1" s="316">
        <f t="shared" si="0"/>
        <v>44382</v>
      </c>
      <c r="W1" s="316">
        <f t="shared" si="0"/>
        <v>44389</v>
      </c>
      <c r="X1" s="316">
        <f t="shared" si="0"/>
        <v>44396</v>
      </c>
      <c r="Y1" s="316">
        <f t="shared" si="0"/>
        <v>44403</v>
      </c>
      <c r="Z1" s="316">
        <f t="shared" si="0"/>
        <v>44410</v>
      </c>
      <c r="AA1" s="316">
        <f t="shared" si="0"/>
        <v>44417</v>
      </c>
      <c r="AB1" s="316">
        <f t="shared" si="0"/>
        <v>44424</v>
      </c>
    </row>
    <row r="2" spans="1:29" ht="21" x14ac:dyDescent="0.35">
      <c r="B2" s="347" t="s">
        <v>342</v>
      </c>
      <c r="C2" s="348">
        <f>C3+C7+C10+C15+C25</f>
        <v>73039006</v>
      </c>
      <c r="D2" s="349">
        <f t="shared" ref="D2:D6" si="1">C2/$C$2</f>
        <v>1</v>
      </c>
      <c r="E2" s="350"/>
      <c r="F2" s="351" t="s">
        <v>343</v>
      </c>
      <c r="G2" s="352">
        <f>G3+G7+G15</f>
        <v>73039006</v>
      </c>
      <c r="H2" s="353">
        <f>G2/$G$2</f>
        <v>1</v>
      </c>
      <c r="J2" s="457">
        <f>G2-C2</f>
        <v>0</v>
      </c>
      <c r="K2" s="293"/>
      <c r="L2" s="293" t="s">
        <v>811</v>
      </c>
      <c r="M2" s="357" t="s">
        <v>326</v>
      </c>
      <c r="N2" s="358" t="s">
        <v>327</v>
      </c>
      <c r="O2" s="358" t="s">
        <v>328</v>
      </c>
      <c r="P2" s="358" t="s">
        <v>329</v>
      </c>
      <c r="Q2" s="358" t="s">
        <v>330</v>
      </c>
      <c r="R2" s="358" t="s">
        <v>331</v>
      </c>
      <c r="S2" s="358" t="s">
        <v>332</v>
      </c>
      <c r="T2" s="358" t="s">
        <v>333</v>
      </c>
      <c r="U2" s="358" t="s">
        <v>334</v>
      </c>
      <c r="V2" s="358" t="s">
        <v>335</v>
      </c>
      <c r="W2" s="358" t="s">
        <v>336</v>
      </c>
      <c r="X2" s="358" t="s">
        <v>337</v>
      </c>
      <c r="Y2" s="358" t="s">
        <v>338</v>
      </c>
      <c r="Z2" s="358" t="s">
        <v>339</v>
      </c>
      <c r="AA2" s="358" t="s">
        <v>340</v>
      </c>
      <c r="AB2" s="359" t="s">
        <v>341</v>
      </c>
      <c r="AC2" s="296">
        <f>C2-G2</f>
        <v>0</v>
      </c>
    </row>
    <row r="3" spans="1:29" ht="21" x14ac:dyDescent="0.35">
      <c r="B3" s="330" t="s">
        <v>345</v>
      </c>
      <c r="C3" s="331">
        <f>C4+C5+C6</f>
        <v>7325805</v>
      </c>
      <c r="D3" s="332">
        <f t="shared" si="1"/>
        <v>0.10029990002875998</v>
      </c>
      <c r="E3" s="287"/>
      <c r="F3" s="344" t="s">
        <v>346</v>
      </c>
      <c r="G3" s="331">
        <f>G4+G5</f>
        <v>64565734</v>
      </c>
      <c r="H3" s="332">
        <f>G3/$G$2</f>
        <v>0.88398976842592847</v>
      </c>
      <c r="J3" s="285"/>
      <c r="K3" s="294"/>
      <c r="L3" s="293" t="s">
        <v>344</v>
      </c>
      <c r="M3" s="360">
        <v>3066</v>
      </c>
      <c r="N3" s="361">
        <f t="shared" ref="N3:AB3" si="2">M3+M11/30</f>
        <v>3068</v>
      </c>
      <c r="O3" s="361">
        <f t="shared" si="2"/>
        <v>3072</v>
      </c>
      <c r="P3" s="361">
        <f t="shared" si="2"/>
        <v>3074</v>
      </c>
      <c r="Q3" s="361">
        <f t="shared" si="2"/>
        <v>3074</v>
      </c>
      <c r="R3" s="361">
        <f t="shared" si="2"/>
        <v>3074</v>
      </c>
      <c r="S3" s="361">
        <f t="shared" si="2"/>
        <v>3074</v>
      </c>
      <c r="T3" s="361">
        <f t="shared" si="2"/>
        <v>3074</v>
      </c>
      <c r="U3" s="361">
        <f t="shared" si="2"/>
        <v>3074</v>
      </c>
      <c r="V3" s="361">
        <f t="shared" si="2"/>
        <v>3074</v>
      </c>
      <c r="W3" s="361">
        <f t="shared" si="2"/>
        <v>3074</v>
      </c>
      <c r="X3" s="361">
        <f t="shared" si="2"/>
        <v>3074</v>
      </c>
      <c r="Y3" s="361">
        <f t="shared" si="2"/>
        <v>3074</v>
      </c>
      <c r="Z3" s="361">
        <f t="shared" si="2"/>
        <v>3074</v>
      </c>
      <c r="AA3" s="361">
        <f t="shared" si="2"/>
        <v>3074</v>
      </c>
      <c r="AB3" s="362">
        <f t="shared" si="2"/>
        <v>3074</v>
      </c>
    </row>
    <row r="4" spans="1:29" s="322" customFormat="1" ht="18.75" customHeight="1" x14ac:dyDescent="0.3">
      <c r="A4" s="321"/>
      <c r="B4" s="333" t="s">
        <v>348</v>
      </c>
      <c r="C4" s="334">
        <f>(45*36877)+(75*13921)+(90*11448)+(300*1414)+L17</f>
        <v>4531045</v>
      </c>
      <c r="D4" s="335">
        <f t="shared" si="1"/>
        <v>6.2035961989953696E-2</v>
      </c>
      <c r="E4" s="340"/>
      <c r="F4" s="345" t="s">
        <v>349</v>
      </c>
      <c r="G4" s="334">
        <v>300000</v>
      </c>
      <c r="H4" s="335">
        <f>G4/$G$2</f>
        <v>4.1073943421409652E-3</v>
      </c>
      <c r="J4" s="385" t="s">
        <v>775</v>
      </c>
      <c r="K4" s="386"/>
      <c r="L4" s="387">
        <v>0</v>
      </c>
      <c r="M4" s="363">
        <f>L4</f>
        <v>0</v>
      </c>
      <c r="N4" s="364">
        <f>M26</f>
        <v>0</v>
      </c>
      <c r="O4" s="364">
        <f t="shared" ref="O4:AB4" si="3">N26</f>
        <v>0</v>
      </c>
      <c r="P4" s="364">
        <f t="shared" si="3"/>
        <v>0</v>
      </c>
      <c r="Q4" s="364">
        <f t="shared" si="3"/>
        <v>0</v>
      </c>
      <c r="R4" s="364">
        <f t="shared" si="3"/>
        <v>0</v>
      </c>
      <c r="S4" s="364">
        <f t="shared" si="3"/>
        <v>0</v>
      </c>
      <c r="T4" s="364">
        <f t="shared" si="3"/>
        <v>0</v>
      </c>
      <c r="U4" s="364">
        <f t="shared" si="3"/>
        <v>0</v>
      </c>
      <c r="V4" s="364">
        <f t="shared" si="3"/>
        <v>0</v>
      </c>
      <c r="W4" s="364">
        <f t="shared" si="3"/>
        <v>0</v>
      </c>
      <c r="X4" s="364">
        <f t="shared" si="3"/>
        <v>0</v>
      </c>
      <c r="Y4" s="364">
        <f t="shared" si="3"/>
        <v>0</v>
      </c>
      <c r="Z4" s="364">
        <f t="shared" si="3"/>
        <v>0</v>
      </c>
      <c r="AA4" s="364">
        <f t="shared" si="3"/>
        <v>0</v>
      </c>
      <c r="AB4" s="433">
        <f t="shared" si="3"/>
        <v>0</v>
      </c>
    </row>
    <row r="5" spans="1:29" s="322" customFormat="1" ht="18.75" customHeight="1" x14ac:dyDescent="0.3">
      <c r="A5" s="321"/>
      <c r="B5" s="333" t="s">
        <v>220</v>
      </c>
      <c r="C5" s="334">
        <f>1475000+500+1100000+L21</f>
        <v>2794760</v>
      </c>
      <c r="D5" s="335">
        <f t="shared" si="1"/>
        <v>3.8263938038806275E-2</v>
      </c>
      <c r="E5" s="340"/>
      <c r="F5" s="345" t="s">
        <v>807</v>
      </c>
      <c r="G5" s="334">
        <v>64265734</v>
      </c>
      <c r="H5" s="335">
        <f>G5/$G$2</f>
        <v>0.87988237408378756</v>
      </c>
      <c r="J5" s="383" t="s">
        <v>347</v>
      </c>
      <c r="K5" s="384"/>
      <c r="L5" s="388">
        <v>4148243</v>
      </c>
      <c r="M5" s="365">
        <f>L5</f>
        <v>4148243</v>
      </c>
      <c r="N5" s="366">
        <f t="shared" ref="N5:AB5" si="4">M27</f>
        <v>3830879</v>
      </c>
      <c r="O5" s="366">
        <f t="shared" si="4"/>
        <v>3560500</v>
      </c>
      <c r="P5" s="366">
        <f t="shared" si="4"/>
        <v>3448338</v>
      </c>
      <c r="Q5" s="366">
        <f t="shared" si="4"/>
        <v>3182419</v>
      </c>
      <c r="R5" s="366">
        <f t="shared" si="4"/>
        <v>3498371</v>
      </c>
      <c r="S5" s="366">
        <f t="shared" si="4"/>
        <v>3816763</v>
      </c>
      <c r="T5" s="366">
        <f t="shared" si="4"/>
        <v>3511375</v>
      </c>
      <c r="U5" s="366">
        <f t="shared" si="4"/>
        <v>3832207</v>
      </c>
      <c r="V5" s="366">
        <f t="shared" si="4"/>
        <v>3529259</v>
      </c>
      <c r="W5" s="366">
        <f t="shared" si="4"/>
        <v>3851311</v>
      </c>
      <c r="X5" s="366">
        <f t="shared" si="4"/>
        <v>3548363</v>
      </c>
      <c r="Y5" s="366">
        <f t="shared" si="4"/>
        <v>3870415</v>
      </c>
      <c r="Z5" s="366">
        <f t="shared" si="4"/>
        <v>3567467</v>
      </c>
      <c r="AA5" s="366">
        <f t="shared" si="4"/>
        <v>3889519</v>
      </c>
      <c r="AB5" s="367">
        <f t="shared" si="4"/>
        <v>3601571</v>
      </c>
    </row>
    <row r="6" spans="1:29" ht="18.75" customHeight="1" x14ac:dyDescent="0.35">
      <c r="B6" s="333" t="s">
        <v>798</v>
      </c>
      <c r="C6" s="334">
        <v>0</v>
      </c>
      <c r="D6" s="335">
        <f t="shared" si="1"/>
        <v>0</v>
      </c>
      <c r="E6" s="287"/>
      <c r="F6" s="344"/>
      <c r="G6" s="331"/>
      <c r="H6" s="332"/>
      <c r="J6" s="370" t="s">
        <v>350</v>
      </c>
      <c r="K6" s="355" t="s">
        <v>350</v>
      </c>
      <c r="L6" s="389">
        <f t="shared" ref="L6:L25" si="5">SUM(M6:AB6)</f>
        <v>4970428</v>
      </c>
      <c r="M6" s="397">
        <f>22254+26657</f>
        <v>48911</v>
      </c>
      <c r="N6" s="449">
        <v>85965</v>
      </c>
      <c r="O6" s="449">
        <f>636696+173856</f>
        <v>810552</v>
      </c>
      <c r="P6" s="435">
        <v>65000</v>
      </c>
      <c r="Q6" s="435">
        <v>640000</v>
      </c>
      <c r="R6" s="435">
        <f>65000+575000</f>
        <v>640000</v>
      </c>
      <c r="S6" s="435">
        <v>15000</v>
      </c>
      <c r="T6" s="435">
        <f>65000+575000</f>
        <v>640000</v>
      </c>
      <c r="U6" s="435">
        <v>15000</v>
      </c>
      <c r="V6" s="435">
        <f>65000+575000</f>
        <v>640000</v>
      </c>
      <c r="W6" s="435">
        <v>15000</v>
      </c>
      <c r="X6" s="435">
        <f>65000+575000</f>
        <v>640000</v>
      </c>
      <c r="Y6" s="435">
        <v>15000</v>
      </c>
      <c r="Z6" s="435">
        <f>65000+575000</f>
        <v>640000</v>
      </c>
      <c r="AA6" s="435">
        <v>30000</v>
      </c>
      <c r="AB6" s="436">
        <v>30000</v>
      </c>
    </row>
    <row r="7" spans="1:29" ht="18.75" customHeight="1" x14ac:dyDescent="0.35">
      <c r="B7" s="330" t="s">
        <v>799</v>
      </c>
      <c r="C7" s="331">
        <f>C9</f>
        <v>0</v>
      </c>
      <c r="D7" s="332">
        <f>C7/C2</f>
        <v>0</v>
      </c>
      <c r="E7" s="287"/>
      <c r="F7" s="344" t="s">
        <v>879</v>
      </c>
      <c r="G7" s="331">
        <f>G8+G9+G10</f>
        <v>-85240</v>
      </c>
      <c r="H7" s="332">
        <f>G7/$G$2</f>
        <v>-1.1670476457469863E-3</v>
      </c>
      <c r="J7" s="370" t="s">
        <v>351</v>
      </c>
      <c r="K7" s="355" t="s">
        <v>351</v>
      </c>
      <c r="L7" s="389">
        <f t="shared" si="5"/>
        <v>3173749</v>
      </c>
      <c r="M7" s="398">
        <v>146709</v>
      </c>
      <c r="N7" s="450">
        <v>174830</v>
      </c>
      <c r="O7" s="450">
        <v>191295</v>
      </c>
      <c r="P7" s="437">
        <v>200175</v>
      </c>
      <c r="Q7" s="437">
        <v>200080</v>
      </c>
      <c r="R7" s="437">
        <v>202520</v>
      </c>
      <c r="S7" s="437">
        <v>203740</v>
      </c>
      <c r="T7" s="437">
        <v>204960</v>
      </c>
      <c r="U7" s="437">
        <v>206180</v>
      </c>
      <c r="V7" s="437">
        <v>206180</v>
      </c>
      <c r="W7" s="437">
        <v>206180</v>
      </c>
      <c r="X7" s="437">
        <v>206180</v>
      </c>
      <c r="Y7" s="437">
        <v>206180</v>
      </c>
      <c r="Z7" s="437">
        <v>206180</v>
      </c>
      <c r="AA7" s="437">
        <v>206180</v>
      </c>
      <c r="AB7" s="438">
        <v>206180</v>
      </c>
    </row>
    <row r="8" spans="1:29" ht="18.75" customHeight="1" x14ac:dyDescent="0.3">
      <c r="B8" s="333" t="s">
        <v>800</v>
      </c>
      <c r="C8" s="334">
        <f>L4</f>
        <v>0</v>
      </c>
      <c r="D8" s="287"/>
      <c r="E8" s="287"/>
      <c r="F8" s="345" t="s">
        <v>865</v>
      </c>
      <c r="G8" s="334">
        <f>C6+C14+C16+C17+C18+C19+C20-G16-G17-G18-G19-G20+64915</f>
        <v>-85240</v>
      </c>
      <c r="H8" s="335">
        <f>G8/$G$2</f>
        <v>-1.1670476457469863E-3</v>
      </c>
      <c r="J8" s="370" t="s">
        <v>352</v>
      </c>
      <c r="K8" s="355" t="s">
        <v>353</v>
      </c>
      <c r="L8" s="389">
        <f t="shared" si="5"/>
        <v>0</v>
      </c>
      <c r="M8" s="397">
        <v>0</v>
      </c>
      <c r="N8" s="449">
        <v>0</v>
      </c>
      <c r="O8" s="449">
        <v>0</v>
      </c>
      <c r="P8" s="435">
        <v>0</v>
      </c>
      <c r="Q8" s="435">
        <v>0</v>
      </c>
      <c r="R8" s="435">
        <v>0</v>
      </c>
      <c r="S8" s="435">
        <v>0</v>
      </c>
      <c r="T8" s="435">
        <v>0</v>
      </c>
      <c r="U8" s="435">
        <v>0</v>
      </c>
      <c r="V8" s="435">
        <v>0</v>
      </c>
      <c r="W8" s="435">
        <v>0</v>
      </c>
      <c r="X8" s="435">
        <v>0</v>
      </c>
      <c r="Y8" s="435">
        <v>0</v>
      </c>
      <c r="Z8" s="435">
        <v>0</v>
      </c>
      <c r="AA8" s="435">
        <v>0</v>
      </c>
      <c r="AB8" s="436">
        <v>0</v>
      </c>
    </row>
    <row r="9" spans="1:29" ht="18.75" customHeight="1" x14ac:dyDescent="0.3">
      <c r="B9" s="333" t="s">
        <v>801</v>
      </c>
      <c r="C9" s="336">
        <f>L26</f>
        <v>0</v>
      </c>
      <c r="D9" s="335">
        <f>C9/C2</f>
        <v>0</v>
      </c>
      <c r="E9" s="287"/>
      <c r="F9" s="345" t="s">
        <v>876</v>
      </c>
      <c r="G9" s="336">
        <f>C24</f>
        <v>0</v>
      </c>
      <c r="H9" s="335">
        <f>G9/$G$2</f>
        <v>0</v>
      </c>
      <c r="J9" s="370"/>
      <c r="K9" s="355" t="s">
        <v>354</v>
      </c>
      <c r="L9" s="389">
        <f t="shared" si="5"/>
        <v>0</v>
      </c>
      <c r="M9" s="397">
        <v>0</v>
      </c>
      <c r="N9" s="449">
        <v>0</v>
      </c>
      <c r="O9" s="449">
        <v>0</v>
      </c>
      <c r="P9" s="435">
        <v>0</v>
      </c>
      <c r="Q9" s="435">
        <v>0</v>
      </c>
      <c r="R9" s="435">
        <v>0</v>
      </c>
      <c r="S9" s="435">
        <v>0</v>
      </c>
      <c r="T9" s="435">
        <v>0</v>
      </c>
      <c r="U9" s="435">
        <v>0</v>
      </c>
      <c r="V9" s="435">
        <v>0</v>
      </c>
      <c r="W9" s="435">
        <v>0</v>
      </c>
      <c r="X9" s="435">
        <v>0</v>
      </c>
      <c r="Y9" s="435">
        <v>0</v>
      </c>
      <c r="Z9" s="435">
        <v>0</v>
      </c>
      <c r="AA9" s="435">
        <v>0</v>
      </c>
      <c r="AB9" s="436">
        <v>0</v>
      </c>
    </row>
    <row r="10" spans="1:29" ht="18.75" customHeight="1" x14ac:dyDescent="0.35">
      <c r="B10" s="337" t="s">
        <v>360</v>
      </c>
      <c r="C10" s="331">
        <f>C12+C14</f>
        <v>53899001</v>
      </c>
      <c r="D10" s="332">
        <f>C10/$C$2</f>
        <v>0.73794817251483402</v>
      </c>
      <c r="E10" s="287"/>
      <c r="F10" s="345" t="s">
        <v>877</v>
      </c>
      <c r="G10" s="331">
        <v>0</v>
      </c>
      <c r="H10" s="335">
        <f>G10/$G$2</f>
        <v>0</v>
      </c>
      <c r="J10" s="370" t="s">
        <v>355</v>
      </c>
      <c r="K10" s="355" t="s">
        <v>355</v>
      </c>
      <c r="L10" s="389">
        <f t="shared" si="5"/>
        <v>171720</v>
      </c>
      <c r="M10" s="398">
        <v>18000</v>
      </c>
      <c r="N10" s="450">
        <v>0</v>
      </c>
      <c r="O10" s="450">
        <v>9720</v>
      </c>
      <c r="P10" s="437">
        <v>0</v>
      </c>
      <c r="Q10" s="437">
        <v>12000</v>
      </c>
      <c r="R10" s="437">
        <f t="shared" ref="R10:AB10" si="6">Q10</f>
        <v>12000</v>
      </c>
      <c r="S10" s="437">
        <f t="shared" si="6"/>
        <v>12000</v>
      </c>
      <c r="T10" s="437">
        <f t="shared" si="6"/>
        <v>12000</v>
      </c>
      <c r="U10" s="437">
        <f t="shared" si="6"/>
        <v>12000</v>
      </c>
      <c r="V10" s="437">
        <f t="shared" si="6"/>
        <v>12000</v>
      </c>
      <c r="W10" s="437">
        <f>V10</f>
        <v>12000</v>
      </c>
      <c r="X10" s="437">
        <f t="shared" si="6"/>
        <v>12000</v>
      </c>
      <c r="Y10" s="437">
        <f t="shared" si="6"/>
        <v>12000</v>
      </c>
      <c r="Z10" s="437">
        <f t="shared" si="6"/>
        <v>12000</v>
      </c>
      <c r="AA10" s="437">
        <f t="shared" si="6"/>
        <v>12000</v>
      </c>
      <c r="AB10" s="438">
        <f t="shared" si="6"/>
        <v>12000</v>
      </c>
    </row>
    <row r="11" spans="1:29" ht="18.75" customHeight="1" x14ac:dyDescent="0.3">
      <c r="B11" s="333" t="s">
        <v>802</v>
      </c>
      <c r="C11" s="338">
        <f>K31</f>
        <v>61401112</v>
      </c>
      <c r="D11" s="335"/>
      <c r="E11" s="287"/>
      <c r="F11" s="345"/>
      <c r="G11" s="338"/>
      <c r="H11" s="287"/>
      <c r="J11" s="478" t="s">
        <v>356</v>
      </c>
      <c r="K11" s="355" t="s">
        <v>357</v>
      </c>
      <c r="L11" s="389">
        <f t="shared" si="5"/>
        <v>92460</v>
      </c>
      <c r="M11" s="398">
        <v>60</v>
      </c>
      <c r="N11" s="450">
        <v>120</v>
      </c>
      <c r="O11" s="450">
        <v>60</v>
      </c>
      <c r="P11" s="437">
        <v>0</v>
      </c>
      <c r="Q11" s="437">
        <v>0</v>
      </c>
      <c r="R11" s="437">
        <v>0</v>
      </c>
      <c r="S11" s="437">
        <v>0</v>
      </c>
      <c r="T11" s="437">
        <v>0</v>
      </c>
      <c r="U11" s="437">
        <v>0</v>
      </c>
      <c r="V11" s="437">
        <v>0</v>
      </c>
      <c r="W11" s="437">
        <v>0</v>
      </c>
      <c r="X11" s="437">
        <v>0</v>
      </c>
      <c r="Y11" s="437">
        <v>0</v>
      </c>
      <c r="Z11" s="437">
        <v>0</v>
      </c>
      <c r="AA11" s="437">
        <v>0</v>
      </c>
      <c r="AB11" s="438">
        <f>30*AB3</f>
        <v>92220</v>
      </c>
    </row>
    <row r="12" spans="1:29" ht="18.75" customHeight="1" x14ac:dyDescent="0.3">
      <c r="B12" s="333" t="s">
        <v>870</v>
      </c>
      <c r="C12" s="334">
        <f>N31</f>
        <v>53899001</v>
      </c>
      <c r="D12" s="335">
        <f>C12/C2</f>
        <v>0.73794817251483402</v>
      </c>
      <c r="E12" s="287"/>
      <c r="F12" s="345"/>
      <c r="G12" s="338"/>
      <c r="H12" s="287"/>
      <c r="J12" s="478"/>
      <c r="K12" s="355" t="s">
        <v>358</v>
      </c>
      <c r="L12" s="389">
        <f t="shared" si="5"/>
        <v>0</v>
      </c>
      <c r="M12" s="398">
        <v>0</v>
      </c>
      <c r="N12" s="450">
        <v>0</v>
      </c>
      <c r="O12" s="450">
        <v>0</v>
      </c>
      <c r="P12" s="437">
        <v>0</v>
      </c>
      <c r="Q12" s="437">
        <v>0</v>
      </c>
      <c r="R12" s="437">
        <v>0</v>
      </c>
      <c r="S12" s="437">
        <v>0</v>
      </c>
      <c r="T12" s="437">
        <v>0</v>
      </c>
      <c r="U12" s="437">
        <v>0</v>
      </c>
      <c r="V12" s="437">
        <v>0</v>
      </c>
      <c r="W12" s="437">
        <v>0</v>
      </c>
      <c r="X12" s="437">
        <v>0</v>
      </c>
      <c r="Y12" s="437">
        <v>0</v>
      </c>
      <c r="Z12" s="437">
        <v>0</v>
      </c>
      <c r="AA12" s="437">
        <v>0</v>
      </c>
      <c r="AB12" s="438">
        <v>0</v>
      </c>
    </row>
    <row r="13" spans="1:29" ht="18.75" customHeight="1" x14ac:dyDescent="0.3">
      <c r="B13" s="333" t="s">
        <v>871</v>
      </c>
      <c r="C13" s="338">
        <f>P31</f>
        <v>53899001</v>
      </c>
      <c r="D13" s="335"/>
      <c r="E13" s="287"/>
      <c r="F13" s="345"/>
      <c r="G13" s="338"/>
      <c r="H13" s="287"/>
      <c r="J13" s="479"/>
      <c r="K13" s="382" t="s">
        <v>762</v>
      </c>
      <c r="L13" s="390">
        <v>0</v>
      </c>
      <c r="M13" s="399">
        <v>0</v>
      </c>
      <c r="N13" s="451">
        <v>0</v>
      </c>
      <c r="O13" s="451">
        <f t="shared" ref="O13:AB13" si="7">N13</f>
        <v>0</v>
      </c>
      <c r="P13" s="439">
        <f t="shared" si="7"/>
        <v>0</v>
      </c>
      <c r="Q13" s="439">
        <f t="shared" si="7"/>
        <v>0</v>
      </c>
      <c r="R13" s="439">
        <f t="shared" si="7"/>
        <v>0</v>
      </c>
      <c r="S13" s="439">
        <f t="shared" si="7"/>
        <v>0</v>
      </c>
      <c r="T13" s="439">
        <f t="shared" si="7"/>
        <v>0</v>
      </c>
      <c r="U13" s="439">
        <f t="shared" si="7"/>
        <v>0</v>
      </c>
      <c r="V13" s="439">
        <f t="shared" si="7"/>
        <v>0</v>
      </c>
      <c r="W13" s="439">
        <f t="shared" si="7"/>
        <v>0</v>
      </c>
      <c r="X13" s="439">
        <f t="shared" si="7"/>
        <v>0</v>
      </c>
      <c r="Y13" s="439">
        <f t="shared" si="7"/>
        <v>0</v>
      </c>
      <c r="Z13" s="439">
        <f t="shared" si="7"/>
        <v>0</v>
      </c>
      <c r="AA13" s="439">
        <f t="shared" si="7"/>
        <v>0</v>
      </c>
      <c r="AB13" s="440">
        <f t="shared" si="7"/>
        <v>0</v>
      </c>
    </row>
    <row r="14" spans="1:29" s="322" customFormat="1" ht="18.75" customHeight="1" x14ac:dyDescent="0.35">
      <c r="A14" s="321"/>
      <c r="B14" s="333" t="s">
        <v>778</v>
      </c>
      <c r="C14" s="338">
        <f>O31*-1</f>
        <v>0</v>
      </c>
      <c r="D14" s="335">
        <f t="shared" ref="D14:D27" si="8">C14/$C$2</f>
        <v>0</v>
      </c>
      <c r="E14" s="287"/>
      <c r="F14" s="346"/>
      <c r="G14" s="331"/>
      <c r="H14" s="332"/>
      <c r="J14" s="380" t="s">
        <v>359</v>
      </c>
      <c r="K14" s="381"/>
      <c r="L14" s="391">
        <f t="shared" si="5"/>
        <v>8408357</v>
      </c>
      <c r="M14" s="368">
        <f t="shared" ref="M14:AB14" si="9">SUM(M6:M13)</f>
        <v>213680</v>
      </c>
      <c r="N14" s="452">
        <f t="shared" si="9"/>
        <v>260915</v>
      </c>
      <c r="O14" s="452">
        <f t="shared" si="9"/>
        <v>1011627</v>
      </c>
      <c r="P14" s="441">
        <f t="shared" si="9"/>
        <v>265175</v>
      </c>
      <c r="Q14" s="441">
        <f t="shared" si="9"/>
        <v>852080</v>
      </c>
      <c r="R14" s="441">
        <f t="shared" si="9"/>
        <v>854520</v>
      </c>
      <c r="S14" s="441">
        <f t="shared" si="9"/>
        <v>230740</v>
      </c>
      <c r="T14" s="441">
        <f t="shared" si="9"/>
        <v>856960</v>
      </c>
      <c r="U14" s="441">
        <f t="shared" si="9"/>
        <v>233180</v>
      </c>
      <c r="V14" s="441">
        <f t="shared" si="9"/>
        <v>858180</v>
      </c>
      <c r="W14" s="441">
        <f t="shared" si="9"/>
        <v>233180</v>
      </c>
      <c r="X14" s="441">
        <f t="shared" si="9"/>
        <v>858180</v>
      </c>
      <c r="Y14" s="441">
        <f t="shared" si="9"/>
        <v>233180</v>
      </c>
      <c r="Z14" s="441">
        <f t="shared" si="9"/>
        <v>858180</v>
      </c>
      <c r="AA14" s="441">
        <f t="shared" si="9"/>
        <v>248180</v>
      </c>
      <c r="AB14" s="442">
        <f t="shared" si="9"/>
        <v>340400</v>
      </c>
    </row>
    <row r="15" spans="1:29" ht="18.75" customHeight="1" x14ac:dyDescent="0.35">
      <c r="B15" s="337" t="s">
        <v>880</v>
      </c>
      <c r="C15" s="331">
        <f>C16+C17+C18+C19+C20+C21+C22+C23+C24</f>
        <v>8408357</v>
      </c>
      <c r="D15" s="332">
        <f t="shared" si="8"/>
        <v>0.11512145989500459</v>
      </c>
      <c r="E15" s="287"/>
      <c r="F15" s="337" t="s">
        <v>881</v>
      </c>
      <c r="G15" s="331">
        <f>G16+G17+G18+G19+G20+G21+G22+G23</f>
        <v>8558512</v>
      </c>
      <c r="H15" s="332">
        <f t="shared" ref="H15:H22" si="10">G15/$G$2</f>
        <v>0.11717727921981852</v>
      </c>
      <c r="J15" s="371" t="s">
        <v>212</v>
      </c>
      <c r="K15" s="356" t="str">
        <f>J15</f>
        <v>Sueldos</v>
      </c>
      <c r="L15" s="392">
        <f t="shared" si="5"/>
        <v>6404968</v>
      </c>
      <c r="M15" s="400">
        <v>398598</v>
      </c>
      <c r="N15" s="453">
        <v>398848</v>
      </c>
      <c r="O15" s="453">
        <v>399098</v>
      </c>
      <c r="P15" s="443">
        <v>400648</v>
      </c>
      <c r="Q15" s="443">
        <f t="shared" ref="Q15:AB15" si="11">P15</f>
        <v>400648</v>
      </c>
      <c r="R15" s="443">
        <f t="shared" si="11"/>
        <v>400648</v>
      </c>
      <c r="S15" s="443">
        <f t="shared" si="11"/>
        <v>400648</v>
      </c>
      <c r="T15" s="443">
        <f t="shared" si="11"/>
        <v>400648</v>
      </c>
      <c r="U15" s="443">
        <f t="shared" si="11"/>
        <v>400648</v>
      </c>
      <c r="V15" s="443">
        <f t="shared" si="11"/>
        <v>400648</v>
      </c>
      <c r="W15" s="443">
        <f t="shared" si="11"/>
        <v>400648</v>
      </c>
      <c r="X15" s="443">
        <f t="shared" si="11"/>
        <v>400648</v>
      </c>
      <c r="Y15" s="443">
        <f t="shared" si="11"/>
        <v>400648</v>
      </c>
      <c r="Z15" s="443">
        <f t="shared" si="11"/>
        <v>400648</v>
      </c>
      <c r="AA15" s="443">
        <f t="shared" si="11"/>
        <v>400648</v>
      </c>
      <c r="AB15" s="444">
        <f t="shared" si="11"/>
        <v>400648</v>
      </c>
    </row>
    <row r="16" spans="1:29" ht="18.75" customHeight="1" x14ac:dyDescent="0.3">
      <c r="B16" s="333" t="s">
        <v>344</v>
      </c>
      <c r="C16" s="334">
        <f>L11</f>
        <v>92460</v>
      </c>
      <c r="D16" s="335">
        <f t="shared" si="8"/>
        <v>1.2658989362478454E-3</v>
      </c>
      <c r="E16" s="287"/>
      <c r="F16" s="345" t="s">
        <v>808</v>
      </c>
      <c r="G16" s="336">
        <f>L16</f>
        <v>727064</v>
      </c>
      <c r="H16" s="335">
        <f t="shared" si="10"/>
        <v>9.9544618665812629E-3</v>
      </c>
      <c r="J16" s="371" t="s">
        <v>361</v>
      </c>
      <c r="K16" s="356" t="str">
        <f>J16</f>
        <v xml:space="preserve">Mantenimiento </v>
      </c>
      <c r="L16" s="392">
        <f t="shared" si="5"/>
        <v>727064</v>
      </c>
      <c r="M16" s="400">
        <v>43166</v>
      </c>
      <c r="N16" s="453">
        <f>M16</f>
        <v>43166</v>
      </c>
      <c r="O16" s="453">
        <f t="shared" ref="O16:AB16" si="12">N16</f>
        <v>43166</v>
      </c>
      <c r="P16" s="443">
        <v>43166</v>
      </c>
      <c r="Q16" s="443">
        <v>46200</v>
      </c>
      <c r="R16" s="443">
        <f>Q16</f>
        <v>46200</v>
      </c>
      <c r="S16" s="443">
        <f t="shared" si="12"/>
        <v>46200</v>
      </c>
      <c r="T16" s="443">
        <f t="shared" si="12"/>
        <v>46200</v>
      </c>
      <c r="U16" s="443">
        <f t="shared" si="12"/>
        <v>46200</v>
      </c>
      <c r="V16" s="443">
        <f t="shared" si="12"/>
        <v>46200</v>
      </c>
      <c r="W16" s="443">
        <f t="shared" si="12"/>
        <v>46200</v>
      </c>
      <c r="X16" s="443">
        <f t="shared" si="12"/>
        <v>46200</v>
      </c>
      <c r="Y16" s="443">
        <f t="shared" si="12"/>
        <v>46200</v>
      </c>
      <c r="Z16" s="443">
        <f t="shared" si="12"/>
        <v>46200</v>
      </c>
      <c r="AA16" s="443">
        <f t="shared" si="12"/>
        <v>46200</v>
      </c>
      <c r="AB16" s="444">
        <f t="shared" si="12"/>
        <v>46200</v>
      </c>
    </row>
    <row r="17" spans="1:28" ht="18.75" customHeight="1" x14ac:dyDescent="0.3">
      <c r="B17" s="333" t="s">
        <v>358</v>
      </c>
      <c r="C17" s="334">
        <f>L12</f>
        <v>0</v>
      </c>
      <c r="D17" s="335">
        <f t="shared" si="8"/>
        <v>0</v>
      </c>
      <c r="E17" s="287"/>
      <c r="F17" s="345" t="s">
        <v>371</v>
      </c>
      <c r="G17" s="336">
        <f>L15</f>
        <v>6404968</v>
      </c>
      <c r="H17" s="335">
        <f t="shared" si="10"/>
        <v>8.7692431082646446E-2</v>
      </c>
      <c r="J17" s="371" t="s">
        <v>362</v>
      </c>
      <c r="K17" s="356" t="s">
        <v>348</v>
      </c>
      <c r="L17" s="392">
        <f t="shared" si="5"/>
        <v>372985</v>
      </c>
      <c r="M17" s="400">
        <v>0</v>
      </c>
      <c r="N17" s="453">
        <v>0</v>
      </c>
      <c r="O17" s="453">
        <v>372985</v>
      </c>
      <c r="P17" s="443">
        <v>0</v>
      </c>
      <c r="Q17" s="443">
        <v>0</v>
      </c>
      <c r="R17" s="443">
        <v>0</v>
      </c>
      <c r="S17" s="443">
        <v>0</v>
      </c>
      <c r="T17" s="443">
        <v>0</v>
      </c>
      <c r="U17" s="443">
        <v>0</v>
      </c>
      <c r="V17" s="443">
        <v>0</v>
      </c>
      <c r="W17" s="443">
        <v>0</v>
      </c>
      <c r="X17" s="443">
        <v>0</v>
      </c>
      <c r="Y17" s="443">
        <v>0</v>
      </c>
      <c r="Z17" s="443">
        <v>0</v>
      </c>
      <c r="AA17" s="443">
        <v>0</v>
      </c>
      <c r="AB17" s="444">
        <v>0</v>
      </c>
    </row>
    <row r="18" spans="1:28" ht="18.75" customHeight="1" x14ac:dyDescent="0.3">
      <c r="B18" s="333" t="s">
        <v>350</v>
      </c>
      <c r="C18" s="334">
        <f>L6</f>
        <v>4970428</v>
      </c>
      <c r="D18" s="335">
        <f t="shared" si="8"/>
        <v>6.8051692817396772E-2</v>
      </c>
      <c r="E18" s="287"/>
      <c r="F18" s="345" t="s">
        <v>363</v>
      </c>
      <c r="G18" s="336">
        <f>L18</f>
        <v>1044480</v>
      </c>
      <c r="H18" s="335">
        <f t="shared" si="10"/>
        <v>1.4300304141597983E-2</v>
      </c>
      <c r="J18" s="371" t="s">
        <v>363</v>
      </c>
      <c r="K18" s="356" t="str">
        <f>J18</f>
        <v>Empleados</v>
      </c>
      <c r="L18" s="392">
        <f t="shared" si="5"/>
        <v>1044480</v>
      </c>
      <c r="M18" s="400">
        <v>65280</v>
      </c>
      <c r="N18" s="453">
        <f t="shared" ref="N18:AB24" si="13">M18</f>
        <v>65280</v>
      </c>
      <c r="O18" s="453">
        <f t="shared" si="13"/>
        <v>65280</v>
      </c>
      <c r="P18" s="443">
        <f t="shared" si="13"/>
        <v>65280</v>
      </c>
      <c r="Q18" s="443">
        <f t="shared" si="13"/>
        <v>65280</v>
      </c>
      <c r="R18" s="443">
        <f t="shared" si="13"/>
        <v>65280</v>
      </c>
      <c r="S18" s="443">
        <f t="shared" si="13"/>
        <v>65280</v>
      </c>
      <c r="T18" s="443">
        <f t="shared" si="13"/>
        <v>65280</v>
      </c>
      <c r="U18" s="443">
        <f t="shared" si="13"/>
        <v>65280</v>
      </c>
      <c r="V18" s="443">
        <f t="shared" si="13"/>
        <v>65280</v>
      </c>
      <c r="W18" s="443">
        <f t="shared" si="13"/>
        <v>65280</v>
      </c>
      <c r="X18" s="443">
        <f t="shared" si="13"/>
        <v>65280</v>
      </c>
      <c r="Y18" s="443">
        <f t="shared" si="13"/>
        <v>65280</v>
      </c>
      <c r="Z18" s="443">
        <f t="shared" si="13"/>
        <v>65280</v>
      </c>
      <c r="AA18" s="443">
        <f t="shared" si="13"/>
        <v>65280</v>
      </c>
      <c r="AB18" s="444">
        <f t="shared" si="13"/>
        <v>65280</v>
      </c>
    </row>
    <row r="19" spans="1:28" ht="18.75" customHeight="1" x14ac:dyDescent="0.3">
      <c r="B19" s="333" t="s">
        <v>351</v>
      </c>
      <c r="C19" s="334">
        <f>L7</f>
        <v>3173749</v>
      </c>
      <c r="D19" s="335">
        <f t="shared" si="8"/>
        <v>4.3452795619918487E-2</v>
      </c>
      <c r="E19" s="340"/>
      <c r="F19" s="345" t="s">
        <v>365</v>
      </c>
      <c r="G19" s="339">
        <f>L19</f>
        <v>320000</v>
      </c>
      <c r="H19" s="335">
        <f t="shared" si="10"/>
        <v>4.3812206316170294E-3</v>
      </c>
      <c r="J19" s="371" t="s">
        <v>365</v>
      </c>
      <c r="K19" s="356" t="str">
        <f>J19</f>
        <v>Juveniles</v>
      </c>
      <c r="L19" s="392">
        <f t="shared" si="5"/>
        <v>320000</v>
      </c>
      <c r="M19" s="400">
        <v>20000</v>
      </c>
      <c r="N19" s="453">
        <f t="shared" si="13"/>
        <v>20000</v>
      </c>
      <c r="O19" s="453">
        <f t="shared" si="13"/>
        <v>20000</v>
      </c>
      <c r="P19" s="443">
        <f t="shared" si="13"/>
        <v>20000</v>
      </c>
      <c r="Q19" s="443">
        <f t="shared" si="13"/>
        <v>20000</v>
      </c>
      <c r="R19" s="443">
        <f t="shared" si="13"/>
        <v>20000</v>
      </c>
      <c r="S19" s="443">
        <f t="shared" si="13"/>
        <v>20000</v>
      </c>
      <c r="T19" s="443">
        <f t="shared" si="13"/>
        <v>20000</v>
      </c>
      <c r="U19" s="443">
        <f t="shared" si="13"/>
        <v>20000</v>
      </c>
      <c r="V19" s="443">
        <f t="shared" si="13"/>
        <v>20000</v>
      </c>
      <c r="W19" s="443">
        <f t="shared" si="13"/>
        <v>20000</v>
      </c>
      <c r="X19" s="443">
        <f t="shared" si="13"/>
        <v>20000</v>
      </c>
      <c r="Y19" s="443">
        <f t="shared" si="13"/>
        <v>20000</v>
      </c>
      <c r="Z19" s="443">
        <f t="shared" si="13"/>
        <v>20000</v>
      </c>
      <c r="AA19" s="443">
        <f t="shared" si="13"/>
        <v>20000</v>
      </c>
      <c r="AB19" s="444">
        <f t="shared" si="13"/>
        <v>20000</v>
      </c>
    </row>
    <row r="20" spans="1:28" ht="18.75" customHeight="1" x14ac:dyDescent="0.3">
      <c r="B20" s="333" t="s">
        <v>355</v>
      </c>
      <c r="C20" s="334">
        <f>L10</f>
        <v>171720</v>
      </c>
      <c r="D20" s="335">
        <f t="shared" si="8"/>
        <v>2.3510725214414886E-3</v>
      </c>
      <c r="E20" s="340"/>
      <c r="F20" s="314" t="s">
        <v>367</v>
      </c>
      <c r="G20" s="339">
        <f>L22</f>
        <v>62000</v>
      </c>
      <c r="H20" s="335">
        <f t="shared" si="10"/>
        <v>8.4886149737579942E-4</v>
      </c>
      <c r="J20" s="371" t="s">
        <v>366</v>
      </c>
      <c r="K20" s="356" t="s">
        <v>364</v>
      </c>
      <c r="L20" s="392">
        <f t="shared" si="5"/>
        <v>0</v>
      </c>
      <c r="M20" s="400">
        <v>0</v>
      </c>
      <c r="N20" s="453">
        <v>0</v>
      </c>
      <c r="O20" s="453">
        <f t="shared" si="13"/>
        <v>0</v>
      </c>
      <c r="P20" s="443">
        <f t="shared" si="13"/>
        <v>0</v>
      </c>
      <c r="Q20" s="443">
        <f t="shared" si="13"/>
        <v>0</v>
      </c>
      <c r="R20" s="443">
        <f t="shared" si="13"/>
        <v>0</v>
      </c>
      <c r="S20" s="443">
        <f t="shared" si="13"/>
        <v>0</v>
      </c>
      <c r="T20" s="443">
        <v>0</v>
      </c>
      <c r="U20" s="443">
        <v>0</v>
      </c>
      <c r="V20" s="443">
        <v>0</v>
      </c>
      <c r="W20" s="443">
        <v>0</v>
      </c>
      <c r="X20" s="443">
        <f t="shared" si="13"/>
        <v>0</v>
      </c>
      <c r="Y20" s="443">
        <f t="shared" si="13"/>
        <v>0</v>
      </c>
      <c r="Z20" s="443">
        <v>0</v>
      </c>
      <c r="AA20" s="443">
        <v>0</v>
      </c>
      <c r="AB20" s="444">
        <v>0</v>
      </c>
    </row>
    <row r="21" spans="1:28" ht="18.75" customHeight="1" x14ac:dyDescent="0.3">
      <c r="B21" s="333" t="s">
        <v>805</v>
      </c>
      <c r="C21" s="334">
        <f>L13</f>
        <v>0</v>
      </c>
      <c r="D21" s="335">
        <f t="shared" si="8"/>
        <v>0</v>
      </c>
      <c r="E21" s="340"/>
      <c r="F21" s="345" t="s">
        <v>368</v>
      </c>
      <c r="G21" s="331">
        <f>L24</f>
        <v>0</v>
      </c>
      <c r="H21" s="335">
        <f t="shared" si="10"/>
        <v>0</v>
      </c>
      <c r="J21" s="480" t="s">
        <v>356</v>
      </c>
      <c r="K21" s="356" t="s">
        <v>220</v>
      </c>
      <c r="L21" s="392">
        <f t="shared" si="5"/>
        <v>219260</v>
      </c>
      <c r="M21" s="400">
        <v>0</v>
      </c>
      <c r="N21" s="453">
        <f>M21</f>
        <v>0</v>
      </c>
      <c r="O21" s="453">
        <v>219260</v>
      </c>
      <c r="P21" s="443">
        <v>0</v>
      </c>
      <c r="Q21" s="443">
        <f t="shared" si="13"/>
        <v>0</v>
      </c>
      <c r="R21" s="443">
        <f t="shared" si="13"/>
        <v>0</v>
      </c>
      <c r="S21" s="443">
        <f t="shared" si="13"/>
        <v>0</v>
      </c>
      <c r="T21" s="443">
        <f t="shared" si="13"/>
        <v>0</v>
      </c>
      <c r="U21" s="443">
        <f t="shared" si="13"/>
        <v>0</v>
      </c>
      <c r="V21" s="443">
        <f t="shared" si="13"/>
        <v>0</v>
      </c>
      <c r="W21" s="443">
        <f t="shared" si="13"/>
        <v>0</v>
      </c>
      <c r="X21" s="443">
        <f t="shared" si="13"/>
        <v>0</v>
      </c>
      <c r="Y21" s="443">
        <f t="shared" si="13"/>
        <v>0</v>
      </c>
      <c r="Z21" s="443">
        <v>0</v>
      </c>
      <c r="AA21" s="443">
        <f t="shared" ref="AA21:AB24" si="14">Z21</f>
        <v>0</v>
      </c>
      <c r="AB21" s="444">
        <f t="shared" si="14"/>
        <v>0</v>
      </c>
    </row>
    <row r="22" spans="1:28" ht="18.75" customHeight="1" x14ac:dyDescent="0.3">
      <c r="B22" s="333" t="s">
        <v>806</v>
      </c>
      <c r="C22" s="334">
        <f>L23*-1</f>
        <v>0</v>
      </c>
      <c r="D22" s="335">
        <f t="shared" si="8"/>
        <v>0</v>
      </c>
      <c r="E22" s="287"/>
      <c r="F22" s="333" t="s">
        <v>804</v>
      </c>
      <c r="G22" s="338">
        <f>L20</f>
        <v>0</v>
      </c>
      <c r="H22" s="335">
        <f t="shared" si="10"/>
        <v>0</v>
      </c>
      <c r="J22" s="480"/>
      <c r="K22" s="356" t="s">
        <v>367</v>
      </c>
      <c r="L22" s="392">
        <f t="shared" si="5"/>
        <v>62000</v>
      </c>
      <c r="M22" s="400">
        <v>4000</v>
      </c>
      <c r="N22" s="453">
        <v>4000</v>
      </c>
      <c r="O22" s="453">
        <v>4000</v>
      </c>
      <c r="P22" s="443">
        <v>2000</v>
      </c>
      <c r="Q22" s="443">
        <v>4000</v>
      </c>
      <c r="R22" s="443">
        <f t="shared" si="13"/>
        <v>4000</v>
      </c>
      <c r="S22" s="443">
        <f t="shared" si="13"/>
        <v>4000</v>
      </c>
      <c r="T22" s="443">
        <f t="shared" si="13"/>
        <v>4000</v>
      </c>
      <c r="U22" s="443">
        <f t="shared" si="13"/>
        <v>4000</v>
      </c>
      <c r="V22" s="443">
        <f t="shared" si="13"/>
        <v>4000</v>
      </c>
      <c r="W22" s="443">
        <f t="shared" si="13"/>
        <v>4000</v>
      </c>
      <c r="X22" s="443">
        <f t="shared" si="13"/>
        <v>4000</v>
      </c>
      <c r="Y22" s="443">
        <f t="shared" si="13"/>
        <v>4000</v>
      </c>
      <c r="Z22" s="443">
        <f>Y22</f>
        <v>4000</v>
      </c>
      <c r="AA22" s="443">
        <f t="shared" si="14"/>
        <v>4000</v>
      </c>
      <c r="AB22" s="444">
        <f t="shared" si="14"/>
        <v>4000</v>
      </c>
    </row>
    <row r="23" spans="1:28" ht="18.75" customHeight="1" x14ac:dyDescent="0.3">
      <c r="B23" s="333" t="s">
        <v>803</v>
      </c>
      <c r="C23" s="334">
        <f>L8</f>
        <v>0</v>
      </c>
      <c r="D23" s="335">
        <f t="shared" si="8"/>
        <v>0</v>
      </c>
      <c r="E23" s="287"/>
      <c r="F23" s="345"/>
      <c r="G23" s="336"/>
      <c r="H23" s="335"/>
      <c r="J23" s="480"/>
      <c r="K23" s="356" t="s">
        <v>762</v>
      </c>
      <c r="L23" s="392">
        <f t="shared" si="5"/>
        <v>0</v>
      </c>
      <c r="M23" s="400">
        <v>0</v>
      </c>
      <c r="N23" s="453">
        <f>M23</f>
        <v>0</v>
      </c>
      <c r="O23" s="453">
        <f t="shared" si="13"/>
        <v>0</v>
      </c>
      <c r="P23" s="443">
        <f t="shared" si="13"/>
        <v>0</v>
      </c>
      <c r="Q23" s="443">
        <f t="shared" si="13"/>
        <v>0</v>
      </c>
      <c r="R23" s="443">
        <f t="shared" si="13"/>
        <v>0</v>
      </c>
      <c r="S23" s="443">
        <f t="shared" si="13"/>
        <v>0</v>
      </c>
      <c r="T23" s="443">
        <f t="shared" si="13"/>
        <v>0</v>
      </c>
      <c r="U23" s="443">
        <f t="shared" si="13"/>
        <v>0</v>
      </c>
      <c r="V23" s="443">
        <f t="shared" si="13"/>
        <v>0</v>
      </c>
      <c r="W23" s="443">
        <f t="shared" si="13"/>
        <v>0</v>
      </c>
      <c r="X23" s="443">
        <f t="shared" si="13"/>
        <v>0</v>
      </c>
      <c r="Y23" s="443">
        <f t="shared" si="13"/>
        <v>0</v>
      </c>
      <c r="Z23" s="443">
        <v>0</v>
      </c>
      <c r="AA23" s="443">
        <f t="shared" si="14"/>
        <v>0</v>
      </c>
      <c r="AB23" s="444">
        <f t="shared" si="14"/>
        <v>0</v>
      </c>
    </row>
    <row r="24" spans="1:28" ht="18.75" customHeight="1" x14ac:dyDescent="0.3">
      <c r="B24" s="333" t="s">
        <v>875</v>
      </c>
      <c r="C24" s="334">
        <f>L9</f>
        <v>0</v>
      </c>
      <c r="D24" s="335">
        <f t="shared" si="8"/>
        <v>0</v>
      </c>
      <c r="E24" s="287"/>
      <c r="F24" s="333"/>
      <c r="G24" s="336"/>
      <c r="H24" s="335"/>
      <c r="J24" s="378" t="s">
        <v>368</v>
      </c>
      <c r="K24" s="379" t="str">
        <f>J24</f>
        <v>Intereses</v>
      </c>
      <c r="L24" s="393">
        <f t="shared" si="5"/>
        <v>0</v>
      </c>
      <c r="M24" s="401">
        <v>0</v>
      </c>
      <c r="N24" s="454">
        <f>M24</f>
        <v>0</v>
      </c>
      <c r="O24" s="454">
        <f t="shared" si="13"/>
        <v>0</v>
      </c>
      <c r="P24" s="445">
        <f t="shared" si="13"/>
        <v>0</v>
      </c>
      <c r="Q24" s="445">
        <f t="shared" si="13"/>
        <v>0</v>
      </c>
      <c r="R24" s="445">
        <f t="shared" si="13"/>
        <v>0</v>
      </c>
      <c r="S24" s="445">
        <f t="shared" si="13"/>
        <v>0</v>
      </c>
      <c r="T24" s="445">
        <f t="shared" si="13"/>
        <v>0</v>
      </c>
      <c r="U24" s="445">
        <f t="shared" si="13"/>
        <v>0</v>
      </c>
      <c r="V24" s="445">
        <f t="shared" si="13"/>
        <v>0</v>
      </c>
      <c r="W24" s="445">
        <f t="shared" si="13"/>
        <v>0</v>
      </c>
      <c r="X24" s="445">
        <f t="shared" si="13"/>
        <v>0</v>
      </c>
      <c r="Y24" s="445">
        <f t="shared" si="13"/>
        <v>0</v>
      </c>
      <c r="Z24" s="445">
        <v>0</v>
      </c>
      <c r="AA24" s="445">
        <f t="shared" si="14"/>
        <v>0</v>
      </c>
      <c r="AB24" s="446">
        <f t="shared" si="14"/>
        <v>0</v>
      </c>
    </row>
    <row r="25" spans="1:28" s="322" customFormat="1" ht="18.75" customHeight="1" x14ac:dyDescent="0.35">
      <c r="A25" s="321"/>
      <c r="B25" s="337" t="s">
        <v>873</v>
      </c>
      <c r="C25" s="331">
        <f>C27</f>
        <v>3405843</v>
      </c>
      <c r="D25" s="332">
        <f t="shared" si="8"/>
        <v>4.6630467561401372E-2</v>
      </c>
      <c r="E25" s="287"/>
      <c r="F25" s="345"/>
      <c r="G25" s="336"/>
      <c r="H25" s="287"/>
      <c r="J25" s="376" t="s">
        <v>369</v>
      </c>
      <c r="K25" s="377"/>
      <c r="L25" s="394">
        <f t="shared" si="5"/>
        <v>9150757</v>
      </c>
      <c r="M25" s="369">
        <f t="shared" ref="M25:AB25" si="15">SUM(M15:M24)</f>
        <v>531044</v>
      </c>
      <c r="N25" s="455">
        <f t="shared" si="15"/>
        <v>531294</v>
      </c>
      <c r="O25" s="455">
        <f t="shared" si="15"/>
        <v>1123789</v>
      </c>
      <c r="P25" s="447">
        <f t="shared" si="15"/>
        <v>531094</v>
      </c>
      <c r="Q25" s="447">
        <f t="shared" si="15"/>
        <v>536128</v>
      </c>
      <c r="R25" s="447">
        <f t="shared" si="15"/>
        <v>536128</v>
      </c>
      <c r="S25" s="447">
        <f t="shared" si="15"/>
        <v>536128</v>
      </c>
      <c r="T25" s="447">
        <f t="shared" si="15"/>
        <v>536128</v>
      </c>
      <c r="U25" s="447">
        <f t="shared" si="15"/>
        <v>536128</v>
      </c>
      <c r="V25" s="447">
        <f t="shared" si="15"/>
        <v>536128</v>
      </c>
      <c r="W25" s="447">
        <f t="shared" si="15"/>
        <v>536128</v>
      </c>
      <c r="X25" s="447">
        <f t="shared" si="15"/>
        <v>536128</v>
      </c>
      <c r="Y25" s="447">
        <f t="shared" si="15"/>
        <v>536128</v>
      </c>
      <c r="Z25" s="447">
        <f t="shared" si="15"/>
        <v>536128</v>
      </c>
      <c r="AA25" s="447">
        <f t="shared" si="15"/>
        <v>536128</v>
      </c>
      <c r="AB25" s="448">
        <f t="shared" si="15"/>
        <v>536128</v>
      </c>
    </row>
    <row r="26" spans="1:28" s="322" customFormat="1" ht="18.75" customHeight="1" x14ac:dyDescent="0.3">
      <c r="A26" s="321"/>
      <c r="B26" s="333" t="s">
        <v>872</v>
      </c>
      <c r="C26" s="338">
        <f>L5</f>
        <v>4148243</v>
      </c>
      <c r="D26" s="335"/>
      <c r="E26" s="287"/>
      <c r="F26" s="345"/>
      <c r="G26" s="336"/>
      <c r="H26" s="287"/>
      <c r="J26" s="374" t="s">
        <v>776</v>
      </c>
      <c r="K26" s="375"/>
      <c r="L26" s="395">
        <f>L4-L13+L23</f>
        <v>0</v>
      </c>
      <c r="M26" s="363">
        <f>M4-M13+M23</f>
        <v>0</v>
      </c>
      <c r="N26" s="363">
        <f t="shared" ref="N26:AB26" si="16">N4-N13+N23</f>
        <v>0</v>
      </c>
      <c r="O26" s="363">
        <f t="shared" si="16"/>
        <v>0</v>
      </c>
      <c r="P26" s="363">
        <f t="shared" si="16"/>
        <v>0</v>
      </c>
      <c r="Q26" s="363">
        <f t="shared" si="16"/>
        <v>0</v>
      </c>
      <c r="R26" s="363">
        <f t="shared" si="16"/>
        <v>0</v>
      </c>
      <c r="S26" s="363">
        <f t="shared" si="16"/>
        <v>0</v>
      </c>
      <c r="T26" s="363">
        <f t="shared" si="16"/>
        <v>0</v>
      </c>
      <c r="U26" s="363">
        <f t="shared" si="16"/>
        <v>0</v>
      </c>
      <c r="V26" s="363">
        <f t="shared" si="16"/>
        <v>0</v>
      </c>
      <c r="W26" s="363">
        <f t="shared" si="16"/>
        <v>0</v>
      </c>
      <c r="X26" s="363">
        <f t="shared" si="16"/>
        <v>0</v>
      </c>
      <c r="Y26" s="363">
        <f t="shared" si="16"/>
        <v>0</v>
      </c>
      <c r="Z26" s="363">
        <f t="shared" si="16"/>
        <v>0</v>
      </c>
      <c r="AA26" s="363">
        <f t="shared" si="16"/>
        <v>0</v>
      </c>
      <c r="AB26" s="434">
        <f t="shared" si="16"/>
        <v>0</v>
      </c>
    </row>
    <row r="27" spans="1:28" s="322" customFormat="1" ht="18.75" customHeight="1" x14ac:dyDescent="0.3">
      <c r="A27" s="321"/>
      <c r="B27" s="333" t="s">
        <v>874</v>
      </c>
      <c r="C27" s="334">
        <f>L27</f>
        <v>3405843</v>
      </c>
      <c r="D27" s="335">
        <f t="shared" si="8"/>
        <v>4.6630467561401372E-2</v>
      </c>
      <c r="E27" s="312"/>
      <c r="F27" s="456"/>
      <c r="G27" s="342"/>
      <c r="H27" s="312"/>
      <c r="J27" s="372" t="s">
        <v>370</v>
      </c>
      <c r="K27" s="373"/>
      <c r="L27" s="396">
        <f>AB27</f>
        <v>3405843</v>
      </c>
      <c r="M27" s="365">
        <f t="shared" ref="M27:AB27" si="17">M5+M14-M25</f>
        <v>3830879</v>
      </c>
      <c r="N27" s="366">
        <f t="shared" si="17"/>
        <v>3560500</v>
      </c>
      <c r="O27" s="366">
        <f t="shared" si="17"/>
        <v>3448338</v>
      </c>
      <c r="P27" s="366">
        <f t="shared" si="17"/>
        <v>3182419</v>
      </c>
      <c r="Q27" s="366">
        <f t="shared" si="17"/>
        <v>3498371</v>
      </c>
      <c r="R27" s="366">
        <f t="shared" si="17"/>
        <v>3816763</v>
      </c>
      <c r="S27" s="366">
        <f t="shared" si="17"/>
        <v>3511375</v>
      </c>
      <c r="T27" s="366">
        <f t="shared" si="17"/>
        <v>3832207</v>
      </c>
      <c r="U27" s="366">
        <f t="shared" si="17"/>
        <v>3529259</v>
      </c>
      <c r="V27" s="366">
        <f t="shared" si="17"/>
        <v>3851311</v>
      </c>
      <c r="W27" s="366">
        <f t="shared" si="17"/>
        <v>3548363</v>
      </c>
      <c r="X27" s="366">
        <f t="shared" si="17"/>
        <v>3870415</v>
      </c>
      <c r="Y27" s="366">
        <f t="shared" si="17"/>
        <v>3567467</v>
      </c>
      <c r="Z27" s="366">
        <f t="shared" si="17"/>
        <v>3889519</v>
      </c>
      <c r="AA27" s="366">
        <f t="shared" si="17"/>
        <v>3601571</v>
      </c>
      <c r="AB27" s="367">
        <f t="shared" si="17"/>
        <v>3405843</v>
      </c>
    </row>
    <row r="28" spans="1:28" ht="18.75" customHeight="1" x14ac:dyDescent="0.25">
      <c r="B28" s="333"/>
      <c r="C28" s="336"/>
      <c r="D28" s="335"/>
      <c r="E28" s="322"/>
      <c r="F28" s="322"/>
      <c r="G28" s="322"/>
      <c r="H28" s="322"/>
      <c r="J28" s="295"/>
      <c r="K28" s="295"/>
      <c r="L28" s="319"/>
      <c r="M28" s="317">
        <f>M1+7</f>
        <v>44326</v>
      </c>
      <c r="N28" s="317">
        <f t="shared" ref="N28:AB28" si="18">M28+7</f>
        <v>44333</v>
      </c>
      <c r="O28" s="317">
        <f t="shared" si="18"/>
        <v>44340</v>
      </c>
      <c r="P28" s="317">
        <f t="shared" si="18"/>
        <v>44347</v>
      </c>
      <c r="Q28" s="317">
        <f t="shared" si="18"/>
        <v>44354</v>
      </c>
      <c r="R28" s="317">
        <f t="shared" si="18"/>
        <v>44361</v>
      </c>
      <c r="S28" s="317">
        <f t="shared" si="18"/>
        <v>44368</v>
      </c>
      <c r="T28" s="317">
        <f t="shared" si="18"/>
        <v>44375</v>
      </c>
      <c r="U28" s="317">
        <f t="shared" si="18"/>
        <v>44382</v>
      </c>
      <c r="V28" s="317">
        <f t="shared" si="18"/>
        <v>44389</v>
      </c>
      <c r="W28" s="317">
        <f t="shared" si="18"/>
        <v>44396</v>
      </c>
      <c r="X28" s="317">
        <f t="shared" si="18"/>
        <v>44403</v>
      </c>
      <c r="Y28" s="317">
        <f t="shared" si="18"/>
        <v>44410</v>
      </c>
      <c r="Z28" s="317">
        <f t="shared" si="18"/>
        <v>44417</v>
      </c>
      <c r="AA28" s="317">
        <f t="shared" si="18"/>
        <v>44424</v>
      </c>
      <c r="AB28" s="317">
        <f t="shared" si="18"/>
        <v>44431</v>
      </c>
    </row>
    <row r="29" spans="1:28" ht="15.75" x14ac:dyDescent="0.25">
      <c r="B29" s="333"/>
      <c r="C29" s="336"/>
      <c r="D29" s="335"/>
      <c r="M29" s="336"/>
      <c r="N29" s="336"/>
      <c r="O29" s="336"/>
      <c r="P29" s="336"/>
      <c r="Q29" s="336"/>
      <c r="R29" s="336"/>
      <c r="S29" s="336"/>
      <c r="T29" s="336"/>
      <c r="U29" s="336"/>
      <c r="V29" s="336"/>
      <c r="W29" s="336"/>
      <c r="X29" s="336"/>
      <c r="Y29" s="336"/>
      <c r="Z29" s="336"/>
      <c r="AA29" s="336"/>
      <c r="AB29" s="336"/>
    </row>
    <row r="30" spans="1:28" ht="15.75" x14ac:dyDescent="0.25">
      <c r="B30" s="333"/>
      <c r="C30" s="336"/>
      <c r="D30" s="335"/>
      <c r="G30" s="296"/>
      <c r="L30" s="314" t="s">
        <v>809</v>
      </c>
      <c r="M30" s="354">
        <v>44307</v>
      </c>
    </row>
    <row r="31" spans="1:28" s="327" customFormat="1" ht="15.75" x14ac:dyDescent="0.25">
      <c r="A31" s="325"/>
      <c r="B31" s="341"/>
      <c r="C31" s="342"/>
      <c r="D31" s="343"/>
      <c r="E31"/>
      <c r="F31"/>
      <c r="G31" s="296"/>
      <c r="H31"/>
      <c r="J31" s="325"/>
      <c r="K31" s="326">
        <f>SUM(K33:K49)</f>
        <v>61401112</v>
      </c>
      <c r="L31" s="326">
        <f>SUM(L33:L49)</f>
        <v>7502111</v>
      </c>
      <c r="M31" s="326">
        <f>SUM(M33:M49)</f>
        <v>91090656</v>
      </c>
      <c r="N31" s="326">
        <f>SUM(N33:N49)</f>
        <v>53899001</v>
      </c>
      <c r="O31" s="326">
        <f>SUM(O33:O52)</f>
        <v>0</v>
      </c>
      <c r="P31" s="326">
        <f>SUM(P33:P52)</f>
        <v>53899001</v>
      </c>
      <c r="Q31" s="325"/>
      <c r="R31" s="325"/>
      <c r="S31" s="325"/>
      <c r="T31" s="325"/>
      <c r="U31" s="325"/>
      <c r="V31" s="325"/>
      <c r="W31" s="325"/>
      <c r="X31" s="325"/>
      <c r="Y31" s="325"/>
      <c r="Z31" s="325"/>
      <c r="AA31" s="325"/>
      <c r="AB31" s="325"/>
    </row>
    <row r="32" spans="1:28" s="43" customFormat="1" ht="15.75" x14ac:dyDescent="0.25">
      <c r="A32" s="293"/>
      <c r="B32" s="322"/>
      <c r="C32" s="322"/>
      <c r="D32" s="322"/>
      <c r="E32" s="322"/>
      <c r="F32" s="322"/>
      <c r="G32" s="322"/>
      <c r="H32" s="322"/>
      <c r="J32" s="329" t="s">
        <v>180</v>
      </c>
      <c r="K32" s="329" t="s">
        <v>777</v>
      </c>
      <c r="L32" s="329" t="s">
        <v>867</v>
      </c>
      <c r="M32" s="329" t="s">
        <v>797</v>
      </c>
      <c r="N32" s="329" t="s">
        <v>780</v>
      </c>
      <c r="O32" s="329" t="s">
        <v>810</v>
      </c>
      <c r="P32" s="329" t="s">
        <v>866</v>
      </c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</row>
    <row r="33" spans="2:16" ht="15.75" x14ac:dyDescent="0.25">
      <c r="B33" s="328"/>
      <c r="G33" s="458"/>
      <c r="J33" s="320" t="s">
        <v>779</v>
      </c>
      <c r="K33" s="324">
        <v>7000000</v>
      </c>
      <c r="L33" s="324">
        <v>0</v>
      </c>
      <c r="M33" s="324">
        <v>11336100</v>
      </c>
      <c r="N33" s="323">
        <f>K33-L33</f>
        <v>7000000</v>
      </c>
      <c r="O33" s="284">
        <v>0</v>
      </c>
      <c r="P33" s="338">
        <f>N33-O33</f>
        <v>7000000</v>
      </c>
    </row>
    <row r="34" spans="2:16" x14ac:dyDescent="0.25">
      <c r="C34" s="296"/>
      <c r="D34" s="296"/>
      <c r="J34" s="320" t="s">
        <v>781</v>
      </c>
      <c r="K34" s="324">
        <v>3869000</v>
      </c>
      <c r="L34" s="324">
        <v>0</v>
      </c>
      <c r="M34" s="324">
        <v>6443676</v>
      </c>
      <c r="N34" s="323">
        <f t="shared" ref="N34:N50" si="19">K34-L34</f>
        <v>3869000</v>
      </c>
      <c r="O34" s="284">
        <v>0</v>
      </c>
      <c r="P34" s="338">
        <f t="shared" ref="P34:P49" si="20">N34-O34</f>
        <v>3869000</v>
      </c>
    </row>
    <row r="35" spans="2:16" x14ac:dyDescent="0.25">
      <c r="C35" s="296"/>
      <c r="D35" s="296"/>
      <c r="J35" s="320" t="s">
        <v>782</v>
      </c>
      <c r="K35" s="324">
        <v>600000</v>
      </c>
      <c r="L35" s="324">
        <v>0</v>
      </c>
      <c r="M35" s="324">
        <v>6500000</v>
      </c>
      <c r="N35" s="323">
        <f t="shared" si="19"/>
        <v>600000</v>
      </c>
      <c r="O35" s="284">
        <v>0</v>
      </c>
      <c r="P35" s="338">
        <f t="shared" si="20"/>
        <v>600000</v>
      </c>
    </row>
    <row r="36" spans="2:16" ht="15.75" x14ac:dyDescent="0.25">
      <c r="B36" s="327"/>
      <c r="C36" s="327"/>
      <c r="D36" s="327"/>
      <c r="E36" s="327"/>
      <c r="F36" s="327"/>
      <c r="G36" s="327"/>
      <c r="H36" s="327"/>
      <c r="J36" s="320" t="s">
        <v>783</v>
      </c>
      <c r="K36" s="324">
        <v>2500000</v>
      </c>
      <c r="L36" s="324">
        <v>0</v>
      </c>
      <c r="M36" s="324">
        <v>5184758</v>
      </c>
      <c r="N36" s="323">
        <f t="shared" si="19"/>
        <v>2500000</v>
      </c>
      <c r="O36" s="284">
        <v>0</v>
      </c>
      <c r="P36" s="338">
        <f t="shared" si="20"/>
        <v>2500000</v>
      </c>
    </row>
    <row r="37" spans="2:16" x14ac:dyDescent="0.25">
      <c r="B37" s="43"/>
      <c r="C37" s="43"/>
      <c r="D37" s="43"/>
      <c r="E37" s="43"/>
      <c r="F37" s="43"/>
      <c r="G37" s="43"/>
      <c r="H37" s="43"/>
      <c r="J37" s="320" t="s">
        <v>784</v>
      </c>
      <c r="K37" s="324">
        <v>496109</v>
      </c>
      <c r="L37" s="324">
        <v>0</v>
      </c>
      <c r="M37" s="324">
        <v>5000000</v>
      </c>
      <c r="N37" s="323">
        <f t="shared" si="19"/>
        <v>496109</v>
      </c>
      <c r="O37" s="284">
        <v>0</v>
      </c>
      <c r="P37" s="338">
        <f t="shared" si="20"/>
        <v>496109</v>
      </c>
    </row>
    <row r="38" spans="2:16" x14ac:dyDescent="0.25">
      <c r="J38" s="320" t="s">
        <v>785</v>
      </c>
      <c r="K38" s="324">
        <v>4500000</v>
      </c>
      <c r="L38" s="324">
        <f>K38-M38</f>
        <v>929524</v>
      </c>
      <c r="M38" s="324">
        <v>3570476</v>
      </c>
      <c r="N38" s="323">
        <f t="shared" si="19"/>
        <v>3570476</v>
      </c>
      <c r="O38" s="284">
        <v>0</v>
      </c>
      <c r="P38" s="338">
        <f t="shared" si="20"/>
        <v>3570476</v>
      </c>
    </row>
    <row r="39" spans="2:16" x14ac:dyDescent="0.25">
      <c r="J39" s="320" t="s">
        <v>786</v>
      </c>
      <c r="K39" s="324">
        <v>4162000</v>
      </c>
      <c r="L39" s="324">
        <f>K39-M39</f>
        <v>1236300</v>
      </c>
      <c r="M39" s="324">
        <v>2925700</v>
      </c>
      <c r="N39" s="323">
        <f t="shared" si="19"/>
        <v>2925700</v>
      </c>
      <c r="O39" s="284">
        <v>0</v>
      </c>
      <c r="P39" s="338">
        <f t="shared" si="20"/>
        <v>2925700</v>
      </c>
    </row>
    <row r="40" spans="2:16" x14ac:dyDescent="0.25">
      <c r="J40" s="320" t="s">
        <v>787</v>
      </c>
      <c r="K40" s="324">
        <v>0</v>
      </c>
      <c r="L40" s="324">
        <v>0</v>
      </c>
      <c r="M40" s="324">
        <v>6341000</v>
      </c>
      <c r="N40" s="323">
        <f t="shared" si="19"/>
        <v>0</v>
      </c>
      <c r="O40" s="284">
        <v>0</v>
      </c>
      <c r="P40" s="338">
        <f t="shared" si="20"/>
        <v>0</v>
      </c>
    </row>
    <row r="41" spans="2:16" x14ac:dyDescent="0.25">
      <c r="J41" s="320" t="s">
        <v>788</v>
      </c>
      <c r="K41" s="324">
        <v>1530000</v>
      </c>
      <c r="L41" s="324">
        <v>0</v>
      </c>
      <c r="M41" s="324">
        <v>5183263</v>
      </c>
      <c r="N41" s="323">
        <f t="shared" si="19"/>
        <v>1530000</v>
      </c>
      <c r="O41" s="284">
        <v>0</v>
      </c>
      <c r="P41" s="338">
        <f t="shared" si="20"/>
        <v>1530000</v>
      </c>
    </row>
    <row r="42" spans="2:16" x14ac:dyDescent="0.25">
      <c r="J42" s="320" t="s">
        <v>789</v>
      </c>
      <c r="K42" s="324">
        <v>12306000</v>
      </c>
      <c r="L42" s="324">
        <f>K42-M42</f>
        <v>2609150</v>
      </c>
      <c r="M42" s="324">
        <v>9696850</v>
      </c>
      <c r="N42" s="323">
        <f t="shared" si="19"/>
        <v>9696850</v>
      </c>
      <c r="O42" s="284">
        <v>0</v>
      </c>
      <c r="P42" s="338">
        <f t="shared" si="20"/>
        <v>9696850</v>
      </c>
    </row>
    <row r="43" spans="2:16" x14ac:dyDescent="0.25">
      <c r="J43" s="320" t="s">
        <v>790</v>
      </c>
      <c r="K43" s="324">
        <v>245000</v>
      </c>
      <c r="L43" s="324">
        <v>0</v>
      </c>
      <c r="M43" s="324">
        <v>5300000</v>
      </c>
      <c r="N43" s="323">
        <f t="shared" si="19"/>
        <v>245000</v>
      </c>
      <c r="O43" s="284">
        <v>0</v>
      </c>
      <c r="P43" s="338">
        <f t="shared" si="20"/>
        <v>245000</v>
      </c>
    </row>
    <row r="44" spans="2:16" x14ac:dyDescent="0.25">
      <c r="J44" s="320" t="s">
        <v>791</v>
      </c>
      <c r="K44" s="324">
        <v>7500000</v>
      </c>
      <c r="L44" s="324">
        <f>K44-M44</f>
        <v>75739</v>
      </c>
      <c r="M44" s="324">
        <v>7424261</v>
      </c>
      <c r="N44" s="323">
        <f t="shared" si="19"/>
        <v>7424261</v>
      </c>
      <c r="O44" s="284">
        <v>0</v>
      </c>
      <c r="P44" s="338">
        <f t="shared" si="20"/>
        <v>7424261</v>
      </c>
    </row>
    <row r="45" spans="2:16" x14ac:dyDescent="0.25">
      <c r="J45" s="320" t="s">
        <v>792</v>
      </c>
      <c r="K45" s="324">
        <v>3600000</v>
      </c>
      <c r="L45" s="324">
        <v>0</v>
      </c>
      <c r="M45" s="324">
        <v>4815100</v>
      </c>
      <c r="N45" s="323">
        <f t="shared" si="19"/>
        <v>3600000</v>
      </c>
      <c r="O45" s="284">
        <v>0</v>
      </c>
      <c r="P45" s="338">
        <f t="shared" si="20"/>
        <v>3600000</v>
      </c>
    </row>
    <row r="46" spans="2:16" x14ac:dyDescent="0.25">
      <c r="J46" s="320" t="s">
        <v>793</v>
      </c>
      <c r="K46" s="324">
        <v>1475000</v>
      </c>
      <c r="L46" s="324">
        <f>K46-M46</f>
        <v>513400</v>
      </c>
      <c r="M46" s="324">
        <v>961600</v>
      </c>
      <c r="N46" s="323">
        <f t="shared" si="19"/>
        <v>961600</v>
      </c>
      <c r="O46" s="284">
        <v>0</v>
      </c>
      <c r="P46" s="338">
        <f t="shared" si="20"/>
        <v>961600</v>
      </c>
    </row>
    <row r="47" spans="2:16" x14ac:dyDescent="0.25">
      <c r="J47" s="320" t="s">
        <v>794</v>
      </c>
      <c r="K47" s="324">
        <v>6324000</v>
      </c>
      <c r="L47" s="324">
        <v>0</v>
      </c>
      <c r="M47" s="324">
        <v>7012000</v>
      </c>
      <c r="N47" s="323">
        <f t="shared" si="19"/>
        <v>6324000</v>
      </c>
      <c r="O47" s="284">
        <v>0</v>
      </c>
      <c r="P47" s="338">
        <f t="shared" si="20"/>
        <v>6324000</v>
      </c>
    </row>
    <row r="48" spans="2:16" x14ac:dyDescent="0.25">
      <c r="J48" s="320" t="s">
        <v>795</v>
      </c>
      <c r="K48" s="324">
        <v>5280000</v>
      </c>
      <c r="L48" s="324">
        <f>K48-M48</f>
        <v>2137998</v>
      </c>
      <c r="M48" s="324">
        <v>3142002</v>
      </c>
      <c r="N48" s="323">
        <f t="shared" si="19"/>
        <v>3142002</v>
      </c>
      <c r="O48" s="284">
        <v>0</v>
      </c>
      <c r="P48" s="338">
        <f t="shared" si="20"/>
        <v>3142002</v>
      </c>
    </row>
    <row r="49" spans="10:16" x14ac:dyDescent="0.25">
      <c r="J49" s="320" t="s">
        <v>796</v>
      </c>
      <c r="K49" s="324">
        <v>14003</v>
      </c>
      <c r="L49" s="324">
        <v>0</v>
      </c>
      <c r="M49" s="324">
        <v>253870</v>
      </c>
      <c r="N49" s="323">
        <f t="shared" si="19"/>
        <v>14003</v>
      </c>
      <c r="O49" s="284">
        <v>0</v>
      </c>
      <c r="P49" s="338">
        <f t="shared" si="20"/>
        <v>14003</v>
      </c>
    </row>
    <row r="50" spans="10:16" x14ac:dyDescent="0.25">
      <c r="J50" s="320" t="s">
        <v>869</v>
      </c>
      <c r="K50" s="324">
        <v>0</v>
      </c>
      <c r="L50" s="324">
        <v>0</v>
      </c>
      <c r="M50" s="324">
        <v>0</v>
      </c>
      <c r="N50" s="323">
        <f t="shared" si="19"/>
        <v>0</v>
      </c>
      <c r="O50" s="284">
        <v>0</v>
      </c>
      <c r="P50" s="432">
        <v>0</v>
      </c>
    </row>
    <row r="51" spans="10:16" x14ac:dyDescent="0.25">
      <c r="J51" s="320"/>
      <c r="K51" s="324"/>
      <c r="L51" s="324"/>
      <c r="M51" s="324"/>
      <c r="N51" s="323"/>
    </row>
    <row r="52" spans="10:16" x14ac:dyDescent="0.25">
      <c r="J52" s="320"/>
      <c r="K52" s="324"/>
      <c r="L52" s="324"/>
      <c r="M52" s="324"/>
      <c r="N52" s="323"/>
    </row>
    <row r="53" spans="10:16" x14ac:dyDescent="0.25">
      <c r="J53" s="320"/>
    </row>
  </sheetData>
  <mergeCells count="2">
    <mergeCell ref="J11:J13"/>
    <mergeCell ref="J21:J23"/>
  </mergeCells>
  <conditionalFormatting sqref="C4:C6 G4:G5">
    <cfRule type="cellIs" dxfId="33" priority="27" operator="greaterThan">
      <formula>0</formula>
    </cfRule>
    <cfRule type="cellIs" dxfId="32" priority="28" operator="lessThan">
      <formula>0</formula>
    </cfRule>
  </conditionalFormatting>
  <conditionalFormatting sqref="G16:G27 C28:C31">
    <cfRule type="cellIs" dxfId="31" priority="17" operator="greaterThan">
      <formula>0</formula>
    </cfRule>
    <cfRule type="cellIs" dxfId="30" priority="18" operator="lessThan">
      <formula>0</formula>
    </cfRule>
  </conditionalFormatting>
  <conditionalFormatting sqref="C9">
    <cfRule type="cellIs" dxfId="29" priority="15" operator="greaterThan">
      <formula>0</formula>
    </cfRule>
    <cfRule type="cellIs" dxfId="28" priority="16" operator="lessThan">
      <formula>0</formula>
    </cfRule>
  </conditionalFormatting>
  <conditionalFormatting sqref="C14">
    <cfRule type="cellIs" dxfId="27" priority="13" operator="greaterThan">
      <formula>0</formula>
    </cfRule>
    <cfRule type="cellIs" dxfId="26" priority="14" operator="lessThan">
      <formula>0</formula>
    </cfRule>
  </conditionalFormatting>
  <conditionalFormatting sqref="C12">
    <cfRule type="cellIs" dxfId="25" priority="11" operator="greaterThan">
      <formula>0</formula>
    </cfRule>
    <cfRule type="cellIs" dxfId="24" priority="12" operator="lessThan">
      <formula>0</formula>
    </cfRule>
  </conditionalFormatting>
  <conditionalFormatting sqref="C16:C24">
    <cfRule type="cellIs" dxfId="23" priority="9" operator="greaterThan">
      <formula>0</formula>
    </cfRule>
    <cfRule type="cellIs" dxfId="22" priority="10" operator="lessThan">
      <formula>0</formula>
    </cfRule>
  </conditionalFormatting>
  <conditionalFormatting sqref="G8">
    <cfRule type="cellIs" dxfId="21" priority="7" operator="greaterThan">
      <formula>0</formula>
    </cfRule>
    <cfRule type="cellIs" dxfId="20" priority="8" operator="lessThan">
      <formula>0</formula>
    </cfRule>
  </conditionalFormatting>
  <conditionalFormatting sqref="G9">
    <cfRule type="cellIs" dxfId="19" priority="5" operator="greaterThan">
      <formula>0</formula>
    </cfRule>
    <cfRule type="cellIs" dxfId="18" priority="6" operator="lessThan">
      <formula>0</formula>
    </cfRule>
  </conditionalFormatting>
  <conditionalFormatting sqref="C27">
    <cfRule type="cellIs" dxfId="17" priority="1" operator="greaterThan">
      <formula>0</formula>
    </cfRule>
    <cfRule type="cellIs" dxfId="16" priority="2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Banderas</vt:lpstr>
      <vt:lpstr>Planning_Entrenamiento</vt:lpstr>
      <vt:lpstr>Liga</vt:lpstr>
      <vt:lpstr>Goles</vt:lpstr>
      <vt:lpstr>Hall_of_Fame</vt:lpstr>
      <vt:lpstr>Fites</vt:lpstr>
      <vt:lpstr>PLANTILLA</vt:lpstr>
      <vt:lpstr>JUVENILES</vt:lpstr>
      <vt:lpstr>ECONOMIA</vt:lpstr>
      <vt:lpstr>Capitán</vt:lpstr>
      <vt:lpstr>CA_Calcutator</vt:lpstr>
      <vt:lpstr>EstudioConversion</vt:lpstr>
      <vt:lpstr>El Tártaro</vt:lpstr>
      <vt:lpstr>Evaluacion Jugadores</vt:lpstr>
      <vt:lpstr>LAT</vt:lpstr>
      <vt:lpstr>Entrenador</vt:lpstr>
      <vt:lpstr>Inner</vt:lpstr>
      <vt:lpstr>Delantero</vt:lpstr>
      <vt:lpstr>PorteroTitular</vt:lpstr>
      <vt:lpstr>PorteroSuplente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2006-09-16T00:00:00Z</dcterms:created>
  <dcterms:modified xsi:type="dcterms:W3CDTF">2021-08-11T11:31:38Z</dcterms:modified>
</cp:coreProperties>
</file>