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02046B8-8DA3-4ED3-8B8C-2E6B5C951200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Lokomotive-LUKE" sheetId="33" r:id="rId1"/>
    <sheet name="VADER-LothMunchen" sheetId="34" r:id="rId2"/>
    <sheet name="VADER_ConjuntoVacio" sheetId="35" r:id="rId3"/>
    <sheet name="SIMULADOR_v5" sheetId="31" r:id="rId4"/>
    <sheet name="SIMULADOR_v4" sheetId="10" r:id="rId5"/>
    <sheet name="SIMULADOR_v3" sheetId="4" r:id="rId6"/>
    <sheet name="Eventos" sheetId="32" r:id="rId7"/>
    <sheet name="SIMULADOR_sinJ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I51" i="35" l="1"/>
  <c r="BI54" i="35" s="1"/>
  <c r="BM12" i="35" s="1"/>
  <c r="BQ47" i="35" s="1"/>
  <c r="BF48" i="35"/>
  <c r="BI47" i="35"/>
  <c r="BI52" i="35" s="1"/>
  <c r="BI55" i="35" s="1"/>
  <c r="BI57" i="35" s="1"/>
  <c r="BM13" i="35" s="1"/>
  <c r="BF47" i="35"/>
  <c r="BF46" i="35"/>
  <c r="BE45" i="35"/>
  <c r="BE44" i="35"/>
  <c r="BF45" i="35" s="1"/>
  <c r="BD44" i="35"/>
  <c r="BE43" i="35"/>
  <c r="BF44" i="35" s="1"/>
  <c r="BD43" i="35"/>
  <c r="BC43" i="35"/>
  <c r="BF42" i="35"/>
  <c r="BE42" i="35"/>
  <c r="BD42" i="35"/>
  <c r="BC42" i="35"/>
  <c r="BF41" i="35"/>
  <c r="BE41" i="35"/>
  <c r="BD41" i="35"/>
  <c r="BC41" i="35"/>
  <c r="BF40" i="35"/>
  <c r="BE40" i="35"/>
  <c r="BD40" i="35"/>
  <c r="BC40" i="35"/>
  <c r="BC39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BF34" i="35"/>
  <c r="BF33" i="35"/>
  <c r="C33" i="35"/>
  <c r="C32" i="35"/>
  <c r="E25" i="35" s="1"/>
  <c r="B32" i="35"/>
  <c r="BE31" i="35"/>
  <c r="BF32" i="35" s="1"/>
  <c r="BI30" i="35"/>
  <c r="BI37" i="35" s="1"/>
  <c r="BI43" i="35" s="1"/>
  <c r="BI48" i="35" s="1"/>
  <c r="BI53" i="35" s="1"/>
  <c r="BI56" i="35" s="1"/>
  <c r="BI58" i="35" s="1"/>
  <c r="BI59" i="35" s="1"/>
  <c r="BE30" i="35"/>
  <c r="BF31" i="35" s="1"/>
  <c r="BD30" i="35"/>
  <c r="D30" i="35"/>
  <c r="BI29" i="35"/>
  <c r="BI36" i="35" s="1"/>
  <c r="BI42" i="35" s="1"/>
  <c r="BE29" i="35"/>
  <c r="BD29" i="35"/>
  <c r="BC29" i="35"/>
  <c r="C29" i="35"/>
  <c r="B29" i="35"/>
  <c r="BI28" i="35"/>
  <c r="BI35" i="35" s="1"/>
  <c r="BI41" i="35" s="1"/>
  <c r="BI46" i="35" s="1"/>
  <c r="BE28" i="35"/>
  <c r="BF29" i="35" s="1"/>
  <c r="BD28" i="35"/>
  <c r="BC28" i="35"/>
  <c r="BI27" i="35"/>
  <c r="BI34" i="35" s="1"/>
  <c r="BI40" i="35" s="1"/>
  <c r="BI45" i="35" s="1"/>
  <c r="BI50" i="35" s="1"/>
  <c r="BM11" i="35" s="1"/>
  <c r="BQ38" i="35" s="1"/>
  <c r="BQ46" i="35" s="1"/>
  <c r="BF27" i="35"/>
  <c r="BE27" i="35"/>
  <c r="BF28" i="35" s="1"/>
  <c r="BD27" i="35"/>
  <c r="BC27" i="35"/>
  <c r="C27" i="35"/>
  <c r="B27" i="35"/>
  <c r="BI26" i="35"/>
  <c r="BI33" i="35" s="1"/>
  <c r="BI39" i="35" s="1"/>
  <c r="BI44" i="35" s="1"/>
  <c r="BM10" i="35" s="1"/>
  <c r="BQ30" i="35" s="1"/>
  <c r="BQ37" i="35" s="1"/>
  <c r="BQ45" i="35" s="1"/>
  <c r="BF26" i="35"/>
  <c r="BE26" i="35"/>
  <c r="BD26" i="35"/>
  <c r="BC26" i="35"/>
  <c r="E26" i="35"/>
  <c r="E27" i="35" s="1"/>
  <c r="D26" i="35"/>
  <c r="D27" i="35" s="1"/>
  <c r="C26" i="35"/>
  <c r="B26" i="35"/>
  <c r="BI25" i="35"/>
  <c r="BI32" i="35" s="1"/>
  <c r="BI38" i="35" s="1"/>
  <c r="BC25" i="35"/>
  <c r="D25" i="35"/>
  <c r="C25" i="35"/>
  <c r="B25" i="35"/>
  <c r="BI24" i="35"/>
  <c r="BI31" i="35" s="1"/>
  <c r="BM8" i="35" s="1"/>
  <c r="BQ18" i="35" s="1"/>
  <c r="BQ22" i="35" s="1"/>
  <c r="BQ28" i="35" s="1"/>
  <c r="BQ35" i="35" s="1"/>
  <c r="BQ43" i="35" s="1"/>
  <c r="BI23" i="35"/>
  <c r="B22" i="35"/>
  <c r="C22" i="35" s="1"/>
  <c r="G14" i="35" s="1"/>
  <c r="B20" i="35"/>
  <c r="B21" i="35" s="1"/>
  <c r="AA15" i="35"/>
  <c r="W15" i="35"/>
  <c r="V15" i="35"/>
  <c r="Q15" i="35"/>
  <c r="P15" i="35"/>
  <c r="W14" i="35"/>
  <c r="V14" i="35"/>
  <c r="Q14" i="35"/>
  <c r="P14" i="35"/>
  <c r="W13" i="35"/>
  <c r="V13" i="35"/>
  <c r="Q13" i="35"/>
  <c r="P13" i="35"/>
  <c r="W12" i="35"/>
  <c r="V12" i="35"/>
  <c r="Q12" i="35"/>
  <c r="P12" i="35"/>
  <c r="Q11" i="35"/>
  <c r="P11" i="35"/>
  <c r="W10" i="35"/>
  <c r="V10" i="35"/>
  <c r="BQ9" i="35"/>
  <c r="BQ12" i="35" s="1"/>
  <c r="BQ16" i="35" s="1"/>
  <c r="BQ20" i="35" s="1"/>
  <c r="BQ26" i="35" s="1"/>
  <c r="BQ33" i="35" s="1"/>
  <c r="BQ41" i="35" s="1"/>
  <c r="BM9" i="35"/>
  <c r="BQ23" i="35" s="1"/>
  <c r="BQ29" i="35" s="1"/>
  <c r="BQ36" i="35" s="1"/>
  <c r="BQ44" i="35" s="1"/>
  <c r="W9" i="35"/>
  <c r="V9" i="35"/>
  <c r="Q9" i="35"/>
  <c r="P9" i="35"/>
  <c r="BQ8" i="35"/>
  <c r="BQ11" i="35" s="1"/>
  <c r="BQ15" i="35" s="1"/>
  <c r="BQ19" i="35" s="1"/>
  <c r="BQ25" i="35" s="1"/>
  <c r="BQ32" i="35" s="1"/>
  <c r="BQ40" i="35" s="1"/>
  <c r="W8" i="35"/>
  <c r="V8" i="35"/>
  <c r="Q8" i="35"/>
  <c r="P8" i="35"/>
  <c r="BM7" i="35"/>
  <c r="BQ13" i="35" s="1"/>
  <c r="BQ17" i="35" s="1"/>
  <c r="BQ21" i="35" s="1"/>
  <c r="BQ27" i="35" s="1"/>
  <c r="BQ34" i="35" s="1"/>
  <c r="BQ42" i="35" s="1"/>
  <c r="W7" i="35"/>
  <c r="V7" i="35"/>
  <c r="Q7" i="35"/>
  <c r="P7" i="35"/>
  <c r="BQ6" i="35"/>
  <c r="BM6" i="35"/>
  <c r="W6" i="35"/>
  <c r="V6" i="35"/>
  <c r="Q6" i="35"/>
  <c r="P6" i="35"/>
  <c r="BQ5" i="35"/>
  <c r="BQ7" i="35" s="1"/>
  <c r="BQ10" i="35" s="1"/>
  <c r="BQ14" i="35" s="1"/>
  <c r="BI49" i="35" s="1"/>
  <c r="BQ24" i="35" s="1"/>
  <c r="BQ31" i="35" s="1"/>
  <c r="BQ39" i="35" s="1"/>
  <c r="BM14" i="35" s="1"/>
  <c r="W5" i="35"/>
  <c r="V5" i="35"/>
  <c r="Q5" i="35"/>
  <c r="P5" i="35"/>
  <c r="W4" i="35"/>
  <c r="V4" i="35"/>
  <c r="Q4" i="35"/>
  <c r="P4" i="35"/>
  <c r="D3" i="35"/>
  <c r="Q1" i="35"/>
  <c r="P1" i="35"/>
  <c r="N1" i="35"/>
  <c r="N11" i="35" s="1"/>
  <c r="E30" i="35" l="1"/>
  <c r="E23" i="35"/>
  <c r="B31" i="35"/>
  <c r="W25" i="35" s="1"/>
  <c r="C31" i="35"/>
  <c r="W39" i="35" s="1"/>
  <c r="G13" i="35"/>
  <c r="B23" i="35"/>
  <c r="C23" i="35" s="1"/>
  <c r="V11" i="35"/>
  <c r="R11" i="35"/>
  <c r="N8" i="35"/>
  <c r="R8" i="35" s="1"/>
  <c r="N7" i="35"/>
  <c r="R7" i="35" s="1"/>
  <c r="N13" i="35"/>
  <c r="R13" i="35" s="1"/>
  <c r="N10" i="35"/>
  <c r="R10" i="35" s="1"/>
  <c r="N4" i="35"/>
  <c r="R4" i="35" s="1"/>
  <c r="N14" i="35"/>
  <c r="R14" i="35" s="1"/>
  <c r="N15" i="35"/>
  <c r="N9" i="35"/>
  <c r="R9" i="35" s="1"/>
  <c r="N12" i="35"/>
  <c r="R12" i="35" s="1"/>
  <c r="W11" i="35"/>
  <c r="N5" i="35"/>
  <c r="R5" i="35" s="1"/>
  <c r="N6" i="35"/>
  <c r="R6" i="35" s="1"/>
  <c r="BF43" i="35"/>
  <c r="BF30" i="35"/>
  <c r="R15" i="35"/>
  <c r="AB15" i="35"/>
  <c r="D23" i="35"/>
  <c r="BF48" i="34"/>
  <c r="BF47" i="34"/>
  <c r="BF45" i="34"/>
  <c r="BE45" i="34"/>
  <c r="BF46" i="34" s="1"/>
  <c r="BF44" i="34"/>
  <c r="BE44" i="34"/>
  <c r="BD44" i="34"/>
  <c r="BE43" i="34"/>
  <c r="BD43" i="34"/>
  <c r="BC43" i="34"/>
  <c r="BE42" i="34"/>
  <c r="BF43" i="34" s="1"/>
  <c r="BD42" i="34"/>
  <c r="BC42" i="34"/>
  <c r="BF41" i="34"/>
  <c r="BE41" i="34"/>
  <c r="BF42" i="34" s="1"/>
  <c r="BD41" i="34"/>
  <c r="BC41" i="34"/>
  <c r="BF40" i="34"/>
  <c r="BE40" i="34"/>
  <c r="BD40" i="34"/>
  <c r="BC40" i="34"/>
  <c r="BC39" i="34"/>
  <c r="AS38" i="34"/>
  <c r="AR38" i="34"/>
  <c r="AQ38" i="34"/>
  <c r="AP38" i="34"/>
  <c r="AO38" i="34"/>
  <c r="AN38" i="34"/>
  <c r="AM38" i="34"/>
  <c r="AL38" i="34"/>
  <c r="AK38" i="34"/>
  <c r="AJ38" i="34"/>
  <c r="AI38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BF34" i="34"/>
  <c r="BF33" i="34"/>
  <c r="C33" i="34"/>
  <c r="C32" i="34"/>
  <c r="B32" i="34"/>
  <c r="BE31" i="34"/>
  <c r="BF32" i="34" s="1"/>
  <c r="BI30" i="34"/>
  <c r="BI37" i="34" s="1"/>
  <c r="BI43" i="34" s="1"/>
  <c r="BI48" i="34" s="1"/>
  <c r="BI53" i="34" s="1"/>
  <c r="BI56" i="34" s="1"/>
  <c r="BI58" i="34" s="1"/>
  <c r="BI59" i="34" s="1"/>
  <c r="BE30" i="34"/>
  <c r="BF31" i="34" s="1"/>
  <c r="BD30" i="34"/>
  <c r="E30" i="34"/>
  <c r="D30" i="34"/>
  <c r="BI29" i="34"/>
  <c r="BI36" i="34" s="1"/>
  <c r="BI42" i="34" s="1"/>
  <c r="BI47" i="34" s="1"/>
  <c r="BI52" i="34" s="1"/>
  <c r="BI55" i="34" s="1"/>
  <c r="BI57" i="34" s="1"/>
  <c r="BE29" i="34"/>
  <c r="BD29" i="34"/>
  <c r="BC29" i="34"/>
  <c r="C29" i="34"/>
  <c r="B29" i="34"/>
  <c r="BI28" i="34"/>
  <c r="BI35" i="34" s="1"/>
  <c r="BI41" i="34" s="1"/>
  <c r="BI46" i="34" s="1"/>
  <c r="BI51" i="34" s="1"/>
  <c r="BI54" i="34" s="1"/>
  <c r="BE28" i="34"/>
  <c r="BF29" i="34" s="1"/>
  <c r="BD28" i="34"/>
  <c r="BC28" i="34"/>
  <c r="BI27" i="34"/>
  <c r="BI34" i="34" s="1"/>
  <c r="BI40" i="34" s="1"/>
  <c r="BI45" i="34" s="1"/>
  <c r="BI50" i="34" s="1"/>
  <c r="BF27" i="34"/>
  <c r="BE27" i="34"/>
  <c r="BF28" i="34" s="1"/>
  <c r="BD27" i="34"/>
  <c r="BC27" i="34"/>
  <c r="C27" i="34"/>
  <c r="B27" i="34"/>
  <c r="BI26" i="34"/>
  <c r="BI33" i="34" s="1"/>
  <c r="BI39" i="34" s="1"/>
  <c r="BI44" i="34" s="1"/>
  <c r="BF26" i="34"/>
  <c r="BE26" i="34"/>
  <c r="BD26" i="34"/>
  <c r="BC26" i="34"/>
  <c r="E26" i="34"/>
  <c r="E27" i="34" s="1"/>
  <c r="D26" i="34"/>
  <c r="D27" i="34" s="1"/>
  <c r="C26" i="34"/>
  <c r="B26" i="34"/>
  <c r="BI25" i="34"/>
  <c r="BI32" i="34" s="1"/>
  <c r="BI38" i="34" s="1"/>
  <c r="BC25" i="34"/>
  <c r="E25" i="34"/>
  <c r="D25" i="34"/>
  <c r="C25" i="34"/>
  <c r="B25" i="34"/>
  <c r="BI24" i="34"/>
  <c r="BI31" i="34" s="1"/>
  <c r="BI23" i="34"/>
  <c r="B22" i="34"/>
  <c r="G13" i="34" s="1"/>
  <c r="B20" i="34"/>
  <c r="B21" i="34" s="1"/>
  <c r="AA15" i="34"/>
  <c r="W15" i="34"/>
  <c r="V15" i="34"/>
  <c r="Q15" i="34"/>
  <c r="P15" i="34"/>
  <c r="W14" i="34"/>
  <c r="V14" i="34"/>
  <c r="Q14" i="34"/>
  <c r="P14" i="34"/>
  <c r="BM13" i="34"/>
  <c r="W13" i="34"/>
  <c r="V13" i="34"/>
  <c r="Q13" i="34"/>
  <c r="P13" i="34"/>
  <c r="BM12" i="34"/>
  <c r="BQ47" i="34" s="1"/>
  <c r="W12" i="34"/>
  <c r="V12" i="34"/>
  <c r="Q12" i="34"/>
  <c r="P12" i="34"/>
  <c r="BM11" i="34"/>
  <c r="BQ38" i="34" s="1"/>
  <c r="BQ46" i="34" s="1"/>
  <c r="Q11" i="34"/>
  <c r="P11" i="34"/>
  <c r="BQ10" i="34"/>
  <c r="BQ14" i="34" s="1"/>
  <c r="BI49" i="34" s="1"/>
  <c r="BQ24" i="34" s="1"/>
  <c r="BQ31" i="34" s="1"/>
  <c r="BQ39" i="34" s="1"/>
  <c r="BM14" i="34" s="1"/>
  <c r="BM10" i="34"/>
  <c r="BQ30" i="34" s="1"/>
  <c r="BQ37" i="34" s="1"/>
  <c r="BQ45" i="34" s="1"/>
  <c r="W10" i="34"/>
  <c r="V10" i="34"/>
  <c r="BM9" i="34"/>
  <c r="BQ23" i="34" s="1"/>
  <c r="BQ29" i="34" s="1"/>
  <c r="BQ36" i="34" s="1"/>
  <c r="BQ44" i="34" s="1"/>
  <c r="W9" i="34"/>
  <c r="V9" i="34"/>
  <c r="Q9" i="34"/>
  <c r="P9" i="34"/>
  <c r="BM8" i="34"/>
  <c r="BQ18" i="34" s="1"/>
  <c r="BQ22" i="34" s="1"/>
  <c r="BQ28" i="34" s="1"/>
  <c r="BQ35" i="34" s="1"/>
  <c r="BQ43" i="34" s="1"/>
  <c r="W8" i="34"/>
  <c r="V8" i="34"/>
  <c r="Q8" i="34"/>
  <c r="P8" i="34"/>
  <c r="BM7" i="34"/>
  <c r="BQ13" i="34" s="1"/>
  <c r="BQ17" i="34" s="1"/>
  <c r="BQ21" i="34" s="1"/>
  <c r="BQ27" i="34" s="1"/>
  <c r="BQ34" i="34" s="1"/>
  <c r="BQ42" i="34" s="1"/>
  <c r="W7" i="34"/>
  <c r="V7" i="34"/>
  <c r="Q7" i="34"/>
  <c r="P7" i="34"/>
  <c r="BQ6" i="34"/>
  <c r="BQ8" i="34" s="1"/>
  <c r="BQ11" i="34" s="1"/>
  <c r="BQ15" i="34" s="1"/>
  <c r="BQ19" i="34" s="1"/>
  <c r="BQ25" i="34" s="1"/>
  <c r="BQ32" i="34" s="1"/>
  <c r="BQ40" i="34" s="1"/>
  <c r="BM6" i="34"/>
  <c r="BQ9" i="34" s="1"/>
  <c r="BQ12" i="34" s="1"/>
  <c r="BQ16" i="34" s="1"/>
  <c r="BQ20" i="34" s="1"/>
  <c r="BQ26" i="34" s="1"/>
  <c r="BQ33" i="34" s="1"/>
  <c r="BQ41" i="34" s="1"/>
  <c r="W6" i="34"/>
  <c r="V6" i="34"/>
  <c r="Q6" i="34"/>
  <c r="P6" i="34"/>
  <c r="BQ5" i="34"/>
  <c r="BQ7" i="34" s="1"/>
  <c r="W5" i="34"/>
  <c r="V5" i="34"/>
  <c r="Q5" i="34"/>
  <c r="P5" i="34"/>
  <c r="W4" i="34"/>
  <c r="V4" i="34"/>
  <c r="Q4" i="34"/>
  <c r="P4" i="34"/>
  <c r="D3" i="34"/>
  <c r="Q1" i="34"/>
  <c r="P1" i="34"/>
  <c r="N1" i="34"/>
  <c r="N14" i="34" s="1"/>
  <c r="B34" i="35" l="1"/>
  <c r="T40" i="35"/>
  <c r="T49" i="35"/>
  <c r="T42" i="35"/>
  <c r="T39" i="35"/>
  <c r="T41" i="35"/>
  <c r="T47" i="35"/>
  <c r="T43" i="35"/>
  <c r="T44" i="35"/>
  <c r="T45" i="35"/>
  <c r="T48" i="35"/>
  <c r="T46" i="35"/>
  <c r="T26" i="35"/>
  <c r="T35" i="35"/>
  <c r="T33" i="35"/>
  <c r="T30" i="35"/>
  <c r="C24" i="35"/>
  <c r="N40" i="35" s="1"/>
  <c r="P40" i="35" s="1"/>
  <c r="T28" i="35"/>
  <c r="T34" i="35"/>
  <c r="T25" i="35"/>
  <c r="T32" i="35"/>
  <c r="T27" i="35"/>
  <c r="T29" i="35"/>
  <c r="C34" i="35"/>
  <c r="T31" i="35"/>
  <c r="B24" i="35"/>
  <c r="N25" i="35" s="1"/>
  <c r="R2" i="35"/>
  <c r="N2" i="35"/>
  <c r="V11" i="34"/>
  <c r="D23" i="34"/>
  <c r="R12" i="34"/>
  <c r="B31" i="34"/>
  <c r="W25" i="34" s="1"/>
  <c r="R14" i="34"/>
  <c r="N8" i="34"/>
  <c r="R8" i="34" s="1"/>
  <c r="W11" i="34"/>
  <c r="N10" i="34"/>
  <c r="R10" i="34" s="1"/>
  <c r="R15" i="34"/>
  <c r="AB15" i="34"/>
  <c r="E23" i="34"/>
  <c r="C22" i="34"/>
  <c r="G14" i="34" s="1"/>
  <c r="BF30" i="34"/>
  <c r="N13" i="34"/>
  <c r="R13" i="34" s="1"/>
  <c r="N12" i="34"/>
  <c r="N11" i="34"/>
  <c r="R11" i="34" s="1"/>
  <c r="N6" i="34"/>
  <c r="R6" i="34" s="1"/>
  <c r="N7" i="34"/>
  <c r="R7" i="34" s="1"/>
  <c r="N5" i="34"/>
  <c r="R5" i="34" s="1"/>
  <c r="N4" i="34"/>
  <c r="R4" i="34" s="1"/>
  <c r="N9" i="34"/>
  <c r="R9" i="34" s="1"/>
  <c r="N15" i="34"/>
  <c r="C31" i="34"/>
  <c r="W39" i="34" s="1"/>
  <c r="W16" i="32"/>
  <c r="V16" i="32"/>
  <c r="U16" i="32"/>
  <c r="T16" i="32"/>
  <c r="X16" i="32" s="1"/>
  <c r="N39" i="35" l="1"/>
  <c r="P39" i="35" s="1"/>
  <c r="N42" i="35"/>
  <c r="P42" i="35" s="1"/>
  <c r="N44" i="35"/>
  <c r="P44" i="35" s="1"/>
  <c r="R49" i="35" s="1"/>
  <c r="N41" i="35"/>
  <c r="P41" i="35" s="1"/>
  <c r="N43" i="35"/>
  <c r="P43" i="35" s="1"/>
  <c r="N30" i="35"/>
  <c r="P30" i="35" s="1"/>
  <c r="R35" i="35" s="1"/>
  <c r="N29" i="35"/>
  <c r="P29" i="35" s="1"/>
  <c r="N27" i="35"/>
  <c r="P27" i="35" s="1"/>
  <c r="N28" i="35"/>
  <c r="P28" i="35" s="1"/>
  <c r="S9" i="35"/>
  <c r="T9" i="35" s="1"/>
  <c r="X9" i="35" s="1"/>
  <c r="AA8" i="35" s="1"/>
  <c r="T37" i="35"/>
  <c r="N26" i="35"/>
  <c r="P26" i="35" s="1"/>
  <c r="T23" i="35"/>
  <c r="S12" i="35"/>
  <c r="U12" i="35" s="1"/>
  <c r="Y12" i="35" s="1"/>
  <c r="AG12" i="35" s="1"/>
  <c r="S8" i="35"/>
  <c r="T8" i="35" s="1"/>
  <c r="X8" i="35" s="1"/>
  <c r="AA7" i="35" s="1"/>
  <c r="S13" i="35"/>
  <c r="T13" i="35" s="1"/>
  <c r="X13" i="35" s="1"/>
  <c r="AA12" i="35" s="1"/>
  <c r="S11" i="35"/>
  <c r="S15" i="35"/>
  <c r="S5" i="35"/>
  <c r="P25" i="35"/>
  <c r="S4" i="35"/>
  <c r="S6" i="35"/>
  <c r="U9" i="35"/>
  <c r="Y9" i="35" s="1"/>
  <c r="AG9" i="35" s="1"/>
  <c r="S7" i="35"/>
  <c r="S10" i="35"/>
  <c r="S14" i="35"/>
  <c r="B23" i="34"/>
  <c r="B34" i="34" s="1"/>
  <c r="N2" i="34"/>
  <c r="R2" i="34"/>
  <c r="S15" i="34" s="1"/>
  <c r="BF48" i="33"/>
  <c r="BF47" i="33"/>
  <c r="BF46" i="33"/>
  <c r="BE45" i="33"/>
  <c r="BE44" i="33"/>
  <c r="BF45" i="33" s="1"/>
  <c r="BD44" i="33"/>
  <c r="BE43" i="33"/>
  <c r="BF43" i="33" s="1"/>
  <c r="BD43" i="33"/>
  <c r="BC43" i="33"/>
  <c r="BF42" i="33"/>
  <c r="BE42" i="33"/>
  <c r="BD42" i="33"/>
  <c r="BC42" i="33"/>
  <c r="BF41" i="33"/>
  <c r="BE41" i="33"/>
  <c r="BD41" i="33"/>
  <c r="BC41" i="33"/>
  <c r="BF40" i="33"/>
  <c r="BE40" i="33"/>
  <c r="BD40" i="33"/>
  <c r="BC40" i="33"/>
  <c r="BC39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BI34" i="33"/>
  <c r="BI40" i="33" s="1"/>
  <c r="BI45" i="33" s="1"/>
  <c r="BI50" i="33" s="1"/>
  <c r="BM11" i="33" s="1"/>
  <c r="BQ38" i="33" s="1"/>
  <c r="BQ46" i="33" s="1"/>
  <c r="BF34" i="33"/>
  <c r="BF33" i="33"/>
  <c r="C33" i="33"/>
  <c r="B33" i="33"/>
  <c r="BF32" i="33"/>
  <c r="C32" i="33"/>
  <c r="B32" i="33"/>
  <c r="BE31" i="33"/>
  <c r="BI30" i="33"/>
  <c r="BI37" i="33" s="1"/>
  <c r="BI43" i="33" s="1"/>
  <c r="BI48" i="33" s="1"/>
  <c r="BI53" i="33" s="1"/>
  <c r="BI56" i="33" s="1"/>
  <c r="BI58" i="33" s="1"/>
  <c r="BI59" i="33" s="1"/>
  <c r="BF30" i="33"/>
  <c r="BE30" i="33"/>
  <c r="BF31" i="33" s="1"/>
  <c r="BD30" i="33"/>
  <c r="E30" i="33"/>
  <c r="D30" i="33"/>
  <c r="BI29" i="33"/>
  <c r="BI36" i="33" s="1"/>
  <c r="BI42" i="33" s="1"/>
  <c r="BI47" i="33" s="1"/>
  <c r="BI52" i="33" s="1"/>
  <c r="BI55" i="33" s="1"/>
  <c r="BI57" i="33" s="1"/>
  <c r="BE29" i="33"/>
  <c r="BD29" i="33"/>
  <c r="BC29" i="33"/>
  <c r="C29" i="33"/>
  <c r="B29" i="33"/>
  <c r="BI28" i="33"/>
  <c r="BI35" i="33" s="1"/>
  <c r="BI41" i="33" s="1"/>
  <c r="BI46" i="33" s="1"/>
  <c r="BI51" i="33" s="1"/>
  <c r="BI54" i="33" s="1"/>
  <c r="BE28" i="33"/>
  <c r="BF29" i="33" s="1"/>
  <c r="BD28" i="33"/>
  <c r="BC28" i="33"/>
  <c r="BI27" i="33"/>
  <c r="BF27" i="33"/>
  <c r="BE27" i="33"/>
  <c r="BF28" i="33" s="1"/>
  <c r="BD27" i="33"/>
  <c r="BC27" i="33"/>
  <c r="C27" i="33"/>
  <c r="B27" i="33"/>
  <c r="BI26" i="33"/>
  <c r="BI33" i="33" s="1"/>
  <c r="BI39" i="33" s="1"/>
  <c r="BI44" i="33" s="1"/>
  <c r="BF26" i="33"/>
  <c r="BE26" i="33"/>
  <c r="BD26" i="33"/>
  <c r="BC26" i="33"/>
  <c r="E26" i="33"/>
  <c r="E27" i="33" s="1"/>
  <c r="D26" i="33"/>
  <c r="D27" i="33" s="1"/>
  <c r="C26" i="33"/>
  <c r="B26" i="33"/>
  <c r="BI25" i="33"/>
  <c r="BI32" i="33" s="1"/>
  <c r="BI38" i="33" s="1"/>
  <c r="BM9" i="33" s="1"/>
  <c r="BC25" i="33"/>
  <c r="E25" i="33"/>
  <c r="D25" i="33"/>
  <c r="C25" i="33"/>
  <c r="B25" i="33"/>
  <c r="BI24" i="33"/>
  <c r="BI31" i="33" s="1"/>
  <c r="BM8" i="33" s="1"/>
  <c r="BQ23" i="33"/>
  <c r="BQ29" i="33" s="1"/>
  <c r="BQ36" i="33" s="1"/>
  <c r="BQ44" i="33" s="1"/>
  <c r="BI23" i="33"/>
  <c r="BM7" i="33" s="1"/>
  <c r="BQ13" i="33" s="1"/>
  <c r="BQ17" i="33" s="1"/>
  <c r="BQ21" i="33" s="1"/>
  <c r="BQ27" i="33" s="1"/>
  <c r="BQ34" i="33" s="1"/>
  <c r="BQ42" i="33" s="1"/>
  <c r="D23" i="33"/>
  <c r="BQ22" i="33"/>
  <c r="BQ28" i="33" s="1"/>
  <c r="BQ35" i="33" s="1"/>
  <c r="BQ43" i="33" s="1"/>
  <c r="B22" i="33"/>
  <c r="G13" i="33" s="1"/>
  <c r="B21" i="33"/>
  <c r="B20" i="33"/>
  <c r="BQ18" i="33"/>
  <c r="AA15" i="33"/>
  <c r="AB15" i="33" s="1"/>
  <c r="W15" i="33"/>
  <c r="V15" i="33"/>
  <c r="Q15" i="33"/>
  <c r="P15" i="33"/>
  <c r="W14" i="33"/>
  <c r="V14" i="33"/>
  <c r="Q14" i="33"/>
  <c r="P14" i="33"/>
  <c r="BM13" i="33"/>
  <c r="W13" i="33"/>
  <c r="V13" i="33"/>
  <c r="Q13" i="33"/>
  <c r="P13" i="33"/>
  <c r="BM12" i="33"/>
  <c r="BQ47" i="33" s="1"/>
  <c r="W12" i="33"/>
  <c r="V12" i="33"/>
  <c r="Q12" i="33"/>
  <c r="P12" i="33"/>
  <c r="Q11" i="33"/>
  <c r="W11" i="33" s="1"/>
  <c r="P11" i="33"/>
  <c r="BM10" i="33"/>
  <c r="BQ30" i="33" s="1"/>
  <c r="BQ37" i="33" s="1"/>
  <c r="BQ45" i="33" s="1"/>
  <c r="W10" i="33"/>
  <c r="V10" i="33"/>
  <c r="BQ9" i="33"/>
  <c r="BQ12" i="33" s="1"/>
  <c r="BQ16" i="33" s="1"/>
  <c r="BQ20" i="33" s="1"/>
  <c r="BQ26" i="33" s="1"/>
  <c r="BQ33" i="33" s="1"/>
  <c r="BQ41" i="33" s="1"/>
  <c r="W9" i="33"/>
  <c r="V9" i="33"/>
  <c r="Q9" i="33"/>
  <c r="P9" i="33"/>
  <c r="W8" i="33"/>
  <c r="V8" i="33"/>
  <c r="Q8" i="33"/>
  <c r="P8" i="33"/>
  <c r="W7" i="33"/>
  <c r="V7" i="33"/>
  <c r="Q7" i="33"/>
  <c r="P7" i="33"/>
  <c r="BQ6" i="33"/>
  <c r="BQ8" i="33" s="1"/>
  <c r="BQ11" i="33" s="1"/>
  <c r="BQ15" i="33" s="1"/>
  <c r="BQ19" i="33" s="1"/>
  <c r="BQ25" i="33" s="1"/>
  <c r="BQ32" i="33" s="1"/>
  <c r="BQ40" i="33" s="1"/>
  <c r="BM6" i="33"/>
  <c r="W6" i="33"/>
  <c r="V6" i="33"/>
  <c r="Q6" i="33"/>
  <c r="P6" i="33"/>
  <c r="BQ5" i="33"/>
  <c r="BQ7" i="33" s="1"/>
  <c r="BQ10" i="33" s="1"/>
  <c r="BQ14" i="33" s="1"/>
  <c r="BI49" i="33" s="1"/>
  <c r="BQ24" i="33" s="1"/>
  <c r="BQ31" i="33" s="1"/>
  <c r="BQ39" i="33" s="1"/>
  <c r="BM14" i="33" s="1"/>
  <c r="W5" i="33"/>
  <c r="V5" i="33"/>
  <c r="Q5" i="33"/>
  <c r="P5" i="33"/>
  <c r="W4" i="33"/>
  <c r="V4" i="33"/>
  <c r="Q4" i="33"/>
  <c r="P4" i="33"/>
  <c r="D3" i="33"/>
  <c r="Q1" i="33"/>
  <c r="P1" i="33"/>
  <c r="N1" i="33"/>
  <c r="N12" i="33" s="1"/>
  <c r="R16" i="32"/>
  <c r="U15" i="32"/>
  <c r="V15" i="32" s="1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R3" i="32" s="1"/>
  <c r="U2" i="32"/>
  <c r="T2" i="32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R41" i="35" l="1"/>
  <c r="R45" i="35"/>
  <c r="R48" i="35"/>
  <c r="R34" i="35"/>
  <c r="N37" i="35"/>
  <c r="R46" i="35"/>
  <c r="R32" i="35"/>
  <c r="R47" i="35"/>
  <c r="N23" i="35"/>
  <c r="R33" i="35"/>
  <c r="R31" i="35"/>
  <c r="U13" i="35"/>
  <c r="Y13" i="35" s="1"/>
  <c r="AG13" i="35" s="1"/>
  <c r="AH13" i="35" s="1"/>
  <c r="T12" i="35"/>
  <c r="X12" i="35" s="1"/>
  <c r="AA11" i="35" s="1"/>
  <c r="AB11" i="35" s="1"/>
  <c r="U8" i="35"/>
  <c r="Y8" i="35" s="1"/>
  <c r="AG8" i="35" s="1"/>
  <c r="AH8" i="35" s="1"/>
  <c r="T10" i="35"/>
  <c r="X10" i="35" s="1"/>
  <c r="AA9" i="35" s="1"/>
  <c r="U10" i="35"/>
  <c r="Y10" i="35" s="1"/>
  <c r="AG10" i="35" s="1"/>
  <c r="R26" i="35"/>
  <c r="R25" i="35"/>
  <c r="R29" i="35"/>
  <c r="R27" i="35"/>
  <c r="P23" i="35"/>
  <c r="R28" i="35"/>
  <c r="R30" i="35"/>
  <c r="U5" i="35"/>
  <c r="Y5" i="35" s="1"/>
  <c r="AG5" i="35" s="1"/>
  <c r="T5" i="35"/>
  <c r="X5" i="35" s="1"/>
  <c r="AA4" i="35" s="1"/>
  <c r="AH12" i="35"/>
  <c r="U15" i="35"/>
  <c r="Y15" i="35" s="1"/>
  <c r="AG15" i="35" s="1"/>
  <c r="T15" i="35"/>
  <c r="X15" i="35" s="1"/>
  <c r="AA14" i="35" s="1"/>
  <c r="R43" i="35"/>
  <c r="AH9" i="35"/>
  <c r="R44" i="35"/>
  <c r="U11" i="35"/>
  <c r="Y11" i="35" s="1"/>
  <c r="AG11" i="35" s="1"/>
  <c r="T11" i="35"/>
  <c r="X11" i="35" s="1"/>
  <c r="AA10" i="35" s="1"/>
  <c r="AB8" i="35"/>
  <c r="AB7" i="35"/>
  <c r="P37" i="35"/>
  <c r="R39" i="35"/>
  <c r="R42" i="35"/>
  <c r="U6" i="35"/>
  <c r="Y6" i="35" s="1"/>
  <c r="AG6" i="35" s="1"/>
  <c r="T6" i="35"/>
  <c r="X6" i="35" s="1"/>
  <c r="AA5" i="35" s="1"/>
  <c r="T14" i="35"/>
  <c r="X14" i="35" s="1"/>
  <c r="AA13" i="35" s="1"/>
  <c r="U14" i="35"/>
  <c r="Y14" i="35" s="1"/>
  <c r="AG14" i="35" s="1"/>
  <c r="U7" i="35"/>
  <c r="Y7" i="35" s="1"/>
  <c r="AG7" i="35" s="1"/>
  <c r="T7" i="35"/>
  <c r="X7" i="35" s="1"/>
  <c r="AA6" i="35" s="1"/>
  <c r="AB12" i="35"/>
  <c r="S2" i="35"/>
  <c r="U4" i="35"/>
  <c r="T4" i="35"/>
  <c r="R40" i="35"/>
  <c r="T48" i="34"/>
  <c r="T40" i="34"/>
  <c r="T46" i="34"/>
  <c r="T44" i="34"/>
  <c r="T49" i="34"/>
  <c r="C23" i="34"/>
  <c r="B24" i="34"/>
  <c r="T41" i="34"/>
  <c r="T45" i="34"/>
  <c r="S11" i="34"/>
  <c r="U11" i="34" s="1"/>
  <c r="Y11" i="34" s="1"/>
  <c r="AG11" i="34" s="1"/>
  <c r="S8" i="34"/>
  <c r="U8" i="34" s="1"/>
  <c r="Y8" i="34" s="1"/>
  <c r="AG8" i="34" s="1"/>
  <c r="S10" i="34"/>
  <c r="T10" i="34" s="1"/>
  <c r="X10" i="34" s="1"/>
  <c r="AA9" i="34" s="1"/>
  <c r="S14" i="34"/>
  <c r="T14" i="34" s="1"/>
  <c r="X14" i="34" s="1"/>
  <c r="AA13" i="34" s="1"/>
  <c r="T43" i="34"/>
  <c r="T42" i="34"/>
  <c r="T47" i="34"/>
  <c r="T39" i="34"/>
  <c r="C34" i="34"/>
  <c r="C24" i="34"/>
  <c r="T31" i="34"/>
  <c r="T32" i="34"/>
  <c r="T33" i="34"/>
  <c r="T35" i="34"/>
  <c r="T29" i="34"/>
  <c r="T26" i="34"/>
  <c r="T34" i="34"/>
  <c r="T30" i="34"/>
  <c r="T25" i="34"/>
  <c r="T27" i="34"/>
  <c r="T28" i="34"/>
  <c r="S12" i="34"/>
  <c r="N30" i="34"/>
  <c r="P30" i="34" s="1"/>
  <c r="R35" i="34" s="1"/>
  <c r="N29" i="34"/>
  <c r="P29" i="34" s="1"/>
  <c r="N26" i="34"/>
  <c r="N28" i="34"/>
  <c r="P28" i="34" s="1"/>
  <c r="N27" i="34"/>
  <c r="P27" i="34" s="1"/>
  <c r="N25" i="34"/>
  <c r="S4" i="34"/>
  <c r="S7" i="34"/>
  <c r="U15" i="34"/>
  <c r="Y15" i="34" s="1"/>
  <c r="AG15" i="34" s="1"/>
  <c r="T15" i="34"/>
  <c r="X15" i="34" s="1"/>
  <c r="AA14" i="34" s="1"/>
  <c r="S5" i="34"/>
  <c r="S13" i="34"/>
  <c r="S9" i="34"/>
  <c r="S6" i="34"/>
  <c r="V11" i="33"/>
  <c r="N13" i="33"/>
  <c r="N8" i="33"/>
  <c r="R8" i="33"/>
  <c r="R12" i="33"/>
  <c r="C31" i="33"/>
  <c r="W39" i="33" s="1"/>
  <c r="N6" i="33"/>
  <c r="R6" i="33" s="1"/>
  <c r="N7" i="33"/>
  <c r="R7" i="33" s="1"/>
  <c r="R13" i="33"/>
  <c r="N15" i="33"/>
  <c r="N5" i="33"/>
  <c r="R5" i="33" s="1"/>
  <c r="N4" i="33"/>
  <c r="N9" i="33"/>
  <c r="R9" i="33" s="1"/>
  <c r="N11" i="33"/>
  <c r="R11" i="33" s="1"/>
  <c r="N14" i="33"/>
  <c r="R14" i="33" s="1"/>
  <c r="R15" i="33"/>
  <c r="B31" i="33"/>
  <c r="W25" i="33" s="1"/>
  <c r="N10" i="33"/>
  <c r="R10" i="33" s="1"/>
  <c r="C22" i="33"/>
  <c r="G14" i="33" s="1"/>
  <c r="E23" i="33"/>
  <c r="BF44" i="33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F46" i="31"/>
  <c r="BE45" i="31"/>
  <c r="BE44" i="31"/>
  <c r="BF45" i="31" s="1"/>
  <c r="BD44" i="31"/>
  <c r="BF43" i="31"/>
  <c r="BE43" i="31"/>
  <c r="BF44" i="31" s="1"/>
  <c r="BD43" i="31"/>
  <c r="BC43" i="31"/>
  <c r="BF42" i="31"/>
  <c r="BE42" i="31"/>
  <c r="BD42" i="31"/>
  <c r="BC42" i="31"/>
  <c r="BF41" i="31"/>
  <c r="BE41" i="3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3" i="31"/>
  <c r="B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F30" i="31"/>
  <c r="BE30" i="31"/>
  <c r="BF31" i="31" s="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E23" i="31" s="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AA15" i="31"/>
  <c r="W15" i="31"/>
  <c r="V15" i="31"/>
  <c r="Q15" i="31"/>
  <c r="R15" i="31" s="1"/>
  <c r="W14" i="31"/>
  <c r="V14" i="31"/>
  <c r="Q14" i="31"/>
  <c r="P14" i="31"/>
  <c r="BQ13" i="31"/>
  <c r="BQ17" i="31" s="1"/>
  <c r="BQ21" i="31" s="1"/>
  <c r="BQ27" i="31" s="1"/>
  <c r="BQ34" i="31" s="1"/>
  <c r="BQ42" i="31" s="1"/>
  <c r="Q13" i="31"/>
  <c r="P13" i="31"/>
  <c r="W12" i="31"/>
  <c r="V12" i="31"/>
  <c r="Q12" i="31"/>
  <c r="P12" i="31"/>
  <c r="N12" i="31"/>
  <c r="BM11" i="31"/>
  <c r="BQ38" i="31" s="1"/>
  <c r="BQ46" i="31" s="1"/>
  <c r="Q11" i="31"/>
  <c r="P11" i="31"/>
  <c r="W10" i="31"/>
  <c r="V10" i="31"/>
  <c r="W9" i="31"/>
  <c r="V9" i="31"/>
  <c r="Q9" i="31"/>
  <c r="P9" i="31"/>
  <c r="W8" i="31"/>
  <c r="V8" i="31"/>
  <c r="Q8" i="31"/>
  <c r="P8" i="31"/>
  <c r="BQ7" i="31"/>
  <c r="BQ10" i="31" s="1"/>
  <c r="BQ14" i="31" s="1"/>
  <c r="BI49" i="31" s="1"/>
  <c r="BQ24" i="31" s="1"/>
  <c r="BQ31" i="31" s="1"/>
  <c r="BQ39" i="31" s="1"/>
  <c r="BM14" i="31" s="1"/>
  <c r="BM7" i="31"/>
  <c r="W7" i="31"/>
  <c r="V7" i="31"/>
  <c r="Q7" i="31"/>
  <c r="P7" i="31"/>
  <c r="N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N6" i="31"/>
  <c r="BQ5" i="31"/>
  <c r="W5" i="31"/>
  <c r="V5" i="31"/>
  <c r="Q5" i="31"/>
  <c r="P5" i="31"/>
  <c r="N5" i="31"/>
  <c r="W4" i="31"/>
  <c r="V4" i="31"/>
  <c r="Q4" i="31"/>
  <c r="P4" i="31"/>
  <c r="N4" i="31"/>
  <c r="D3" i="31"/>
  <c r="N1" i="31"/>
  <c r="N11" i="31" s="1"/>
  <c r="V27" i="35" l="1"/>
  <c r="AC25" i="35" s="1"/>
  <c r="AB10" i="35"/>
  <c r="AH15" i="35"/>
  <c r="V40" i="35"/>
  <c r="AH7" i="35"/>
  <c r="AH11" i="35"/>
  <c r="R37" i="35"/>
  <c r="V39" i="35"/>
  <c r="V47" i="35"/>
  <c r="V46" i="35"/>
  <c r="V45" i="35"/>
  <c r="V44" i="35"/>
  <c r="V43" i="35"/>
  <c r="V48" i="35"/>
  <c r="U2" i="35"/>
  <c r="Y4" i="35"/>
  <c r="AB13" i="35"/>
  <c r="AH6" i="35"/>
  <c r="V25" i="35"/>
  <c r="R23" i="35"/>
  <c r="V31" i="35"/>
  <c r="V30" i="35"/>
  <c r="V32" i="35"/>
  <c r="V33" i="35"/>
  <c r="V29" i="35"/>
  <c r="V34" i="35"/>
  <c r="AB4" i="35"/>
  <c r="V26" i="35"/>
  <c r="AB6" i="35"/>
  <c r="AH14" i="35"/>
  <c r="AH5" i="35"/>
  <c r="AH10" i="35"/>
  <c r="T2" i="35"/>
  <c r="X4" i="35"/>
  <c r="X2" i="35" s="1"/>
  <c r="AB9" i="35"/>
  <c r="AB5" i="35"/>
  <c r="V42" i="35"/>
  <c r="AB14" i="35"/>
  <c r="V28" i="35"/>
  <c r="V41" i="35"/>
  <c r="T11" i="34"/>
  <c r="X11" i="34" s="1"/>
  <c r="AA10" i="34" s="1"/>
  <c r="AB10" i="34" s="1"/>
  <c r="T8" i="34"/>
  <c r="X8" i="34" s="1"/>
  <c r="AA7" i="34" s="1"/>
  <c r="AB7" i="34" s="1"/>
  <c r="U10" i="34"/>
  <c r="Y10" i="34" s="1"/>
  <c r="AG10" i="34" s="1"/>
  <c r="AH10" i="34" s="1"/>
  <c r="U14" i="34"/>
  <c r="Y14" i="34" s="1"/>
  <c r="AG14" i="34" s="1"/>
  <c r="AH14" i="34" s="1"/>
  <c r="T37" i="34"/>
  <c r="R33" i="34"/>
  <c r="R34" i="34"/>
  <c r="P26" i="34"/>
  <c r="R31" i="34" s="1"/>
  <c r="U9" i="34"/>
  <c r="Y9" i="34" s="1"/>
  <c r="AG9" i="34" s="1"/>
  <c r="T9" i="34"/>
  <c r="X9" i="34" s="1"/>
  <c r="AA8" i="34" s="1"/>
  <c r="AH15" i="34"/>
  <c r="AB9" i="34"/>
  <c r="U12" i="34"/>
  <c r="Y12" i="34" s="1"/>
  <c r="AG12" i="34" s="1"/>
  <c r="T12" i="34"/>
  <c r="X12" i="34" s="1"/>
  <c r="AA11" i="34" s="1"/>
  <c r="N23" i="34"/>
  <c r="P25" i="34"/>
  <c r="AH8" i="34"/>
  <c r="AB13" i="34"/>
  <c r="R32" i="34"/>
  <c r="T23" i="34"/>
  <c r="U7" i="34"/>
  <c r="Y7" i="34" s="1"/>
  <c r="AG7" i="34" s="1"/>
  <c r="T7" i="34"/>
  <c r="X7" i="34" s="1"/>
  <c r="AA6" i="34" s="1"/>
  <c r="U4" i="34"/>
  <c r="T4" i="34"/>
  <c r="S2" i="34"/>
  <c r="U13" i="34"/>
  <c r="Y13" i="34" s="1"/>
  <c r="AG13" i="34" s="1"/>
  <c r="T13" i="34"/>
  <c r="X13" i="34" s="1"/>
  <c r="AA12" i="34" s="1"/>
  <c r="N43" i="34"/>
  <c r="P43" i="34" s="1"/>
  <c r="N41" i="34"/>
  <c r="P41" i="34" s="1"/>
  <c r="N44" i="34"/>
  <c r="P44" i="34" s="1"/>
  <c r="N40" i="34"/>
  <c r="P40" i="34" s="1"/>
  <c r="N39" i="34"/>
  <c r="N42" i="34"/>
  <c r="P42" i="34" s="1"/>
  <c r="U5" i="34"/>
  <c r="Y5" i="34" s="1"/>
  <c r="AG5" i="34" s="1"/>
  <c r="T5" i="34"/>
  <c r="X5" i="34" s="1"/>
  <c r="AA4" i="34" s="1"/>
  <c r="AH11" i="34"/>
  <c r="U6" i="34"/>
  <c r="Y6" i="34" s="1"/>
  <c r="AG6" i="34" s="1"/>
  <c r="T6" i="34"/>
  <c r="X6" i="34" s="1"/>
  <c r="AA5" i="34" s="1"/>
  <c r="AB14" i="34"/>
  <c r="V11" i="31"/>
  <c r="W11" i="31"/>
  <c r="B23" i="33"/>
  <c r="T41" i="33" s="1"/>
  <c r="N2" i="33"/>
  <c r="R4" i="33"/>
  <c r="V3" i="32"/>
  <c r="C31" i="32"/>
  <c r="D31" i="32" s="1"/>
  <c r="E31" i="32" s="1"/>
  <c r="R5" i="31"/>
  <c r="R12" i="31"/>
  <c r="B23" i="31"/>
  <c r="B24" i="31" s="1"/>
  <c r="N30" i="31" s="1"/>
  <c r="P30" i="31" s="1"/>
  <c r="R35" i="31" s="1"/>
  <c r="G14" i="31"/>
  <c r="G13" i="31"/>
  <c r="R6" i="31"/>
  <c r="R4" i="31"/>
  <c r="R11" i="31"/>
  <c r="N9" i="31"/>
  <c r="R9" i="31" s="1"/>
  <c r="D27" i="31"/>
  <c r="D23" i="31" s="1"/>
  <c r="C23" i="31"/>
  <c r="B34" i="31"/>
  <c r="N26" i="31"/>
  <c r="N10" i="31"/>
  <c r="R10" i="31" s="1"/>
  <c r="C31" i="31"/>
  <c r="W39" i="31" s="1"/>
  <c r="R7" i="31"/>
  <c r="N15" i="31"/>
  <c r="N14" i="31"/>
  <c r="R14" i="31" s="1"/>
  <c r="N13" i="31"/>
  <c r="R13" i="31" s="1"/>
  <c r="N8" i="31"/>
  <c r="AB15" i="31"/>
  <c r="T25" i="31"/>
  <c r="T27" i="31"/>
  <c r="N2" i="31" l="1"/>
  <c r="AD13" i="35"/>
  <c r="AC26" i="35"/>
  <c r="AC27" i="35"/>
  <c r="AD12" i="35"/>
  <c r="AC4" i="35"/>
  <c r="AD5" i="35"/>
  <c r="AD9" i="35"/>
  <c r="AD8" i="35"/>
  <c r="AC13" i="35"/>
  <c r="AD4" i="35"/>
  <c r="AI29" i="35"/>
  <c r="AI30" i="35"/>
  <c r="AI28" i="35"/>
  <c r="AI26" i="35"/>
  <c r="AI25" i="35"/>
  <c r="AI27" i="35"/>
  <c r="AK44" i="35"/>
  <c r="AK39" i="35"/>
  <c r="AK43" i="35"/>
  <c r="AK45" i="35"/>
  <c r="AK40" i="35"/>
  <c r="AK42" i="35"/>
  <c r="AK41" i="35"/>
  <c r="AA39" i="35"/>
  <c r="AA40" i="35"/>
  <c r="AD15" i="35"/>
  <c r="AB18" i="35"/>
  <c r="AC15" i="35"/>
  <c r="AC11" i="35"/>
  <c r="AC7" i="35"/>
  <c r="AC8" i="35"/>
  <c r="AC12" i="35"/>
  <c r="AD14" i="35"/>
  <c r="AC9" i="35"/>
  <c r="AD11" i="35"/>
  <c r="AM40" i="35"/>
  <c r="AM41" i="35"/>
  <c r="AM42" i="35"/>
  <c r="AM46" i="35"/>
  <c r="AM44" i="35"/>
  <c r="AM43" i="35"/>
  <c r="AM45" i="35"/>
  <c r="AM39" i="35"/>
  <c r="AK30" i="35"/>
  <c r="AK31" i="35"/>
  <c r="AK29" i="35"/>
  <c r="AK28" i="35"/>
  <c r="AK27" i="35"/>
  <c r="AK26" i="35"/>
  <c r="AK25" i="35"/>
  <c r="AC14" i="35"/>
  <c r="AC6" i="35"/>
  <c r="V23" i="35"/>
  <c r="V35" i="35" s="1"/>
  <c r="Y25" i="35"/>
  <c r="AG4" i="35"/>
  <c r="Y2" i="35"/>
  <c r="AO47" i="35"/>
  <c r="AO44" i="35"/>
  <c r="AO39" i="35"/>
  <c r="AO45" i="35"/>
  <c r="AO42" i="35"/>
  <c r="AO46" i="35"/>
  <c r="AO41" i="35"/>
  <c r="AO40" i="35"/>
  <c r="AO43" i="35"/>
  <c r="AD10" i="35"/>
  <c r="AE40" i="35"/>
  <c r="AE42" i="35"/>
  <c r="AE39" i="35"/>
  <c r="AE41" i="35"/>
  <c r="AD6" i="35"/>
  <c r="AQ32" i="35"/>
  <c r="AQ25" i="35"/>
  <c r="AQ28" i="35"/>
  <c r="AQ26" i="35"/>
  <c r="AQ31" i="35"/>
  <c r="AQ29" i="35"/>
  <c r="AQ30" i="35"/>
  <c r="AQ33" i="35"/>
  <c r="AQ27" i="35"/>
  <c r="AQ34" i="35"/>
  <c r="AD7" i="35"/>
  <c r="Y39" i="35"/>
  <c r="V37" i="35"/>
  <c r="V49" i="35" s="1"/>
  <c r="V36" i="35" s="1"/>
  <c r="AI44" i="35"/>
  <c r="AI43" i="35"/>
  <c r="AI41" i="35"/>
  <c r="AI39" i="35"/>
  <c r="AI40" i="35"/>
  <c r="AI42" i="35"/>
  <c r="AG25" i="35"/>
  <c r="AG26" i="35"/>
  <c r="AG27" i="35"/>
  <c r="AG28" i="35"/>
  <c r="AG29" i="35"/>
  <c r="AQ48" i="35"/>
  <c r="AQ42" i="35"/>
  <c r="AQ44" i="35"/>
  <c r="AQ43" i="35"/>
  <c r="AQ41" i="35"/>
  <c r="AQ47" i="35"/>
  <c r="AQ45" i="35"/>
  <c r="AQ39" i="35"/>
  <c r="AQ40" i="35"/>
  <c r="AQ46" i="35"/>
  <c r="AC10" i="35"/>
  <c r="AC41" i="35"/>
  <c r="AC39" i="35"/>
  <c r="AC40" i="35"/>
  <c r="AM28" i="35"/>
  <c r="AM29" i="35"/>
  <c r="AM30" i="35"/>
  <c r="AM25" i="35"/>
  <c r="AM31" i="35"/>
  <c r="AM32" i="35"/>
  <c r="AM27" i="35"/>
  <c r="AM26" i="35"/>
  <c r="AE25" i="35"/>
  <c r="AE27" i="35"/>
  <c r="AE28" i="35"/>
  <c r="AE26" i="35"/>
  <c r="AC5" i="35"/>
  <c r="AA26" i="35"/>
  <c r="AA25" i="35"/>
  <c r="AO32" i="35"/>
  <c r="AO28" i="35"/>
  <c r="AO31" i="35"/>
  <c r="AO26" i="35"/>
  <c r="AO33" i="35"/>
  <c r="AO30" i="35"/>
  <c r="AO29" i="35"/>
  <c r="AO25" i="35"/>
  <c r="AO27" i="35"/>
  <c r="AG43" i="35"/>
  <c r="AG42" i="35"/>
  <c r="AG40" i="35"/>
  <c r="AG41" i="35"/>
  <c r="AG39" i="35"/>
  <c r="AH12" i="34"/>
  <c r="AB4" i="34"/>
  <c r="AH5" i="34"/>
  <c r="AB6" i="34"/>
  <c r="AH9" i="34"/>
  <c r="AH7" i="34"/>
  <c r="R47" i="34"/>
  <c r="R49" i="34"/>
  <c r="R48" i="34"/>
  <c r="R46" i="34"/>
  <c r="R45" i="34"/>
  <c r="AH6" i="34"/>
  <c r="P39" i="34"/>
  <c r="R40" i="34" s="1"/>
  <c r="N37" i="34"/>
  <c r="AH13" i="34"/>
  <c r="R30" i="34"/>
  <c r="R29" i="34"/>
  <c r="R28" i="34"/>
  <c r="R27" i="34"/>
  <c r="R25" i="34"/>
  <c r="P23" i="34"/>
  <c r="U2" i="34"/>
  <c r="Y4" i="34"/>
  <c r="AB12" i="34"/>
  <c r="AB11" i="34"/>
  <c r="AB8" i="34"/>
  <c r="R41" i="34"/>
  <c r="AB5" i="34"/>
  <c r="R43" i="34"/>
  <c r="T2" i="34"/>
  <c r="X4" i="34"/>
  <c r="X2" i="34" s="1"/>
  <c r="R26" i="34"/>
  <c r="W6" i="32"/>
  <c r="X6" i="32" s="1"/>
  <c r="Y16" i="32"/>
  <c r="T45" i="33"/>
  <c r="B24" i="33"/>
  <c r="N29" i="33" s="1"/>
  <c r="P29" i="33" s="1"/>
  <c r="T48" i="33"/>
  <c r="T42" i="33"/>
  <c r="T46" i="33"/>
  <c r="T49" i="33"/>
  <c r="T47" i="33"/>
  <c r="T40" i="33"/>
  <c r="C23" i="33"/>
  <c r="T34" i="33" s="1"/>
  <c r="B34" i="33"/>
  <c r="T43" i="33"/>
  <c r="T39" i="33"/>
  <c r="T44" i="33"/>
  <c r="R2" i="33"/>
  <c r="S4" i="33" s="1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N25" i="31"/>
  <c r="N27" i="31"/>
  <c r="P27" i="31" s="1"/>
  <c r="N28" i="31"/>
  <c r="P28" i="31" s="1"/>
  <c r="R33" i="31" s="1"/>
  <c r="N29" i="31"/>
  <c r="P29" i="31" s="1"/>
  <c r="R34" i="31" s="1"/>
  <c r="R8" i="31"/>
  <c r="R32" i="31"/>
  <c r="T34" i="31"/>
  <c r="B31" i="31"/>
  <c r="T28" i="31"/>
  <c r="T33" i="31"/>
  <c r="P25" i="31"/>
  <c r="C34" i="31"/>
  <c r="T26" i="31"/>
  <c r="T30" i="31"/>
  <c r="T29" i="31"/>
  <c r="C24" i="31"/>
  <c r="P26" i="31"/>
  <c r="R31" i="31" s="1"/>
  <c r="T32" i="31"/>
  <c r="T31" i="31"/>
  <c r="T35" i="31"/>
  <c r="AC23" i="35" l="1"/>
  <c r="AQ37" i="35"/>
  <c r="AA37" i="35"/>
  <c r="AM37" i="35"/>
  <c r="AK23" i="35"/>
  <c r="AC18" i="35"/>
  <c r="L26" i="35" s="1"/>
  <c r="AM23" i="35"/>
  <c r="AI23" i="35"/>
  <c r="L25" i="35"/>
  <c r="AS32" i="35"/>
  <c r="J32" i="35" s="1"/>
  <c r="AS33" i="35"/>
  <c r="J33" i="35" s="1"/>
  <c r="AS28" i="35"/>
  <c r="J28" i="35" s="1"/>
  <c r="AS29" i="35"/>
  <c r="J29" i="35" s="1"/>
  <c r="AS35" i="35"/>
  <c r="J35" i="35" s="1"/>
  <c r="AS27" i="35"/>
  <c r="J27" i="35" s="1"/>
  <c r="AS30" i="35"/>
  <c r="J30" i="35" s="1"/>
  <c r="AS25" i="35"/>
  <c r="J25" i="35" s="1"/>
  <c r="AS26" i="35"/>
  <c r="J26" i="35" s="1"/>
  <c r="AS31" i="35"/>
  <c r="J31" i="35" s="1"/>
  <c r="AS34" i="35"/>
  <c r="J34" i="35" s="1"/>
  <c r="AI37" i="35"/>
  <c r="AQ23" i="35"/>
  <c r="AO37" i="35"/>
  <c r="AE23" i="35"/>
  <c r="AO23" i="35"/>
  <c r="AA23" i="35"/>
  <c r="AC37" i="35"/>
  <c r="AS49" i="35"/>
  <c r="J49" i="35" s="1"/>
  <c r="AS46" i="35"/>
  <c r="J46" i="35" s="1"/>
  <c r="AS48" i="35"/>
  <c r="J48" i="35" s="1"/>
  <c r="AS45" i="35"/>
  <c r="J45" i="35" s="1"/>
  <c r="AS39" i="35"/>
  <c r="AS43" i="35"/>
  <c r="J43" i="35" s="1"/>
  <c r="AS40" i="35"/>
  <c r="J40" i="35" s="1"/>
  <c r="AS44" i="35"/>
  <c r="J44" i="35" s="1"/>
  <c r="AS42" i="35"/>
  <c r="J42" i="35" s="1"/>
  <c r="AS47" i="35"/>
  <c r="J47" i="35" s="1"/>
  <c r="AS41" i="35"/>
  <c r="J41" i="35" s="1"/>
  <c r="AI4" i="35"/>
  <c r="AH4" i="35"/>
  <c r="AJ4" i="35"/>
  <c r="AK37" i="35"/>
  <c r="AD18" i="35"/>
  <c r="L27" i="35" s="1"/>
  <c r="AG23" i="35"/>
  <c r="AE37" i="35"/>
  <c r="V22" i="35"/>
  <c r="AG37" i="35"/>
  <c r="Y37" i="35"/>
  <c r="Y23" i="35"/>
  <c r="AD8" i="34"/>
  <c r="AC12" i="34"/>
  <c r="AC5" i="34"/>
  <c r="AD5" i="34"/>
  <c r="AD9" i="34"/>
  <c r="R42" i="34"/>
  <c r="AC4" i="34"/>
  <c r="AC11" i="34"/>
  <c r="AC6" i="34"/>
  <c r="AD4" i="34"/>
  <c r="AD11" i="34"/>
  <c r="AD6" i="34"/>
  <c r="V25" i="34"/>
  <c r="R23" i="34"/>
  <c r="V32" i="34"/>
  <c r="V31" i="34"/>
  <c r="V33" i="34"/>
  <c r="V30" i="34"/>
  <c r="V29" i="34"/>
  <c r="V34" i="34"/>
  <c r="V27" i="34"/>
  <c r="AD13" i="34"/>
  <c r="Y2" i="34"/>
  <c r="AG4" i="34"/>
  <c r="AD12" i="34"/>
  <c r="V28" i="34"/>
  <c r="R39" i="34"/>
  <c r="V41" i="34" s="1"/>
  <c r="P37" i="34"/>
  <c r="AD10" i="34"/>
  <c r="V26" i="34"/>
  <c r="AC8" i="34"/>
  <c r="R44" i="34"/>
  <c r="AB18" i="34"/>
  <c r="AC15" i="34"/>
  <c r="AD15" i="34"/>
  <c r="AC9" i="34"/>
  <c r="AC10" i="34"/>
  <c r="AC14" i="34"/>
  <c r="AD14" i="34"/>
  <c r="AC7" i="34"/>
  <c r="AC13" i="34"/>
  <c r="AD7" i="34"/>
  <c r="Y6" i="32"/>
  <c r="C34" i="33"/>
  <c r="T28" i="33"/>
  <c r="N28" i="33"/>
  <c r="P28" i="33" s="1"/>
  <c r="N27" i="33"/>
  <c r="P27" i="33" s="1"/>
  <c r="T27" i="33"/>
  <c r="T35" i="33"/>
  <c r="T32" i="33"/>
  <c r="T30" i="33"/>
  <c r="T29" i="33"/>
  <c r="T31" i="33"/>
  <c r="T26" i="33"/>
  <c r="N30" i="33"/>
  <c r="P30" i="33" s="1"/>
  <c r="R35" i="33" s="1"/>
  <c r="T33" i="33"/>
  <c r="T25" i="33"/>
  <c r="N25" i="33"/>
  <c r="P25" i="33" s="1"/>
  <c r="C24" i="33"/>
  <c r="N39" i="33" s="1"/>
  <c r="N26" i="33"/>
  <c r="T37" i="33"/>
  <c r="S13" i="33"/>
  <c r="U13" i="33" s="1"/>
  <c r="Y13" i="33" s="1"/>
  <c r="AG13" i="33" s="1"/>
  <c r="S8" i="33"/>
  <c r="T8" i="33" s="1"/>
  <c r="X8" i="33" s="1"/>
  <c r="AA7" i="33" s="1"/>
  <c r="U4" i="33"/>
  <c r="T4" i="33"/>
  <c r="S14" i="33"/>
  <c r="S11" i="33"/>
  <c r="S7" i="33"/>
  <c r="S6" i="33"/>
  <c r="S10" i="33"/>
  <c r="S5" i="33"/>
  <c r="S9" i="33"/>
  <c r="S15" i="33"/>
  <c r="S12" i="33"/>
  <c r="Y7" i="32"/>
  <c r="Y9" i="32"/>
  <c r="Y10" i="32"/>
  <c r="Y12" i="32"/>
  <c r="X8" i="32"/>
  <c r="Y15" i="32"/>
  <c r="Y11" i="32"/>
  <c r="Y14" i="32"/>
  <c r="Y13" i="32"/>
  <c r="W3" i="32"/>
  <c r="X5" i="32"/>
  <c r="N23" i="31"/>
  <c r="T23" i="31"/>
  <c r="W25" i="31"/>
  <c r="T39" i="31"/>
  <c r="T41" i="31"/>
  <c r="T49" i="31"/>
  <c r="T43" i="31"/>
  <c r="T40" i="31"/>
  <c r="T45" i="31"/>
  <c r="T48" i="31"/>
  <c r="T44" i="31"/>
  <c r="T46" i="31"/>
  <c r="T47" i="31"/>
  <c r="T42" i="31"/>
  <c r="R26" i="31"/>
  <c r="R30" i="31"/>
  <c r="R29" i="31"/>
  <c r="R28" i="31"/>
  <c r="R27" i="31"/>
  <c r="R25" i="31"/>
  <c r="P23" i="31"/>
  <c r="N43" i="31"/>
  <c r="P43" i="31" s="1"/>
  <c r="N41" i="31"/>
  <c r="P41" i="31" s="1"/>
  <c r="N44" i="31"/>
  <c r="P44" i="31" s="1"/>
  <c r="N40" i="31"/>
  <c r="P40" i="31" s="1"/>
  <c r="N39" i="31"/>
  <c r="N42" i="31"/>
  <c r="P42" i="31" s="1"/>
  <c r="R2" i="31"/>
  <c r="AS23" i="35" l="1"/>
  <c r="AS22" i="35" s="1"/>
  <c r="H25" i="35"/>
  <c r="H27" i="35"/>
  <c r="H26" i="35"/>
  <c r="AH18" i="35"/>
  <c r="AI8" i="35"/>
  <c r="AI13" i="35"/>
  <c r="AI9" i="35"/>
  <c r="AI12" i="35"/>
  <c r="AJ8" i="35"/>
  <c r="AJ7" i="35"/>
  <c r="AI6" i="35"/>
  <c r="AJ12" i="35"/>
  <c r="AI7" i="35"/>
  <c r="AI5" i="35"/>
  <c r="AJ11" i="35"/>
  <c r="AJ10" i="35"/>
  <c r="AI14" i="35"/>
  <c r="AI11" i="35"/>
  <c r="AJ6" i="35"/>
  <c r="AJ15" i="35"/>
  <c r="AJ14" i="35"/>
  <c r="AI10" i="35"/>
  <c r="AI15" i="35"/>
  <c r="AJ9" i="35"/>
  <c r="AJ13" i="35"/>
  <c r="AJ5" i="35"/>
  <c r="AS37" i="35"/>
  <c r="AS36" i="35" s="1"/>
  <c r="AE18" i="35"/>
  <c r="L28" i="35" s="1"/>
  <c r="H31" i="35" s="1"/>
  <c r="J39" i="35"/>
  <c r="J37" i="35" s="1"/>
  <c r="J23" i="35"/>
  <c r="AD18" i="34"/>
  <c r="L27" i="34" s="1"/>
  <c r="AO31" i="34"/>
  <c r="AO28" i="34"/>
  <c r="AO29" i="34"/>
  <c r="AO27" i="34"/>
  <c r="AO26" i="34"/>
  <c r="AO25" i="34"/>
  <c r="AO33" i="34"/>
  <c r="AO30" i="34"/>
  <c r="AO32" i="34"/>
  <c r="L25" i="34"/>
  <c r="AC41" i="34"/>
  <c r="AC40" i="34"/>
  <c r="AC39" i="34"/>
  <c r="AH4" i="34"/>
  <c r="AJ4" i="34"/>
  <c r="AI4" i="34"/>
  <c r="AA26" i="34"/>
  <c r="AA25" i="34"/>
  <c r="AM28" i="34"/>
  <c r="AM27" i="34"/>
  <c r="AM25" i="34"/>
  <c r="AM30" i="34"/>
  <c r="AM26" i="34"/>
  <c r="AM32" i="34"/>
  <c r="AM31" i="34"/>
  <c r="AM29" i="34"/>
  <c r="AK25" i="34"/>
  <c r="AK26" i="34"/>
  <c r="AK30" i="34"/>
  <c r="AK28" i="34"/>
  <c r="AK29" i="34"/>
  <c r="AK31" i="34"/>
  <c r="AK27" i="34"/>
  <c r="AC26" i="34"/>
  <c r="AC25" i="34"/>
  <c r="AC27" i="34"/>
  <c r="AC18" i="34"/>
  <c r="L26" i="34" s="1"/>
  <c r="R37" i="34"/>
  <c r="V39" i="34"/>
  <c r="V43" i="34"/>
  <c r="V47" i="34"/>
  <c r="V44" i="34"/>
  <c r="V45" i="34"/>
  <c r="V48" i="34"/>
  <c r="V46" i="34"/>
  <c r="AQ31" i="34"/>
  <c r="AQ30" i="34"/>
  <c r="AQ29" i="34"/>
  <c r="AQ28" i="34"/>
  <c r="AQ27" i="34"/>
  <c r="AQ34" i="34"/>
  <c r="AQ33" i="34"/>
  <c r="AQ32" i="34"/>
  <c r="AQ25" i="34"/>
  <c r="AQ26" i="34"/>
  <c r="Y25" i="34"/>
  <c r="V23" i="34"/>
  <c r="V35" i="34" s="1"/>
  <c r="V22" i="34" s="1"/>
  <c r="V40" i="34"/>
  <c r="AE26" i="34"/>
  <c r="AE27" i="34"/>
  <c r="AE25" i="34"/>
  <c r="AE28" i="34"/>
  <c r="AG25" i="34"/>
  <c r="AG26" i="34"/>
  <c r="AG27" i="34"/>
  <c r="AG28" i="34"/>
  <c r="AG29" i="34"/>
  <c r="V42" i="34"/>
  <c r="AI25" i="34"/>
  <c r="AI28" i="34"/>
  <c r="AI26" i="34"/>
  <c r="AI29" i="34"/>
  <c r="AI30" i="34"/>
  <c r="AI27" i="34"/>
  <c r="R32" i="33"/>
  <c r="N42" i="33"/>
  <c r="P42" i="33" s="1"/>
  <c r="N40" i="33"/>
  <c r="P40" i="33" s="1"/>
  <c r="R40" i="33" s="1"/>
  <c r="N44" i="33"/>
  <c r="P44" i="33" s="1"/>
  <c r="R49" i="33" s="1"/>
  <c r="N41" i="33"/>
  <c r="P41" i="33" s="1"/>
  <c r="N43" i="33"/>
  <c r="P43" i="33" s="1"/>
  <c r="U15" i="33"/>
  <c r="Y15" i="33" s="1"/>
  <c r="AG15" i="33" s="1"/>
  <c r="AH15" i="33" s="1"/>
  <c r="T15" i="33"/>
  <c r="X15" i="33" s="1"/>
  <c r="AA14" i="33" s="1"/>
  <c r="AB14" i="33" s="1"/>
  <c r="T13" i="33"/>
  <c r="X13" i="33" s="1"/>
  <c r="AA12" i="33" s="1"/>
  <c r="AB12" i="33" s="1"/>
  <c r="R34" i="33"/>
  <c r="N23" i="33"/>
  <c r="R33" i="33"/>
  <c r="T23" i="33"/>
  <c r="P26" i="33"/>
  <c r="R31" i="33" s="1"/>
  <c r="U8" i="33"/>
  <c r="Y8" i="33" s="1"/>
  <c r="AG8" i="33" s="1"/>
  <c r="AH8" i="33" s="1"/>
  <c r="AB7" i="33"/>
  <c r="T5" i="33"/>
  <c r="X5" i="33" s="1"/>
  <c r="AA4" i="33" s="1"/>
  <c r="U5" i="33"/>
  <c r="Y5" i="33" s="1"/>
  <c r="AG5" i="33" s="1"/>
  <c r="T6" i="33"/>
  <c r="X6" i="33" s="1"/>
  <c r="AA5" i="33" s="1"/>
  <c r="U6" i="33"/>
  <c r="Y6" i="33" s="1"/>
  <c r="AG6" i="33" s="1"/>
  <c r="T7" i="33"/>
  <c r="X7" i="33" s="1"/>
  <c r="AA6" i="33" s="1"/>
  <c r="U7" i="33"/>
  <c r="Y7" i="33" s="1"/>
  <c r="AG7" i="33" s="1"/>
  <c r="R25" i="33"/>
  <c r="T11" i="33"/>
  <c r="X11" i="33" s="1"/>
  <c r="AA10" i="33" s="1"/>
  <c r="U11" i="33"/>
  <c r="Y11" i="33" s="1"/>
  <c r="AG11" i="33" s="1"/>
  <c r="U12" i="33"/>
  <c r="Y12" i="33" s="1"/>
  <c r="AG12" i="33" s="1"/>
  <c r="T12" i="33"/>
  <c r="X12" i="33" s="1"/>
  <c r="AA11" i="33" s="1"/>
  <c r="T14" i="33"/>
  <c r="X14" i="33" s="1"/>
  <c r="AA13" i="33" s="1"/>
  <c r="U14" i="33"/>
  <c r="Y14" i="33" s="1"/>
  <c r="AG14" i="33" s="1"/>
  <c r="X4" i="33"/>
  <c r="Y4" i="33"/>
  <c r="U9" i="33"/>
  <c r="Y9" i="33" s="1"/>
  <c r="AG9" i="33" s="1"/>
  <c r="T9" i="33"/>
  <c r="X9" i="33" s="1"/>
  <c r="AA8" i="33" s="1"/>
  <c r="P39" i="33"/>
  <c r="S2" i="33"/>
  <c r="U10" i="33"/>
  <c r="Y10" i="33" s="1"/>
  <c r="AG10" i="33" s="1"/>
  <c r="T10" i="33"/>
  <c r="X10" i="33" s="1"/>
  <c r="AA9" i="33" s="1"/>
  <c r="AH13" i="33"/>
  <c r="X3" i="32"/>
  <c r="Y3" i="32"/>
  <c r="V26" i="31"/>
  <c r="V29" i="3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6" i="31"/>
  <c r="R45" i="31"/>
  <c r="R49" i="31"/>
  <c r="S8" i="31"/>
  <c r="R41" i="31"/>
  <c r="V34" i="31"/>
  <c r="AQ31" i="31" s="1"/>
  <c r="R23" i="31"/>
  <c r="V25" i="31"/>
  <c r="T37" i="31"/>
  <c r="V31" i="31"/>
  <c r="AK26" i="31" s="1"/>
  <c r="R42" i="31"/>
  <c r="P39" i="31"/>
  <c r="R44" i="31" s="1"/>
  <c r="N37" i="31"/>
  <c r="V27" i="31"/>
  <c r="AQ33" i="31"/>
  <c r="AQ34" i="31"/>
  <c r="AQ29" i="31"/>
  <c r="AQ28" i="31"/>
  <c r="AQ27" i="31"/>
  <c r="AQ25" i="31"/>
  <c r="AA25" i="31"/>
  <c r="AK31" i="31"/>
  <c r="AQ30" i="31"/>
  <c r="AO30" i="31"/>
  <c r="AG26" i="31"/>
  <c r="AK27" i="31"/>
  <c r="AK30" i="31"/>
  <c r="AC26" i="31"/>
  <c r="AQ32" i="31"/>
  <c r="AG29" i="31"/>
  <c r="AG28" i="31"/>
  <c r="AG27" i="31"/>
  <c r="AQ26" i="31"/>
  <c r="AA26" i="31"/>
  <c r="AG25" i="31"/>
  <c r="AC27" i="31"/>
  <c r="AM32" i="31"/>
  <c r="AC25" i="31"/>
  <c r="V30" i="31"/>
  <c r="AI29" i="31" s="1"/>
  <c r="R40" i="31"/>
  <c r="V28" i="31"/>
  <c r="AE27" i="31" s="1"/>
  <c r="V32" i="31"/>
  <c r="AM25" i="31" s="1"/>
  <c r="U13" i="31" l="1"/>
  <c r="Y13" i="31" s="1"/>
  <c r="AG13" i="31" s="1"/>
  <c r="T13" i="31"/>
  <c r="X13" i="31" s="1"/>
  <c r="AA12" i="31" s="1"/>
  <c r="U11" i="31"/>
  <c r="Y11" i="31" s="1"/>
  <c r="AG11" i="31" s="1"/>
  <c r="T11" i="31"/>
  <c r="X11" i="31" s="1"/>
  <c r="AA10" i="31" s="1"/>
  <c r="H35" i="35"/>
  <c r="H28" i="35"/>
  <c r="H29" i="35"/>
  <c r="H34" i="35"/>
  <c r="H32" i="35"/>
  <c r="H30" i="35"/>
  <c r="AJ18" i="35"/>
  <c r="L41" i="35" s="1"/>
  <c r="AI18" i="35"/>
  <c r="L40" i="35" s="1"/>
  <c r="H33" i="35"/>
  <c r="L39" i="35"/>
  <c r="L23" i="35"/>
  <c r="AE23" i="34"/>
  <c r="AA23" i="34"/>
  <c r="AE18" i="34"/>
  <c r="L28" i="34" s="1"/>
  <c r="L23" i="34" s="1"/>
  <c r="AM42" i="34"/>
  <c r="AM40" i="34"/>
  <c r="AM39" i="34"/>
  <c r="AM45" i="34"/>
  <c r="AM46" i="34"/>
  <c r="AM43" i="34"/>
  <c r="AM44" i="34"/>
  <c r="AM41" i="34"/>
  <c r="AH18" i="34"/>
  <c r="AJ15" i="34"/>
  <c r="AI11" i="34"/>
  <c r="AI15" i="34"/>
  <c r="AI8" i="34"/>
  <c r="AJ14" i="34"/>
  <c r="AI14" i="34"/>
  <c r="AI10" i="34"/>
  <c r="AJ11" i="34"/>
  <c r="AI13" i="34"/>
  <c r="AI9" i="34"/>
  <c r="AJ9" i="34"/>
  <c r="AJ10" i="34"/>
  <c r="AJ6" i="34"/>
  <c r="AI12" i="34"/>
  <c r="AI5" i="34"/>
  <c r="AJ8" i="34"/>
  <c r="AJ7" i="34"/>
  <c r="AI7" i="34"/>
  <c r="AI6" i="34"/>
  <c r="AJ13" i="34"/>
  <c r="AJ5" i="34"/>
  <c r="AJ12" i="34"/>
  <c r="AQ42" i="34"/>
  <c r="AQ48" i="34"/>
  <c r="AQ41" i="34"/>
  <c r="AQ46" i="34"/>
  <c r="AQ40" i="34"/>
  <c r="AQ47" i="34"/>
  <c r="AQ45" i="34"/>
  <c r="AQ39" i="34"/>
  <c r="AQ44" i="34"/>
  <c r="AQ43" i="34"/>
  <c r="AM23" i="34"/>
  <c r="AC37" i="34"/>
  <c r="AO23" i="34"/>
  <c r="AI23" i="34"/>
  <c r="V37" i="34"/>
  <c r="V49" i="34" s="1"/>
  <c r="Y39" i="34"/>
  <c r="AE41" i="34"/>
  <c r="AE39" i="34"/>
  <c r="AE40" i="34"/>
  <c r="AE42" i="34"/>
  <c r="AA40" i="34"/>
  <c r="AA39" i="34"/>
  <c r="AK41" i="34"/>
  <c r="AK40" i="34"/>
  <c r="AK43" i="34"/>
  <c r="AK39" i="34"/>
  <c r="AK45" i="34"/>
  <c r="AK44" i="34"/>
  <c r="AK42" i="34"/>
  <c r="AQ23" i="34"/>
  <c r="AC23" i="34"/>
  <c r="AK23" i="34"/>
  <c r="AI41" i="34"/>
  <c r="AI40" i="34"/>
  <c r="AI39" i="34"/>
  <c r="AI43" i="34"/>
  <c r="AI42" i="34"/>
  <c r="AI44" i="34"/>
  <c r="AG23" i="34"/>
  <c r="Y23" i="34"/>
  <c r="AO41" i="34"/>
  <c r="AO42" i="34"/>
  <c r="AO46" i="34"/>
  <c r="AO43" i="34"/>
  <c r="AO45" i="34"/>
  <c r="AO47" i="34"/>
  <c r="AO44" i="34"/>
  <c r="AO39" i="34"/>
  <c r="AO40" i="34"/>
  <c r="AS31" i="34"/>
  <c r="J31" i="34" s="1"/>
  <c r="AS30" i="34"/>
  <c r="J30" i="34" s="1"/>
  <c r="AS26" i="34"/>
  <c r="J26" i="34" s="1"/>
  <c r="AS28" i="34"/>
  <c r="J28" i="34" s="1"/>
  <c r="AS35" i="34"/>
  <c r="J35" i="34" s="1"/>
  <c r="AS29" i="34"/>
  <c r="J29" i="34" s="1"/>
  <c r="AS27" i="34"/>
  <c r="J27" i="34" s="1"/>
  <c r="AS32" i="34"/>
  <c r="J32" i="34" s="1"/>
  <c r="AS33" i="34"/>
  <c r="J33" i="34" s="1"/>
  <c r="AS25" i="34"/>
  <c r="J25" i="34" s="1"/>
  <c r="H25" i="34" s="1"/>
  <c r="AS34" i="34"/>
  <c r="J34" i="34" s="1"/>
  <c r="AG41" i="34"/>
  <c r="AG40" i="34"/>
  <c r="AG39" i="34"/>
  <c r="AG42" i="34"/>
  <c r="AG43" i="34"/>
  <c r="R47" i="33"/>
  <c r="R45" i="33"/>
  <c r="R46" i="33"/>
  <c r="N37" i="33"/>
  <c r="R48" i="33"/>
  <c r="R43" i="33"/>
  <c r="R27" i="33"/>
  <c r="R28" i="33"/>
  <c r="R29" i="33"/>
  <c r="R30" i="33"/>
  <c r="P23" i="33"/>
  <c r="R26" i="33"/>
  <c r="R44" i="33"/>
  <c r="AG4" i="33"/>
  <c r="Y2" i="33"/>
  <c r="AB11" i="33"/>
  <c r="AB13" i="33"/>
  <c r="U2" i="33"/>
  <c r="AH12" i="33"/>
  <c r="AH6" i="33"/>
  <c r="AB9" i="33"/>
  <c r="R39" i="33"/>
  <c r="P37" i="33"/>
  <c r="R42" i="33"/>
  <c r="AH11" i="33"/>
  <c r="R41" i="33"/>
  <c r="AB5" i="33"/>
  <c r="AB8" i="33"/>
  <c r="AB10" i="33"/>
  <c r="AH5" i="33"/>
  <c r="AH9" i="33"/>
  <c r="T2" i="33"/>
  <c r="V25" i="33"/>
  <c r="AH7" i="33"/>
  <c r="AB4" i="33"/>
  <c r="AH10" i="33"/>
  <c r="X2" i="33"/>
  <c r="AB6" i="33"/>
  <c r="AH14" i="33"/>
  <c r="U15" i="31"/>
  <c r="Y15" i="31" s="1"/>
  <c r="AG15" i="31" s="1"/>
  <c r="T15" i="31"/>
  <c r="X15" i="31" s="1"/>
  <c r="AA14" i="31" s="1"/>
  <c r="T7" i="31"/>
  <c r="X7" i="31" s="1"/>
  <c r="AA6" i="31" s="1"/>
  <c r="U7" i="31"/>
  <c r="Y7" i="31" s="1"/>
  <c r="AG7" i="31" s="1"/>
  <c r="U9" i="31"/>
  <c r="Y9" i="31" s="1"/>
  <c r="AG9" i="31" s="1"/>
  <c r="T9" i="31"/>
  <c r="X9" i="31" s="1"/>
  <c r="AA8" i="31" s="1"/>
  <c r="T12" i="31"/>
  <c r="X12" i="31" s="1"/>
  <c r="AA11" i="31" s="1"/>
  <c r="U12" i="31"/>
  <c r="Y12" i="31" s="1"/>
  <c r="AG12" i="31" s="1"/>
  <c r="T6" i="31"/>
  <c r="X6" i="31" s="1"/>
  <c r="AA5" i="31" s="1"/>
  <c r="U6" i="31"/>
  <c r="Y6" i="31" s="1"/>
  <c r="AG6" i="31" s="1"/>
  <c r="T14" i="31"/>
  <c r="X14" i="31" s="1"/>
  <c r="AA13" i="31" s="1"/>
  <c r="U14" i="31"/>
  <c r="Y14" i="31" s="1"/>
  <c r="AG14" i="31" s="1"/>
  <c r="U8" i="31"/>
  <c r="Y8" i="31" s="1"/>
  <c r="AG8" i="31" s="1"/>
  <c r="T8" i="31"/>
  <c r="X8" i="31" s="1"/>
  <c r="AA7" i="31" s="1"/>
  <c r="U5" i="31"/>
  <c r="Y5" i="31" s="1"/>
  <c r="AG5" i="31" s="1"/>
  <c r="T5" i="31"/>
  <c r="X5" i="31" s="1"/>
  <c r="AA4" i="31" s="1"/>
  <c r="U4" i="31"/>
  <c r="T4" i="31"/>
  <c r="AO32" i="31"/>
  <c r="AO25" i="31"/>
  <c r="AO31" i="31"/>
  <c r="AO27" i="31"/>
  <c r="AO28" i="31"/>
  <c r="AG23" i="31"/>
  <c r="AO29" i="31"/>
  <c r="AM31" i="31"/>
  <c r="AC23" i="31"/>
  <c r="AO26" i="31"/>
  <c r="AM28" i="31"/>
  <c r="AM29" i="31"/>
  <c r="AE28" i="31"/>
  <c r="AM27" i="31"/>
  <c r="S2" i="31"/>
  <c r="AE26" i="31"/>
  <c r="AK28" i="31"/>
  <c r="AA23" i="31"/>
  <c r="AK25" i="31"/>
  <c r="AM26" i="31"/>
  <c r="AI27" i="31"/>
  <c r="AK29" i="31"/>
  <c r="AQ23" i="31"/>
  <c r="AE25" i="31"/>
  <c r="AE23" i="31" s="1"/>
  <c r="Y25" i="31"/>
  <c r="V23" i="31"/>
  <c r="V35" i="31" s="1"/>
  <c r="V22" i="31" s="1"/>
  <c r="U10" i="31"/>
  <c r="Y10" i="31" s="1"/>
  <c r="AG10" i="31" s="1"/>
  <c r="T10" i="31"/>
  <c r="X10" i="31" s="1"/>
  <c r="AA9" i="31" s="1"/>
  <c r="AI30" i="31"/>
  <c r="AI28" i="31"/>
  <c r="AM30" i="31"/>
  <c r="AI26" i="31"/>
  <c r="AI25" i="31"/>
  <c r="P37" i="31"/>
  <c r="R39" i="31"/>
  <c r="V40" i="31" s="1"/>
  <c r="R43" i="31"/>
  <c r="H23" i="35" l="1"/>
  <c r="AK18" i="35"/>
  <c r="L42" i="35" s="1"/>
  <c r="H44" i="35" s="1"/>
  <c r="H40" i="35"/>
  <c r="H39" i="35"/>
  <c r="H41" i="35"/>
  <c r="AI18" i="34"/>
  <c r="L40" i="34" s="1"/>
  <c r="H27" i="34"/>
  <c r="H28" i="34"/>
  <c r="AJ18" i="34"/>
  <c r="L41" i="34" s="1"/>
  <c r="H32" i="34"/>
  <c r="H33" i="34"/>
  <c r="H31" i="34"/>
  <c r="H30" i="34"/>
  <c r="H29" i="34"/>
  <c r="H35" i="34"/>
  <c r="AS23" i="34"/>
  <c r="AS22" i="34" s="1"/>
  <c r="AO37" i="34"/>
  <c r="H26" i="34"/>
  <c r="AK37" i="34"/>
  <c r="AG37" i="34"/>
  <c r="AE37" i="34"/>
  <c r="J23" i="34"/>
  <c r="AM37" i="34"/>
  <c r="AI37" i="34"/>
  <c r="AS42" i="34"/>
  <c r="J42" i="34" s="1"/>
  <c r="AS43" i="34"/>
  <c r="J43" i="34" s="1"/>
  <c r="AS41" i="34"/>
  <c r="J41" i="34" s="1"/>
  <c r="AS46" i="34"/>
  <c r="J46" i="34" s="1"/>
  <c r="AS47" i="34"/>
  <c r="J47" i="34" s="1"/>
  <c r="AS40" i="34"/>
  <c r="J40" i="34" s="1"/>
  <c r="AS39" i="34"/>
  <c r="J39" i="34" s="1"/>
  <c r="AS48" i="34"/>
  <c r="J48" i="34" s="1"/>
  <c r="AS44" i="34"/>
  <c r="J44" i="34" s="1"/>
  <c r="AS45" i="34"/>
  <c r="J45" i="34" s="1"/>
  <c r="AS49" i="34"/>
  <c r="J49" i="34" s="1"/>
  <c r="AQ37" i="34"/>
  <c r="L39" i="34"/>
  <c r="Y37" i="34"/>
  <c r="H34" i="34"/>
  <c r="AA37" i="34"/>
  <c r="V36" i="34"/>
  <c r="V27" i="33"/>
  <c r="AC26" i="33" s="1"/>
  <c r="V33" i="33"/>
  <c r="AO26" i="33" s="1"/>
  <c r="V26" i="33"/>
  <c r="V29" i="33"/>
  <c r="AG29" i="33" s="1"/>
  <c r="V32" i="33"/>
  <c r="AM28" i="33" s="1"/>
  <c r="V34" i="33"/>
  <c r="AQ29" i="33" s="1"/>
  <c r="V30" i="33"/>
  <c r="AI30" i="33" s="1"/>
  <c r="R23" i="33"/>
  <c r="V28" i="33"/>
  <c r="AE26" i="33" s="1"/>
  <c r="V31" i="33"/>
  <c r="AK25" i="33" s="1"/>
  <c r="AD11" i="33"/>
  <c r="AC4" i="33"/>
  <c r="AD9" i="33"/>
  <c r="AD12" i="33"/>
  <c r="AD5" i="33"/>
  <c r="AD4" i="33"/>
  <c r="AC5" i="33"/>
  <c r="AD10" i="33"/>
  <c r="AC9" i="33"/>
  <c r="AD13" i="33"/>
  <c r="AD6" i="33"/>
  <c r="AC8" i="33"/>
  <c r="AD8" i="33"/>
  <c r="AC13" i="33"/>
  <c r="V42" i="33"/>
  <c r="AC11" i="33"/>
  <c r="AD7" i="33"/>
  <c r="AC6" i="33"/>
  <c r="Y25" i="33"/>
  <c r="R37" i="33"/>
  <c r="V39" i="33"/>
  <c r="V43" i="33"/>
  <c r="V48" i="33"/>
  <c r="V46" i="33"/>
  <c r="V45" i="33"/>
  <c r="V47" i="33"/>
  <c r="V44" i="33"/>
  <c r="AC10" i="33"/>
  <c r="V41" i="33"/>
  <c r="AJ4" i="33"/>
  <c r="AI4" i="33"/>
  <c r="AH4" i="33"/>
  <c r="AJ13" i="33" s="1"/>
  <c r="AB18" i="33"/>
  <c r="AD15" i="33"/>
  <c r="AC15" i="33"/>
  <c r="AD14" i="33"/>
  <c r="AC14" i="33"/>
  <c r="AC7" i="33"/>
  <c r="AC12" i="33"/>
  <c r="V40" i="33"/>
  <c r="AO23" i="31"/>
  <c r="AM23" i="31"/>
  <c r="AA40" i="31"/>
  <c r="AA39" i="31"/>
  <c r="AA37" i="31" s="1"/>
  <c r="AB14" i="31"/>
  <c r="AB5" i="31"/>
  <c r="AH7" i="31"/>
  <c r="AH6" i="31"/>
  <c r="AB10" i="31"/>
  <c r="AH8" i="31"/>
  <c r="V41" i="31"/>
  <c r="AB7" i="31"/>
  <c r="AH11" i="31"/>
  <c r="AS31" i="31"/>
  <c r="J31" i="31" s="1"/>
  <c r="AS25" i="31"/>
  <c r="AS28" i="31"/>
  <c r="J28" i="31" s="1"/>
  <c r="AS30" i="3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B4" i="31"/>
  <c r="AH15" i="31"/>
  <c r="AI23" i="31"/>
  <c r="J30" i="31"/>
  <c r="Y23" i="31"/>
  <c r="AK23" i="31"/>
  <c r="AH5" i="31"/>
  <c r="AH10" i="31"/>
  <c r="U2" i="31"/>
  <c r="Y4" i="31"/>
  <c r="AB6" i="31"/>
  <c r="AH13" i="31"/>
  <c r="AH14" i="31"/>
  <c r="AB8" i="31"/>
  <c r="R37" i="31"/>
  <c r="V39" i="31"/>
  <c r="V48" i="31"/>
  <c r="V45" i="31"/>
  <c r="V44" i="31"/>
  <c r="V47" i="31"/>
  <c r="V46" i="31"/>
  <c r="V43" i="31"/>
  <c r="V42" i="31"/>
  <c r="AB11" i="31"/>
  <c r="AH12" i="31"/>
  <c r="AB12" i="31"/>
  <c r="AB13" i="31"/>
  <c r="AB9" i="31"/>
  <c r="AH9" i="31"/>
  <c r="T2" i="31"/>
  <c r="X4" i="31"/>
  <c r="X2" i="31" s="1"/>
  <c r="H49" i="35" l="1"/>
  <c r="BO14" i="35" s="1"/>
  <c r="H43" i="35"/>
  <c r="BS28" i="35" s="1"/>
  <c r="L37" i="35"/>
  <c r="H46" i="35"/>
  <c r="BK19" i="35" s="1"/>
  <c r="H47" i="35"/>
  <c r="BK20" i="35" s="1"/>
  <c r="H48" i="35"/>
  <c r="BK52" i="35" s="1"/>
  <c r="H45" i="35"/>
  <c r="BK26" i="35" s="1"/>
  <c r="H42" i="35"/>
  <c r="BS34" i="35" s="1"/>
  <c r="BS23" i="35"/>
  <c r="BK25" i="35"/>
  <c r="BS44" i="35"/>
  <c r="BK32" i="35"/>
  <c r="BK17" i="35"/>
  <c r="BS29" i="35"/>
  <c r="BK38" i="35"/>
  <c r="BK8" i="35"/>
  <c r="BO9" i="35"/>
  <c r="BS36" i="35"/>
  <c r="BS9" i="35"/>
  <c r="BK14" i="35"/>
  <c r="BS20" i="35"/>
  <c r="BK5" i="35"/>
  <c r="BO6" i="35"/>
  <c r="BS41" i="35"/>
  <c r="BS33" i="35"/>
  <c r="BS26" i="35"/>
  <c r="BS12" i="35"/>
  <c r="BS16" i="35"/>
  <c r="BS5" i="35"/>
  <c r="BS24" i="35"/>
  <c r="BS10" i="35"/>
  <c r="BO4" i="35"/>
  <c r="BS39" i="35"/>
  <c r="BS4" i="35"/>
  <c r="BK49" i="35"/>
  <c r="BS7" i="35"/>
  <c r="BS31" i="35"/>
  <c r="BS14" i="35"/>
  <c r="BS11" i="35"/>
  <c r="BS32" i="35"/>
  <c r="BO5" i="35"/>
  <c r="BS15" i="35"/>
  <c r="BS25" i="35"/>
  <c r="BK4" i="35"/>
  <c r="BS19" i="35"/>
  <c r="BS8" i="35"/>
  <c r="BS6" i="35"/>
  <c r="BS40" i="35"/>
  <c r="AK18" i="34"/>
  <c r="L42" i="34" s="1"/>
  <c r="H46" i="34" s="1"/>
  <c r="BK50" i="34" s="1"/>
  <c r="H41" i="34"/>
  <c r="BK14" i="34" s="1"/>
  <c r="H40" i="34"/>
  <c r="BO5" i="34" s="1"/>
  <c r="H39" i="34"/>
  <c r="BS31" i="34" s="1"/>
  <c r="J37" i="34"/>
  <c r="AS37" i="34"/>
  <c r="AS36" i="34" s="1"/>
  <c r="H23" i="34"/>
  <c r="AC27" i="33"/>
  <c r="AQ27" i="33"/>
  <c r="AQ33" i="33"/>
  <c r="AQ25" i="33"/>
  <c r="AQ34" i="33"/>
  <c r="AE28" i="33"/>
  <c r="AQ30" i="33"/>
  <c r="AE27" i="33"/>
  <c r="AQ28" i="33"/>
  <c r="AQ26" i="33"/>
  <c r="AO30" i="33"/>
  <c r="AO27" i="33"/>
  <c r="AO32" i="33"/>
  <c r="AE25" i="33"/>
  <c r="AQ31" i="33"/>
  <c r="AO33" i="33"/>
  <c r="AQ32" i="33"/>
  <c r="AC25" i="33"/>
  <c r="AC23" i="33" s="1"/>
  <c r="AO29" i="33"/>
  <c r="AO28" i="33"/>
  <c r="AO31" i="33"/>
  <c r="AO25" i="33"/>
  <c r="AM30" i="33"/>
  <c r="AM27" i="33"/>
  <c r="AM32" i="33"/>
  <c r="AG25" i="33"/>
  <c r="AM29" i="33"/>
  <c r="AG27" i="33"/>
  <c r="AG26" i="33"/>
  <c r="AG28" i="33"/>
  <c r="AK31" i="33"/>
  <c r="AI27" i="33"/>
  <c r="AI28" i="33"/>
  <c r="AI25" i="33"/>
  <c r="AI26" i="33"/>
  <c r="AK27" i="33"/>
  <c r="V23" i="33"/>
  <c r="V35" i="33" s="1"/>
  <c r="V22" i="33" s="1"/>
  <c r="AK30" i="33"/>
  <c r="AM26" i="33"/>
  <c r="AK26" i="33"/>
  <c r="AK28" i="33"/>
  <c r="AM25" i="33"/>
  <c r="AK29" i="33"/>
  <c r="AM31" i="33"/>
  <c r="AA25" i="33"/>
  <c r="AA26" i="33"/>
  <c r="AI29" i="33"/>
  <c r="AC18" i="33"/>
  <c r="L26" i="33" s="1"/>
  <c r="AD18" i="33"/>
  <c r="L27" i="33" s="1"/>
  <c r="V37" i="33"/>
  <c r="V49" i="33" s="1"/>
  <c r="Y39" i="33"/>
  <c r="AI39" i="33"/>
  <c r="AI43" i="33"/>
  <c r="AI42" i="33"/>
  <c r="AI44" i="33"/>
  <c r="AI41" i="33"/>
  <c r="AI40" i="33"/>
  <c r="AC41" i="33"/>
  <c r="AC40" i="33"/>
  <c r="AC39" i="33"/>
  <c r="AO41" i="33"/>
  <c r="AO40" i="33"/>
  <c r="AO46" i="33"/>
  <c r="AO45" i="33"/>
  <c r="AO44" i="33"/>
  <c r="AO39" i="33"/>
  <c r="AO47" i="33"/>
  <c r="AO43" i="33"/>
  <c r="AO42" i="33"/>
  <c r="Y23" i="33"/>
  <c r="L25" i="33"/>
  <c r="AK39" i="33"/>
  <c r="AK45" i="33"/>
  <c r="AK43" i="33"/>
  <c r="AK44" i="33"/>
  <c r="AK42" i="33"/>
  <c r="AK41" i="33"/>
  <c r="AK40" i="33"/>
  <c r="AM39" i="33"/>
  <c r="AM45" i="33"/>
  <c r="AM46" i="33"/>
  <c r="AM43" i="33"/>
  <c r="AM44" i="33"/>
  <c r="AM42" i="33"/>
  <c r="AM41" i="33"/>
  <c r="AM40" i="33"/>
  <c r="AQ41" i="33"/>
  <c r="AQ48" i="33"/>
  <c r="AQ46" i="33"/>
  <c r="AQ40" i="33"/>
  <c r="AQ45" i="33"/>
  <c r="AQ39" i="33"/>
  <c r="AQ44" i="33"/>
  <c r="AQ47" i="33"/>
  <c r="AQ43" i="33"/>
  <c r="AQ42" i="33"/>
  <c r="AH18" i="33"/>
  <c r="AJ15" i="33"/>
  <c r="AI8" i="33"/>
  <c r="AI13" i="33"/>
  <c r="AI15" i="33"/>
  <c r="AI9" i="33"/>
  <c r="AI10" i="33"/>
  <c r="AJ10" i="33"/>
  <c r="AJ12" i="33"/>
  <c r="AI12" i="33"/>
  <c r="AI5" i="33"/>
  <c r="AJ7" i="33"/>
  <c r="AI7" i="33"/>
  <c r="AJ8" i="33"/>
  <c r="AJ14" i="33"/>
  <c r="AI6" i="33"/>
  <c r="AI11" i="33"/>
  <c r="AI14" i="33"/>
  <c r="AJ6" i="33"/>
  <c r="AJ9" i="33"/>
  <c r="AG39" i="33"/>
  <c r="AG42" i="33"/>
  <c r="AG43" i="33"/>
  <c r="AG41" i="33"/>
  <c r="AG40" i="33"/>
  <c r="AE39" i="33"/>
  <c r="AE40" i="33"/>
  <c r="AE42" i="33"/>
  <c r="AE41" i="33"/>
  <c r="AJ11" i="33"/>
  <c r="AA40" i="33"/>
  <c r="AA39" i="33"/>
  <c r="AJ5" i="33"/>
  <c r="AC14" i="31"/>
  <c r="AD10" i="31"/>
  <c r="AD9" i="31"/>
  <c r="AD13" i="31"/>
  <c r="AD8" i="31"/>
  <c r="AD5" i="31"/>
  <c r="AD6" i="31"/>
  <c r="AD12" i="31"/>
  <c r="AD4" i="31"/>
  <c r="AD11" i="31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D14" i="31"/>
  <c r="AI39" i="31"/>
  <c r="AI42" i="31"/>
  <c r="AI40" i="31"/>
  <c r="AI44" i="31"/>
  <c r="AI43" i="31"/>
  <c r="AI41" i="31"/>
  <c r="AC8" i="31"/>
  <c r="AC11" i="31"/>
  <c r="AK39" i="31"/>
  <c r="AK43" i="31"/>
  <c r="AK44" i="31"/>
  <c r="AK45" i="31"/>
  <c r="AK42" i="31"/>
  <c r="AK41" i="31"/>
  <c r="AK40" i="31"/>
  <c r="AC13" i="31"/>
  <c r="AQ48" i="31"/>
  <c r="AQ43" i="31"/>
  <c r="AQ40" i="31"/>
  <c r="AQ44" i="31"/>
  <c r="AQ45" i="31"/>
  <c r="AQ39" i="31"/>
  <c r="AQ46" i="31"/>
  <c r="AQ47" i="31"/>
  <c r="AQ42" i="31"/>
  <c r="AQ41" i="31"/>
  <c r="AG4" i="31"/>
  <c r="Y2" i="31"/>
  <c r="AC4" i="31"/>
  <c r="AC12" i="31"/>
  <c r="AE39" i="31"/>
  <c r="AE40" i="31"/>
  <c r="AE42" i="31"/>
  <c r="AE41" i="31"/>
  <c r="V37" i="31"/>
  <c r="V49" i="31" s="1"/>
  <c r="Y39" i="31"/>
  <c r="AB18" i="31"/>
  <c r="AC15" i="31"/>
  <c r="AD15" i="31"/>
  <c r="AD7" i="31"/>
  <c r="AC10" i="31"/>
  <c r="AC6" i="31"/>
  <c r="AC9" i="31"/>
  <c r="AG39" i="31"/>
  <c r="AG43" i="31"/>
  <c r="AG41" i="31"/>
  <c r="AG42" i="31"/>
  <c r="AG40" i="31"/>
  <c r="J25" i="31"/>
  <c r="J23" i="31" s="1"/>
  <c r="AC7" i="31"/>
  <c r="AC5" i="31"/>
  <c r="BS38" i="35" l="1"/>
  <c r="BK50" i="35"/>
  <c r="BK59" i="35"/>
  <c r="BK27" i="35"/>
  <c r="BK34" i="35"/>
  <c r="BK45" i="35"/>
  <c r="BK10" i="35"/>
  <c r="BK22" i="35"/>
  <c r="BK13" i="35"/>
  <c r="BO8" i="35"/>
  <c r="BK16" i="35"/>
  <c r="BK30" i="35"/>
  <c r="BK58" i="35"/>
  <c r="BK43" i="35"/>
  <c r="BO11" i="35"/>
  <c r="BK6" i="35"/>
  <c r="BK40" i="35"/>
  <c r="BS46" i="35"/>
  <c r="BS18" i="35"/>
  <c r="BK53" i="35"/>
  <c r="BK7" i="35"/>
  <c r="BK31" i="35"/>
  <c r="BK56" i="35"/>
  <c r="BS43" i="35"/>
  <c r="BK24" i="35"/>
  <c r="BK48" i="35"/>
  <c r="BS45" i="35"/>
  <c r="BS35" i="35"/>
  <c r="BS22" i="35"/>
  <c r="BK37" i="35"/>
  <c r="BS30" i="35"/>
  <c r="BK39" i="35"/>
  <c r="BK33" i="35"/>
  <c r="BO7" i="35"/>
  <c r="BS37" i="35"/>
  <c r="BK44" i="35"/>
  <c r="BK15" i="35"/>
  <c r="BO10" i="35"/>
  <c r="BK46" i="35"/>
  <c r="BK9" i="35"/>
  <c r="H37" i="35"/>
  <c r="BS27" i="35"/>
  <c r="BK18" i="35"/>
  <c r="BK35" i="35"/>
  <c r="BK51" i="35"/>
  <c r="BK42" i="35"/>
  <c r="BK11" i="35"/>
  <c r="BK57" i="35"/>
  <c r="BO13" i="35"/>
  <c r="BK28" i="35"/>
  <c r="BK36" i="35"/>
  <c r="BS13" i="35"/>
  <c r="BO12" i="35"/>
  <c r="BK21" i="35"/>
  <c r="BK54" i="35"/>
  <c r="BK55" i="35"/>
  <c r="BS21" i="35"/>
  <c r="BS47" i="35"/>
  <c r="BK12" i="35"/>
  <c r="BK47" i="35"/>
  <c r="BK23" i="35"/>
  <c r="BK41" i="35"/>
  <c r="BK29" i="35"/>
  <c r="BS17" i="35"/>
  <c r="BS42" i="35"/>
  <c r="H47" i="34"/>
  <c r="BK35" i="34" s="1"/>
  <c r="H49" i="34"/>
  <c r="BK22" i="34" s="1"/>
  <c r="H45" i="34"/>
  <c r="BK9" i="34" s="1"/>
  <c r="H48" i="34"/>
  <c r="BK21" i="34" s="1"/>
  <c r="H42" i="34"/>
  <c r="BS21" i="34" s="1"/>
  <c r="H44" i="34"/>
  <c r="BS23" i="34" s="1"/>
  <c r="L37" i="34"/>
  <c r="H43" i="34"/>
  <c r="BK16" i="34" s="1"/>
  <c r="BS10" i="34"/>
  <c r="BK19" i="34"/>
  <c r="BS38" i="34"/>
  <c r="BO11" i="34"/>
  <c r="BS39" i="34"/>
  <c r="BK40" i="34"/>
  <c r="BK45" i="34"/>
  <c r="BK34" i="34"/>
  <c r="BK27" i="34"/>
  <c r="BK10" i="34"/>
  <c r="BS46" i="34"/>
  <c r="BS33" i="34"/>
  <c r="BS25" i="34"/>
  <c r="BS11" i="34"/>
  <c r="BS40" i="34"/>
  <c r="BS12" i="34"/>
  <c r="BS26" i="34"/>
  <c r="BS16" i="34"/>
  <c r="BS20" i="34"/>
  <c r="BS41" i="34"/>
  <c r="BS7" i="34"/>
  <c r="BS5" i="34"/>
  <c r="BO4" i="34"/>
  <c r="BS6" i="34"/>
  <c r="BK4" i="34"/>
  <c r="BS8" i="34"/>
  <c r="BS9" i="34"/>
  <c r="BK5" i="34"/>
  <c r="BO6" i="34"/>
  <c r="BS19" i="34"/>
  <c r="BS14" i="34"/>
  <c r="BS4" i="34"/>
  <c r="BS32" i="34"/>
  <c r="BS24" i="34"/>
  <c r="BK49" i="34"/>
  <c r="BS15" i="34"/>
  <c r="AE23" i="33"/>
  <c r="AQ23" i="33"/>
  <c r="AG23" i="33"/>
  <c r="AO23" i="33"/>
  <c r="AI23" i="33"/>
  <c r="AS30" i="33"/>
  <c r="J30" i="33" s="1"/>
  <c r="AM23" i="33"/>
  <c r="AS31" i="33"/>
  <c r="J31" i="33" s="1"/>
  <c r="AS33" i="33"/>
  <c r="J33" i="33" s="1"/>
  <c r="AS25" i="33"/>
  <c r="J25" i="33" s="1"/>
  <c r="H25" i="33" s="1"/>
  <c r="AS32" i="33"/>
  <c r="J32" i="33" s="1"/>
  <c r="AS35" i="33"/>
  <c r="J35" i="33" s="1"/>
  <c r="AS34" i="33"/>
  <c r="J34" i="33" s="1"/>
  <c r="AS28" i="33"/>
  <c r="J28" i="33" s="1"/>
  <c r="AS26" i="33"/>
  <c r="AS29" i="33"/>
  <c r="J29" i="33" s="1"/>
  <c r="AS27" i="33"/>
  <c r="J27" i="33" s="1"/>
  <c r="AK23" i="33"/>
  <c r="AA23" i="33"/>
  <c r="AC37" i="33"/>
  <c r="AJ18" i="33"/>
  <c r="L41" i="33" s="1"/>
  <c r="AE18" i="33"/>
  <c r="L28" i="33" s="1"/>
  <c r="AI18" i="33"/>
  <c r="L40" i="33" s="1"/>
  <c r="AI37" i="33"/>
  <c r="AG37" i="33"/>
  <c r="Y37" i="33"/>
  <c r="AQ37" i="33"/>
  <c r="AS40" i="33"/>
  <c r="J40" i="33" s="1"/>
  <c r="AS46" i="33"/>
  <c r="J46" i="33" s="1"/>
  <c r="AS47" i="33"/>
  <c r="J47" i="33" s="1"/>
  <c r="AS39" i="33"/>
  <c r="J39" i="33" s="1"/>
  <c r="AS48" i="33"/>
  <c r="J48" i="33" s="1"/>
  <c r="AS44" i="33"/>
  <c r="J44" i="33" s="1"/>
  <c r="AS45" i="33"/>
  <c r="J45" i="33" s="1"/>
  <c r="AS49" i="33"/>
  <c r="J49" i="33" s="1"/>
  <c r="AS42" i="33"/>
  <c r="J42" i="33" s="1"/>
  <c r="AS43" i="33"/>
  <c r="J43" i="33" s="1"/>
  <c r="AS41" i="33"/>
  <c r="J41" i="33" s="1"/>
  <c r="AM37" i="33"/>
  <c r="V36" i="33"/>
  <c r="AK37" i="33"/>
  <c r="AO37" i="33"/>
  <c r="AE37" i="33"/>
  <c r="AA37" i="33"/>
  <c r="L39" i="33"/>
  <c r="AG37" i="31"/>
  <c r="AK37" i="31"/>
  <c r="AD18" i="31"/>
  <c r="L27" i="31" s="1"/>
  <c r="AS40" i="31"/>
  <c r="J40" i="31" s="1"/>
  <c r="AS46" i="3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AS43" i="31"/>
  <c r="J43" i="31" s="1"/>
  <c r="AS41" i="31"/>
  <c r="J41" i="31" s="1"/>
  <c r="AM37" i="31"/>
  <c r="V36" i="31"/>
  <c r="AC18" i="31"/>
  <c r="L26" i="31" s="1"/>
  <c r="AI37" i="31"/>
  <c r="Y37" i="31"/>
  <c r="AQ37" i="31"/>
  <c r="J42" i="31"/>
  <c r="AH4" i="31"/>
  <c r="AJ4" i="31"/>
  <c r="AI4" i="31"/>
  <c r="AC37" i="31"/>
  <c r="AO37" i="31"/>
  <c r="L25" i="31"/>
  <c r="AE37" i="31"/>
  <c r="J46" i="31"/>
  <c r="B37" i="35" l="1"/>
  <c r="B38" i="35"/>
  <c r="B36" i="35"/>
  <c r="BK44" i="34"/>
  <c r="BK33" i="34"/>
  <c r="BO12" i="34"/>
  <c r="BK28" i="34"/>
  <c r="BS47" i="34"/>
  <c r="BK46" i="34"/>
  <c r="BK54" i="34"/>
  <c r="BK11" i="34"/>
  <c r="BK51" i="34"/>
  <c r="BK41" i="34"/>
  <c r="BK20" i="34"/>
  <c r="BK39" i="34"/>
  <c r="BS18" i="34"/>
  <c r="BK56" i="34"/>
  <c r="BS37" i="34"/>
  <c r="BK31" i="34"/>
  <c r="BK7" i="34"/>
  <c r="BS44" i="34"/>
  <c r="BO10" i="34"/>
  <c r="BK32" i="34"/>
  <c r="BK18" i="34"/>
  <c r="BS30" i="34"/>
  <c r="BK43" i="34"/>
  <c r="BK48" i="34"/>
  <c r="BK53" i="34"/>
  <c r="BK30" i="34"/>
  <c r="BS45" i="34"/>
  <c r="BK58" i="34"/>
  <c r="BK13" i="34"/>
  <c r="BK59" i="34"/>
  <c r="BK37" i="34"/>
  <c r="BO14" i="34"/>
  <c r="BK15" i="34"/>
  <c r="BS28" i="34"/>
  <c r="BS22" i="34"/>
  <c r="BO8" i="34"/>
  <c r="BS35" i="34"/>
  <c r="BK24" i="34"/>
  <c r="BK26" i="34"/>
  <c r="BS43" i="34"/>
  <c r="BS17" i="34"/>
  <c r="BS29" i="34"/>
  <c r="BK36" i="34"/>
  <c r="BO7" i="34"/>
  <c r="BK17" i="34"/>
  <c r="BS13" i="34"/>
  <c r="BS27" i="34"/>
  <c r="BK57" i="34"/>
  <c r="BK29" i="34"/>
  <c r="BK23" i="34"/>
  <c r="BK55" i="34"/>
  <c r="BS42" i="34"/>
  <c r="BS34" i="34"/>
  <c r="BK12" i="34"/>
  <c r="BO13" i="34"/>
  <c r="BK25" i="34"/>
  <c r="BK38" i="34"/>
  <c r="BK47" i="34"/>
  <c r="BK42" i="34"/>
  <c r="BS36" i="34"/>
  <c r="BO9" i="34"/>
  <c r="BK52" i="34"/>
  <c r="BK6" i="34"/>
  <c r="BK8" i="34"/>
  <c r="H37" i="34"/>
  <c r="AS23" i="33"/>
  <c r="AS22" i="33" s="1"/>
  <c r="J26" i="33"/>
  <c r="H26" i="33" s="1"/>
  <c r="H34" i="33"/>
  <c r="H33" i="33"/>
  <c r="L23" i="33"/>
  <c r="H35" i="33"/>
  <c r="H32" i="33"/>
  <c r="H30" i="33"/>
  <c r="H31" i="33"/>
  <c r="AK18" i="33"/>
  <c r="L42" i="33" s="1"/>
  <c r="H44" i="33" s="1"/>
  <c r="J37" i="33"/>
  <c r="H41" i="33"/>
  <c r="H40" i="33"/>
  <c r="H39" i="33"/>
  <c r="AS37" i="33"/>
  <c r="AS36" i="33" s="1"/>
  <c r="AE18" i="31"/>
  <c r="L28" i="31" s="1"/>
  <c r="H33" i="31" s="1"/>
  <c r="AH18" i="31"/>
  <c r="AI10" i="31"/>
  <c r="AJ7" i="31"/>
  <c r="AJ15" i="31"/>
  <c r="AI11" i="31"/>
  <c r="AI5" i="31"/>
  <c r="AI9" i="31"/>
  <c r="AI7" i="31"/>
  <c r="AI14" i="31"/>
  <c r="AJ8" i="31"/>
  <c r="AI8" i="31"/>
  <c r="AJ12" i="31"/>
  <c r="AJ6" i="31"/>
  <c r="AI15" i="31"/>
  <c r="AI12" i="31"/>
  <c r="AI6" i="31"/>
  <c r="AJ10" i="31"/>
  <c r="AI13" i="31"/>
  <c r="AJ13" i="31"/>
  <c r="AJ11" i="31"/>
  <c r="AJ9" i="31"/>
  <c r="AJ5" i="31"/>
  <c r="AJ14" i="31"/>
  <c r="H25" i="31"/>
  <c r="H26" i="31"/>
  <c r="H27" i="31"/>
  <c r="AS37" i="31"/>
  <c r="AS36" i="31"/>
  <c r="J39" i="31"/>
  <c r="J37" i="31" s="1"/>
  <c r="B38" i="34" l="1"/>
  <c r="B37" i="34"/>
  <c r="B36" i="34"/>
  <c r="BS40" i="33"/>
  <c r="BS41" i="33"/>
  <c r="H29" i="33"/>
  <c r="BS11" i="33" s="1"/>
  <c r="J23" i="33"/>
  <c r="H27" i="33"/>
  <c r="BS5" i="33" s="1"/>
  <c r="H28" i="33"/>
  <c r="BS8" i="33" s="1"/>
  <c r="BS31" i="33"/>
  <c r="BK49" i="33"/>
  <c r="H46" i="33"/>
  <c r="H48" i="33"/>
  <c r="BO13" i="33" s="1"/>
  <c r="H47" i="33"/>
  <c r="BK54" i="33" s="1"/>
  <c r="BO4" i="33"/>
  <c r="L37" i="33"/>
  <c r="H49" i="33"/>
  <c r="BO14" i="33" s="1"/>
  <c r="H43" i="33"/>
  <c r="H45" i="33"/>
  <c r="BS44" i="33"/>
  <c r="BS23" i="33"/>
  <c r="BS36" i="33"/>
  <c r="BK8" i="33"/>
  <c r="BK17" i="33"/>
  <c r="BS29" i="33"/>
  <c r="BO9" i="33"/>
  <c r="H42" i="33"/>
  <c r="BS4" i="33"/>
  <c r="BS24" i="33"/>
  <c r="BK5" i="33"/>
  <c r="BK4" i="33"/>
  <c r="BS15" i="33"/>
  <c r="BS32" i="33"/>
  <c r="BS16" i="33"/>
  <c r="BS19" i="33"/>
  <c r="BS25" i="33"/>
  <c r="BS20" i="33"/>
  <c r="BO5" i="33"/>
  <c r="BK14" i="33"/>
  <c r="BS26" i="33"/>
  <c r="BS33" i="33"/>
  <c r="BS39" i="33"/>
  <c r="BS14" i="33"/>
  <c r="L23" i="31"/>
  <c r="H34" i="31"/>
  <c r="H31" i="31"/>
  <c r="H30" i="31"/>
  <c r="H35" i="31"/>
  <c r="H28" i="31"/>
  <c r="H32" i="31"/>
  <c r="H29" i="31"/>
  <c r="AJ18" i="31"/>
  <c r="L41" i="31" s="1"/>
  <c r="AI18" i="31"/>
  <c r="L40" i="31" s="1"/>
  <c r="L39" i="31"/>
  <c r="BS6" i="33" l="1"/>
  <c r="BK25" i="33"/>
  <c r="BO8" i="33"/>
  <c r="BK38" i="33"/>
  <c r="BS9" i="33"/>
  <c r="BK34" i="33"/>
  <c r="BS7" i="33"/>
  <c r="BK32" i="33"/>
  <c r="BS12" i="33"/>
  <c r="BS10" i="33"/>
  <c r="H23" i="33"/>
  <c r="BO6" i="33"/>
  <c r="BK39" i="33"/>
  <c r="BK22" i="33"/>
  <c r="BK56" i="33"/>
  <c r="BK55" i="33"/>
  <c r="BK21" i="33"/>
  <c r="BK29" i="33"/>
  <c r="BK28" i="33"/>
  <c r="BK13" i="33"/>
  <c r="BK46" i="33"/>
  <c r="BK20" i="33"/>
  <c r="BK41" i="33"/>
  <c r="BS28" i="33"/>
  <c r="BK16" i="33"/>
  <c r="BK24" i="33"/>
  <c r="BK47" i="33"/>
  <c r="BO10" i="33"/>
  <c r="BK42" i="33"/>
  <c r="BK57" i="33"/>
  <c r="BK50" i="33"/>
  <c r="BS18" i="33"/>
  <c r="BK12" i="33"/>
  <c r="BK52" i="33"/>
  <c r="BK31" i="33"/>
  <c r="BS47" i="33"/>
  <c r="BO12" i="33"/>
  <c r="BS45" i="33"/>
  <c r="BK44" i="33"/>
  <c r="BS37" i="33"/>
  <c r="BK9" i="33"/>
  <c r="BK26" i="33"/>
  <c r="BK33" i="33"/>
  <c r="BK18" i="33"/>
  <c r="BS30" i="33"/>
  <c r="BS43" i="33"/>
  <c r="BS35" i="33"/>
  <c r="BS46" i="33"/>
  <c r="BK19" i="33"/>
  <c r="BS38" i="33"/>
  <c r="BK27" i="33"/>
  <c r="BK45" i="33"/>
  <c r="BO11" i="33"/>
  <c r="BK10" i="33"/>
  <c r="BK40" i="33"/>
  <c r="BK51" i="33"/>
  <c r="BK11" i="33"/>
  <c r="BS22" i="33"/>
  <c r="BK7" i="33"/>
  <c r="BK35" i="33"/>
  <c r="BK59" i="33"/>
  <c r="BK53" i="33"/>
  <c r="BK30" i="33"/>
  <c r="BK43" i="33"/>
  <c r="BK48" i="33"/>
  <c r="BK58" i="33"/>
  <c r="BK37" i="33"/>
  <c r="BK36" i="33"/>
  <c r="BS42" i="33"/>
  <c r="BO7" i="33"/>
  <c r="BS34" i="33"/>
  <c r="BK6" i="33"/>
  <c r="BS27" i="33"/>
  <c r="BK23" i="33"/>
  <c r="BS21" i="33"/>
  <c r="BS13" i="33"/>
  <c r="BS17" i="33"/>
  <c r="BK15" i="33"/>
  <c r="H37" i="33"/>
  <c r="H23" i="31"/>
  <c r="AK18" i="31"/>
  <c r="L42" i="31" s="1"/>
  <c r="H49" i="31" s="1"/>
  <c r="H41" i="31"/>
  <c r="H40" i="31"/>
  <c r="H39" i="31"/>
  <c r="B37" i="33" l="1"/>
  <c r="B36" i="33"/>
  <c r="B38" i="33"/>
  <c r="H44" i="31"/>
  <c r="BS23" i="31" s="1"/>
  <c r="H48" i="31"/>
  <c r="BK47" i="31" s="1"/>
  <c r="H47" i="31"/>
  <c r="BK28" i="31" s="1"/>
  <c r="H43" i="31"/>
  <c r="BS43" i="31" s="1"/>
  <c r="L37" i="31"/>
  <c r="H45" i="31"/>
  <c r="BK44" i="31" s="1"/>
  <c r="H46" i="31"/>
  <c r="BK10" i="31" s="1"/>
  <c r="H42" i="31"/>
  <c r="BS34" i="31" s="1"/>
  <c r="BS14" i="31"/>
  <c r="BK49" i="31"/>
  <c r="BS10" i="31"/>
  <c r="BS5" i="31"/>
  <c r="BS4" i="31"/>
  <c r="BO4" i="31"/>
  <c r="BS7" i="31"/>
  <c r="BS24" i="31"/>
  <c r="BS39" i="31"/>
  <c r="BS31" i="31"/>
  <c r="BS11" i="31"/>
  <c r="BS6" i="31"/>
  <c r="BS40" i="31"/>
  <c r="BS8" i="31"/>
  <c r="BO5" i="31"/>
  <c r="BK4" i="31"/>
  <c r="BS19" i="31"/>
  <c r="BS32" i="31"/>
  <c r="BS15" i="31"/>
  <c r="BS25" i="31"/>
  <c r="BO14" i="31"/>
  <c r="BK13" i="31"/>
  <c r="BK53" i="31"/>
  <c r="BK48" i="31"/>
  <c r="BK22" i="31"/>
  <c r="BK37" i="31"/>
  <c r="BK58" i="31"/>
  <c r="BK56" i="31"/>
  <c r="BK43" i="31"/>
  <c r="BK30" i="31"/>
  <c r="BK59" i="31"/>
  <c r="BS26" i="31"/>
  <c r="BK14" i="31"/>
  <c r="BS9" i="31"/>
  <c r="BK5" i="31"/>
  <c r="BS41" i="31"/>
  <c r="BO6" i="31"/>
  <c r="BS12" i="31"/>
  <c r="BS16" i="31"/>
  <c r="BS20" i="31"/>
  <c r="BS33" i="31"/>
  <c r="BS22" i="31" l="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Y19" i="8"/>
  <c r="P19" i="8"/>
  <c r="O19" i="8"/>
  <c r="Q19" i="8" s="1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AA11" i="8"/>
  <c r="Z11" i="8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AA5" i="8" s="1"/>
  <c r="Y5" i="8"/>
  <c r="P5" i="8"/>
  <c r="O5" i="8"/>
  <c r="D3" i="8"/>
  <c r="K3" i="8" s="1"/>
  <c r="S2" i="8"/>
  <c r="G2" i="8"/>
  <c r="AF1" i="8"/>
  <c r="S1" i="8"/>
  <c r="BF48" i="4"/>
  <c r="BF47" i="4"/>
  <c r="BE45" i="4"/>
  <c r="BF46" i="4" s="1"/>
  <c r="BF44" i="4"/>
  <c r="BE44" i="4"/>
  <c r="BD44" i="4"/>
  <c r="BE43" i="4"/>
  <c r="BD43" i="4"/>
  <c r="BC43" i="4"/>
  <c r="BE42" i="4"/>
  <c r="BF43" i="4" s="1"/>
  <c r="BD42" i="4"/>
  <c r="BC42" i="4"/>
  <c r="BF41" i="4"/>
  <c r="BE41" i="4"/>
  <c r="BD41" i="4"/>
  <c r="BC41" i="4"/>
  <c r="BF40" i="4"/>
  <c r="BE40" i="4"/>
  <c r="BD40" i="4"/>
  <c r="BC40" i="4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F34" i="4"/>
  <c r="BF33" i="4"/>
  <c r="C33" i="4"/>
  <c r="B33" i="4"/>
  <c r="C32" i="4"/>
  <c r="B32" i="4"/>
  <c r="BE31" i="4"/>
  <c r="BF32" i="4" s="1"/>
  <c r="BH30" i="4"/>
  <c r="BH37" i="4" s="1"/>
  <c r="BH43" i="4" s="1"/>
  <c r="BH48" i="4" s="1"/>
  <c r="BH53" i="4" s="1"/>
  <c r="BH56" i="4" s="1"/>
  <c r="BH58" i="4" s="1"/>
  <c r="BH59" i="4" s="1"/>
  <c r="BE30" i="4"/>
  <c r="BF31" i="4" s="1"/>
  <c r="BD30" i="4"/>
  <c r="E30" i="4"/>
  <c r="D30" i="4"/>
  <c r="BH29" i="4"/>
  <c r="BH36" i="4" s="1"/>
  <c r="BH42" i="4" s="1"/>
  <c r="BH47" i="4" s="1"/>
  <c r="BH52" i="4" s="1"/>
  <c r="BH55" i="4" s="1"/>
  <c r="BH57" i="4" s="1"/>
  <c r="BL13" i="4" s="1"/>
  <c r="BE29" i="4"/>
  <c r="BD29" i="4"/>
  <c r="BC29" i="4"/>
  <c r="C29" i="4"/>
  <c r="B29" i="4"/>
  <c r="BH28" i="4"/>
  <c r="BH35" i="4" s="1"/>
  <c r="BH41" i="4" s="1"/>
  <c r="BH46" i="4" s="1"/>
  <c r="BH51" i="4" s="1"/>
  <c r="BH54" i="4" s="1"/>
  <c r="BL12" i="4" s="1"/>
  <c r="BP47" i="4" s="1"/>
  <c r="BE28" i="4"/>
  <c r="BD28" i="4"/>
  <c r="BC28" i="4"/>
  <c r="BH27" i="4"/>
  <c r="BH34" i="4" s="1"/>
  <c r="BH40" i="4" s="1"/>
  <c r="BH45" i="4" s="1"/>
  <c r="BH50" i="4" s="1"/>
  <c r="BL11" i="4" s="1"/>
  <c r="BP38" i="4" s="1"/>
  <c r="BP46" i="4" s="1"/>
  <c r="BF27" i="4"/>
  <c r="BE27" i="4"/>
  <c r="BF28" i="4" s="1"/>
  <c r="BD27" i="4"/>
  <c r="BC27" i="4"/>
  <c r="C27" i="4"/>
  <c r="B27" i="4"/>
  <c r="BH26" i="4"/>
  <c r="BH33" i="4" s="1"/>
  <c r="BH39" i="4" s="1"/>
  <c r="BH44" i="4" s="1"/>
  <c r="BL10" i="4" s="1"/>
  <c r="BP30" i="4" s="1"/>
  <c r="BP37" i="4" s="1"/>
  <c r="BP45" i="4" s="1"/>
  <c r="BF26" i="4"/>
  <c r="BE26" i="4"/>
  <c r="BD26" i="4"/>
  <c r="BC26" i="4"/>
  <c r="E26" i="4"/>
  <c r="E27" i="4" s="1"/>
  <c r="E23" i="4" s="1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B22" i="4"/>
  <c r="C22" i="4" s="1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C16" i="4"/>
  <c r="B16" i="4"/>
  <c r="AG15" i="4"/>
  <c r="Z15" i="4"/>
  <c r="P15" i="4"/>
  <c r="AL14" i="4"/>
  <c r="AH14" i="4"/>
  <c r="AK14" i="4" s="1"/>
  <c r="Z14" i="4"/>
  <c r="P14" i="4"/>
  <c r="Z13" i="4"/>
  <c r="P13" i="4"/>
  <c r="AO12" i="4"/>
  <c r="AL12" i="4"/>
  <c r="AK12" i="4"/>
  <c r="AH12" i="4"/>
  <c r="AG12" i="4"/>
  <c r="AN12" i="4" s="1"/>
  <c r="Z12" i="4"/>
  <c r="P12" i="4"/>
  <c r="AO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Z8" i="4"/>
  <c r="P8" i="4"/>
  <c r="AL7" i="4"/>
  <c r="AK7" i="4"/>
  <c r="AH7" i="4"/>
  <c r="AG7" i="4"/>
  <c r="Z7" i="4"/>
  <c r="P7" i="4"/>
  <c r="BP6" i="4"/>
  <c r="BL6" i="4"/>
  <c r="BP9" i="4" s="1"/>
  <c r="BP12" i="4" s="1"/>
  <c r="BP16" i="4" s="1"/>
  <c r="BP20" i="4" s="1"/>
  <c r="BP26" i="4" s="1"/>
  <c r="BP33" i="4" s="1"/>
  <c r="BP41" i="4" s="1"/>
  <c r="AO6" i="4"/>
  <c r="AL6" i="4"/>
  <c r="AK6" i="4"/>
  <c r="AH6" i="4"/>
  <c r="AG6" i="4"/>
  <c r="Z6" i="4"/>
  <c r="P6" i="4"/>
  <c r="BP5" i="4"/>
  <c r="BP7" i="4" s="1"/>
  <c r="BP10" i="4" s="1"/>
  <c r="BP14" i="4" s="1"/>
  <c r="BH49" i="4" s="1"/>
  <c r="BP24" i="4" s="1"/>
  <c r="BP31" i="4" s="1"/>
  <c r="BP39" i="4" s="1"/>
  <c r="BL14" i="4" s="1"/>
  <c r="AO5" i="4"/>
  <c r="AL5" i="4"/>
  <c r="AK5" i="4"/>
  <c r="AH5" i="4"/>
  <c r="AG5" i="4"/>
  <c r="AN5" i="4" s="1"/>
  <c r="Z5" i="4"/>
  <c r="P5" i="4"/>
  <c r="AM3" i="4"/>
  <c r="D3" i="4"/>
  <c r="K3" i="4" s="1"/>
  <c r="G2" i="4"/>
  <c r="K2" i="8" l="1"/>
  <c r="AA17" i="8"/>
  <c r="BF45" i="4"/>
  <c r="BF30" i="4"/>
  <c r="BF42" i="4"/>
  <c r="Q6" i="8"/>
  <c r="Q8" i="8"/>
  <c r="G1" i="4"/>
  <c r="AN7" i="4"/>
  <c r="BF29" i="4"/>
  <c r="BF43" i="8"/>
  <c r="AA19" i="8"/>
  <c r="K1" i="4"/>
  <c r="AG14" i="4"/>
  <c r="AN14" i="4" s="1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AG13" i="4"/>
  <c r="AK15" i="4"/>
  <c r="AG16" i="4"/>
  <c r="AN16" i="4" s="1"/>
  <c r="AK13" i="4"/>
  <c r="AK16" i="4"/>
  <c r="AN11" i="4"/>
  <c r="AN8" i="4"/>
  <c r="AN6" i="4"/>
  <c r="C31" i="4"/>
  <c r="W39" i="4" s="1"/>
  <c r="B23" i="4"/>
  <c r="C23" i="4" s="1"/>
  <c r="D27" i="4"/>
  <c r="B31" i="4" s="1"/>
  <c r="AN9" i="4"/>
  <c r="AN19" i="4"/>
  <c r="AN13" i="4"/>
  <c r="AN15" i="4"/>
  <c r="AN10" i="4"/>
  <c r="AN17" i="4"/>
  <c r="AN18" i="4"/>
  <c r="K2" i="4"/>
  <c r="Z18" i="4"/>
  <c r="G3" i="4"/>
  <c r="P18" i="4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34" i="4"/>
  <c r="T31" i="4"/>
  <c r="W25" i="4"/>
  <c r="T46" i="4"/>
  <c r="T45" i="4"/>
  <c r="T49" i="4"/>
  <c r="T42" i="4"/>
  <c r="T47" i="4"/>
  <c r="T44" i="4"/>
  <c r="T40" i="4"/>
  <c r="T48" i="4"/>
  <c r="T39" i="4"/>
  <c r="T40" i="8"/>
  <c r="T48" i="8"/>
  <c r="T44" i="8"/>
  <c r="T41" i="8"/>
  <c r="T38" i="8"/>
  <c r="T36" i="8" s="1"/>
  <c r="M1" i="8"/>
  <c r="M2" i="8" s="1"/>
  <c r="T45" i="8"/>
  <c r="T47" i="8"/>
  <c r="D23" i="4"/>
  <c r="B24" i="4"/>
  <c r="B34" i="4"/>
  <c r="T43" i="4"/>
  <c r="T41" i="4"/>
  <c r="AN3" i="4"/>
  <c r="AI9" i="4" s="1"/>
  <c r="B34" i="8"/>
  <c r="B24" i="8"/>
  <c r="C24" i="4"/>
  <c r="T25" i="4"/>
  <c r="C34" i="4"/>
  <c r="T33" i="4"/>
  <c r="T32" i="4"/>
  <c r="T27" i="4"/>
  <c r="T30" i="4"/>
  <c r="T26" i="4"/>
  <c r="T28" i="4"/>
  <c r="T35" i="4"/>
  <c r="T29" i="4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AI17" i="4"/>
  <c r="O17" i="4" s="1"/>
  <c r="Q17" i="4" s="1"/>
  <c r="R17" i="4" s="1"/>
  <c r="AI13" i="4"/>
  <c r="O13" i="4" s="1"/>
  <c r="Q13" i="4" s="1"/>
  <c r="R13" i="4" s="1"/>
  <c r="Y9" i="4"/>
  <c r="AA9" i="4" s="1"/>
  <c r="AB9" i="4" s="1"/>
  <c r="O9" i="4"/>
  <c r="Q9" i="4" s="1"/>
  <c r="R9" i="4" s="1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AI15" i="4"/>
  <c r="N30" i="4"/>
  <c r="P30" i="4" s="1"/>
  <c r="R35" i="4" s="1"/>
  <c r="N29" i="4"/>
  <c r="P29" i="4" s="1"/>
  <c r="N26" i="4"/>
  <c r="N28" i="4"/>
  <c r="P28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I18" i="4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T37" i="4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P39" i="10" l="1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Y17" i="4"/>
  <c r="AA17" i="4" s="1"/>
  <c r="AB17" i="4" s="1"/>
  <c r="AC17" i="4" s="1"/>
  <c r="R33" i="4"/>
  <c r="R34" i="4"/>
  <c r="Y13" i="4"/>
  <c r="AA13" i="4" s="1"/>
  <c r="AB13" i="4" s="1"/>
  <c r="AC13" i="4" s="1"/>
  <c r="S6" i="8"/>
  <c r="S13" i="4"/>
  <c r="S17" i="4"/>
  <c r="S9" i="8"/>
  <c r="S13" i="8"/>
  <c r="O19" i="4"/>
  <c r="Q19" i="4" s="1"/>
  <c r="R19" i="4" s="1"/>
  <c r="Y19" i="4"/>
  <c r="AA19" i="4" s="1"/>
  <c r="AB19" i="4" s="1"/>
  <c r="AC9" i="4"/>
  <c r="AC8" i="8"/>
  <c r="S11" i="8"/>
  <c r="AC15" i="8"/>
  <c r="S14" i="8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Y5" i="4"/>
  <c r="AA5" i="4" s="1"/>
  <c r="AB5" i="4" s="1"/>
  <c r="AI3" i="4"/>
  <c r="O5" i="4"/>
  <c r="Q5" i="4" s="1"/>
  <c r="R5" i="4" s="1"/>
  <c r="S7" i="8"/>
  <c r="S10" i="8"/>
  <c r="S8" i="8"/>
  <c r="S19" i="8"/>
  <c r="S17" i="8"/>
  <c r="O12" i="4"/>
  <c r="Q12" i="4" s="1"/>
  <c r="R12" i="4" s="1"/>
  <c r="Y12" i="4"/>
  <c r="AA12" i="4" s="1"/>
  <c r="AB12" i="4" s="1"/>
  <c r="AC14" i="8"/>
  <c r="AD13" i="8" s="1"/>
  <c r="AC9" i="8"/>
  <c r="AC16" i="8"/>
  <c r="S16" i="8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AC12" i="8"/>
  <c r="AE11" i="8" s="1"/>
  <c r="AD18" i="8"/>
  <c r="AC18" i="8"/>
  <c r="S12" i="8"/>
  <c r="U11" i="8" s="1"/>
  <c r="AC5" i="8"/>
  <c r="AC20" i="8" s="1"/>
  <c r="P25" i="8"/>
  <c r="R30" i="8" s="1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S9" i="4"/>
  <c r="AD7" i="8"/>
  <c r="AC7" i="8"/>
  <c r="Y8" i="4"/>
  <c r="AA8" i="4" s="1"/>
  <c r="AB8" i="4" s="1"/>
  <c r="O8" i="4"/>
  <c r="Q8" i="4" s="1"/>
  <c r="R8" i="4" s="1"/>
  <c r="T5" i="8"/>
  <c r="T20" i="8" s="1"/>
  <c r="L25" i="8" s="1"/>
  <c r="S5" i="8"/>
  <c r="S20" i="8" s="1"/>
  <c r="AC11" i="8"/>
  <c r="AD10" i="8" s="1"/>
  <c r="AC17" i="8"/>
  <c r="AE16" i="8" s="1"/>
  <c r="AD17" i="8"/>
  <c r="R31" i="8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S15" i="8"/>
  <c r="AD19" i="8"/>
  <c r="AC19" i="8"/>
  <c r="AE17" i="8" s="1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Y14" i="4"/>
  <c r="AA14" i="4" s="1"/>
  <c r="AB14" i="4" s="1"/>
  <c r="O14" i="4"/>
  <c r="Q14" i="4" s="1"/>
  <c r="R14" i="4" s="1"/>
  <c r="P25" i="4"/>
  <c r="N23" i="4"/>
  <c r="AE10" i="8" l="1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R42" i="4"/>
  <c r="R26" i="4"/>
  <c r="R41" i="4"/>
  <c r="S14" i="4"/>
  <c r="N36" i="8"/>
  <c r="P38" i="8"/>
  <c r="R40" i="8"/>
  <c r="L24" i="8"/>
  <c r="V20" i="8"/>
  <c r="L27" i="8" s="1"/>
  <c r="S15" i="4"/>
  <c r="R40" i="4"/>
  <c r="AE13" i="8"/>
  <c r="U5" i="8"/>
  <c r="U20" i="8" s="1"/>
  <c r="L26" i="8" s="1"/>
  <c r="AE9" i="8"/>
  <c r="AC16" i="4"/>
  <c r="T9" i="8"/>
  <c r="AC5" i="4"/>
  <c r="U16" i="8"/>
  <c r="T8" i="8"/>
  <c r="T7" i="8"/>
  <c r="U9" i="8"/>
  <c r="R24" i="8"/>
  <c r="R26" i="8"/>
  <c r="P22" i="8"/>
  <c r="R27" i="8"/>
  <c r="V27" i="8" s="1"/>
  <c r="R29" i="8"/>
  <c r="R28" i="8"/>
  <c r="AD6" i="8"/>
  <c r="R39" i="8"/>
  <c r="S7" i="4"/>
  <c r="AC6" i="4"/>
  <c r="L38" i="8"/>
  <c r="AE18" i="8"/>
  <c r="AC11" i="4"/>
  <c r="T16" i="8"/>
  <c r="U8" i="8"/>
  <c r="AE8" i="8"/>
  <c r="U6" i="8"/>
  <c r="AC8" i="4"/>
  <c r="T14" i="8"/>
  <c r="T18" i="8"/>
  <c r="AE6" i="8"/>
  <c r="R41" i="8"/>
  <c r="R43" i="4"/>
  <c r="S10" i="4"/>
  <c r="S18" i="4"/>
  <c r="AD12" i="8"/>
  <c r="S11" i="4"/>
  <c r="AC12" i="4"/>
  <c r="S5" i="4"/>
  <c r="AD15" i="8"/>
  <c r="AC19" i="4"/>
  <c r="AC7" i="4"/>
  <c r="S6" i="4"/>
  <c r="R27" i="4"/>
  <c r="R25" i="4"/>
  <c r="V26" i="4" s="1"/>
  <c r="R28" i="4"/>
  <c r="R30" i="4"/>
  <c r="P23" i="4"/>
  <c r="R29" i="4"/>
  <c r="R47" i="8"/>
  <c r="R43" i="8"/>
  <c r="R48" i="8"/>
  <c r="R45" i="8"/>
  <c r="R46" i="8"/>
  <c r="R44" i="8"/>
  <c r="U15" i="8"/>
  <c r="AC10" i="4"/>
  <c r="S8" i="4"/>
  <c r="AC18" i="4"/>
  <c r="AE14" i="8"/>
  <c r="S12" i="4"/>
  <c r="S19" i="4"/>
  <c r="T6" i="8"/>
  <c r="AC14" i="4"/>
  <c r="R39" i="4"/>
  <c r="P37" i="4"/>
  <c r="R42" i="8"/>
  <c r="AC15" i="4"/>
  <c r="T19" i="8"/>
  <c r="U7" i="8"/>
  <c r="S16" i="4"/>
  <c r="T11" i="8"/>
  <c r="AF20" i="8" l="1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V42" i="4"/>
  <c r="T19" i="4"/>
  <c r="AE5" i="4"/>
  <c r="U5" i="4"/>
  <c r="U13" i="4"/>
  <c r="AE11" i="4"/>
  <c r="AE14" i="4"/>
  <c r="AE17" i="4"/>
  <c r="AE18" i="4"/>
  <c r="AE7" i="4"/>
  <c r="T5" i="4"/>
  <c r="U17" i="4"/>
  <c r="AE6" i="4"/>
  <c r="U10" i="4"/>
  <c r="T11" i="4"/>
  <c r="U7" i="4"/>
  <c r="AE42" i="4"/>
  <c r="AE41" i="4"/>
  <c r="AE39" i="4"/>
  <c r="AE40" i="4"/>
  <c r="AA26" i="4"/>
  <c r="AA25" i="4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AC20" i="4"/>
  <c r="AD17" i="4"/>
  <c r="AD13" i="4"/>
  <c r="AD9" i="4"/>
  <c r="AE9" i="4"/>
  <c r="AE16" i="4"/>
  <c r="U11" i="4"/>
  <c r="AD18" i="4"/>
  <c r="AD7" i="4"/>
  <c r="S20" i="4"/>
  <c r="T17" i="4"/>
  <c r="T9" i="4"/>
  <c r="T13" i="4"/>
  <c r="AD12" i="4"/>
  <c r="AD6" i="4"/>
  <c r="AD10" i="4"/>
  <c r="AE12" i="4"/>
  <c r="AD11" i="4"/>
  <c r="T7" i="4"/>
  <c r="V40" i="4"/>
  <c r="T15" i="4"/>
  <c r="T14" i="4"/>
  <c r="AD5" i="4"/>
  <c r="AE10" i="4"/>
  <c r="AE24" i="8"/>
  <c r="AE22" i="8" s="1"/>
  <c r="AE26" i="8"/>
  <c r="AE25" i="8"/>
  <c r="AE27" i="8"/>
  <c r="U15" i="4"/>
  <c r="V28" i="4"/>
  <c r="AD8" i="4"/>
  <c r="V26" i="8"/>
  <c r="T18" i="4"/>
  <c r="AE8" i="4"/>
  <c r="AD14" i="4"/>
  <c r="U12" i="4"/>
  <c r="U8" i="4"/>
  <c r="V27" i="4"/>
  <c r="T6" i="4"/>
  <c r="U18" i="4"/>
  <c r="T10" i="4"/>
  <c r="L22" i="8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T16" i="4"/>
  <c r="AD15" i="4"/>
  <c r="U6" i="4"/>
  <c r="L36" i="8"/>
  <c r="V25" i="8"/>
  <c r="AD16" i="4"/>
  <c r="P36" i="8"/>
  <c r="R38" i="8"/>
  <c r="V40" i="8" s="1"/>
  <c r="V39" i="8" l="1"/>
  <c r="V41" i="8"/>
  <c r="AA23" i="4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E20" i="4"/>
  <c r="L41" i="4" s="1"/>
  <c r="U20" i="4"/>
  <c r="L27" i="4" s="1"/>
  <c r="T20" i="4"/>
  <c r="L26" i="4" s="1"/>
  <c r="AC39" i="8"/>
  <c r="AC40" i="8"/>
  <c r="AC38" i="8"/>
  <c r="AC36" i="8" s="1"/>
  <c r="AE27" i="4"/>
  <c r="AE26" i="4"/>
  <c r="AE28" i="4"/>
  <c r="AE25" i="4"/>
  <c r="AE23" i="4" s="1"/>
  <c r="AD20" i="4"/>
  <c r="L40" i="4" s="1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A39" i="4"/>
  <c r="AA40" i="4"/>
  <c r="L39" i="4"/>
  <c r="AK25" i="8"/>
  <c r="AK26" i="8"/>
  <c r="AK28" i="8"/>
  <c r="AK30" i="8"/>
  <c r="AK27" i="8"/>
  <c r="AK29" i="8"/>
  <c r="AK24" i="8"/>
  <c r="AK22" i="8" s="1"/>
  <c r="AG43" i="4"/>
  <c r="AG40" i="4"/>
  <c r="AG41" i="4"/>
  <c r="AG42" i="4"/>
  <c r="AG39" i="4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Y24" i="8"/>
  <c r="V21" i="8"/>
  <c r="V22" i="8"/>
  <c r="V34" i="8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C39" i="4"/>
  <c r="AC40" i="4"/>
  <c r="AC41" i="4"/>
  <c r="L25" i="4"/>
  <c r="AM30" i="4"/>
  <c r="AM26" i="4"/>
  <c r="AM29" i="4"/>
  <c r="AM32" i="4"/>
  <c r="AM27" i="4"/>
  <c r="AM28" i="4"/>
  <c r="AM31" i="4"/>
  <c r="AM25" i="4"/>
  <c r="AC25" i="4"/>
  <c r="AC26" i="4"/>
  <c r="AC27" i="4"/>
  <c r="AE37" i="4"/>
  <c r="AA38" i="8"/>
  <c r="AA36" i="8" s="1"/>
  <c r="AA39" i="8"/>
  <c r="AI29" i="4"/>
  <c r="AI28" i="4"/>
  <c r="AI30" i="4"/>
  <c r="AI25" i="4"/>
  <c r="AI26" i="4"/>
  <c r="AI27" i="4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G29" i="4"/>
  <c r="AG28" i="4"/>
  <c r="AG27" i="4"/>
  <c r="AG25" i="4"/>
  <c r="AG26" i="4"/>
  <c r="AO33" i="4"/>
  <c r="AO32" i="4"/>
  <c r="AO28" i="4"/>
  <c r="AO27" i="4"/>
  <c r="AO31" i="4"/>
  <c r="AO30" i="4"/>
  <c r="AO29" i="4"/>
  <c r="AO26" i="4"/>
  <c r="AO25" i="4"/>
  <c r="AK44" i="4"/>
  <c r="AK43" i="4"/>
  <c r="AK41" i="4"/>
  <c r="AK40" i="4"/>
  <c r="AK42" i="4"/>
  <c r="AK39" i="4"/>
  <c r="AK45" i="4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G23" i="4"/>
  <c r="AO23" i="4"/>
  <c r="AC37" i="4"/>
  <c r="V20" i="4"/>
  <c r="L28" i="4" s="1"/>
  <c r="L23" i="4" s="1"/>
  <c r="AF20" i="4"/>
  <c r="L42" i="4" s="1"/>
  <c r="L37" i="4" s="1"/>
  <c r="AM39" i="8"/>
  <c r="AM42" i="8"/>
  <c r="AM45" i="8"/>
  <c r="AM44" i="8"/>
  <c r="AM38" i="8"/>
  <c r="AM36" i="8" s="1"/>
  <c r="AM41" i="8"/>
  <c r="AM43" i="8"/>
  <c r="AM40" i="8"/>
  <c r="Y23" i="4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AA37" i="4"/>
  <c r="AK37" i="4"/>
  <c r="V36" i="8"/>
  <c r="V48" i="8" s="1"/>
  <c r="Y38" i="8"/>
  <c r="V35" i="8"/>
  <c r="AM37" i="4"/>
  <c r="AI38" i="8"/>
  <c r="AI36" i="8" s="1"/>
  <c r="AI41" i="8"/>
  <c r="AI43" i="8"/>
  <c r="AI40" i="8"/>
  <c r="AI39" i="8"/>
  <c r="AI42" i="8"/>
  <c r="AS42" i="4"/>
  <c r="J42" i="4" s="1"/>
  <c r="AS46" i="4"/>
  <c r="J46" i="4" s="1"/>
  <c r="AS41" i="4"/>
  <c r="J41" i="4" s="1"/>
  <c r="AS44" i="4"/>
  <c r="J44" i="4" s="1"/>
  <c r="AS48" i="4"/>
  <c r="J48" i="4" s="1"/>
  <c r="AS47" i="4"/>
  <c r="AS43" i="4"/>
  <c r="AS39" i="4"/>
  <c r="J39" i="4" s="1"/>
  <c r="AS45" i="4"/>
  <c r="J45" i="4" s="1"/>
  <c r="AS40" i="4"/>
  <c r="J40" i="4" s="1"/>
  <c r="AS49" i="4"/>
  <c r="J49" i="4" s="1"/>
  <c r="J47" i="4"/>
  <c r="AG37" i="4"/>
  <c r="AK38" i="8"/>
  <c r="AK36" i="8" s="1"/>
  <c r="AK41" i="8"/>
  <c r="AK40" i="8"/>
  <c r="AK42" i="8"/>
  <c r="AK44" i="8"/>
  <c r="AK43" i="8"/>
  <c r="AK39" i="8"/>
  <c r="AQ23" i="4"/>
  <c r="J32" i="4"/>
  <c r="AO37" i="4"/>
  <c r="AQ37" i="4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AI37" i="4"/>
  <c r="AS31" i="4"/>
  <c r="J31" i="4" s="1"/>
  <c r="AS35" i="4"/>
  <c r="J35" i="4" s="1"/>
  <c r="AS30" i="4"/>
  <c r="J30" i="4" s="1"/>
  <c r="AS32" i="4"/>
  <c r="AS29" i="4"/>
  <c r="J29" i="4" s="1"/>
  <c r="AS28" i="4"/>
  <c r="J28" i="4" s="1"/>
  <c r="AS27" i="4"/>
  <c r="J27" i="4" s="1"/>
  <c r="AS26" i="4"/>
  <c r="J26" i="4" s="1"/>
  <c r="AS25" i="4"/>
  <c r="J25" i="4" s="1"/>
  <c r="AS34" i="4"/>
  <c r="J34" i="4" s="1"/>
  <c r="AS33" i="4"/>
  <c r="J33" i="4" s="1"/>
  <c r="AK23" i="4"/>
  <c r="J37" i="10" l="1"/>
  <c r="AS37" i="10"/>
  <c r="AS36" i="10" s="1"/>
  <c r="H41" i="4"/>
  <c r="H26" i="4"/>
  <c r="H40" i="4"/>
  <c r="H30" i="4"/>
  <c r="H34" i="4"/>
  <c r="H48" i="4"/>
  <c r="J37" i="4"/>
  <c r="H39" i="4"/>
  <c r="H29" i="8"/>
  <c r="H27" i="4"/>
  <c r="H28" i="4"/>
  <c r="H29" i="4"/>
  <c r="H44" i="4"/>
  <c r="H31" i="4"/>
  <c r="H28" i="8"/>
  <c r="H32" i="8"/>
  <c r="H45" i="4"/>
  <c r="H33" i="8"/>
  <c r="H32" i="4"/>
  <c r="H42" i="4"/>
  <c r="H31" i="8"/>
  <c r="H34" i="8"/>
  <c r="Y36" i="8"/>
  <c r="J24" i="8"/>
  <c r="H25" i="8" s="1"/>
  <c r="H43" i="4"/>
  <c r="AS37" i="4"/>
  <c r="H47" i="4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23" i="4"/>
  <c r="H35" i="4"/>
  <c r="J47" i="8"/>
  <c r="H30" i="8"/>
  <c r="H33" i="4"/>
  <c r="AS36" i="4"/>
  <c r="AS23" i="4"/>
  <c r="AS22" i="4" s="1"/>
  <c r="H25" i="4"/>
  <c r="H46" i="4"/>
  <c r="H49" i="4"/>
  <c r="AS21" i="8"/>
  <c r="H44" i="8" l="1"/>
  <c r="BR15" i="4"/>
  <c r="BJ14" i="4"/>
  <c r="BJ22" i="4"/>
  <c r="BJ21" i="4"/>
  <c r="BR41" i="4"/>
  <c r="BJ18" i="4"/>
  <c r="BJ20" i="4"/>
  <c r="BJ19" i="4"/>
  <c r="BJ17" i="4"/>
  <c r="BN5" i="4"/>
  <c r="BN13" i="4"/>
  <c r="BN9" i="4"/>
  <c r="BR16" i="4"/>
  <c r="BR17" i="4"/>
  <c r="BR18" i="4"/>
  <c r="BJ47" i="4"/>
  <c r="BR40" i="4"/>
  <c r="BR14" i="4"/>
  <c r="BR46" i="4"/>
  <c r="BR42" i="4"/>
  <c r="BJ46" i="4"/>
  <c r="BJ48" i="4"/>
  <c r="BR4" i="4"/>
  <c r="BJ15" i="4"/>
  <c r="BR39" i="4"/>
  <c r="BR43" i="4"/>
  <c r="BJ16" i="4"/>
  <c r="BJ18" i="8"/>
  <c r="BJ19" i="8"/>
  <c r="H45" i="8"/>
  <c r="H43" i="8"/>
  <c r="BR36" i="8" s="1"/>
  <c r="H46" i="8"/>
  <c r="BJ20" i="8" s="1"/>
  <c r="BR38" i="8"/>
  <c r="BR37" i="8"/>
  <c r="BR30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BJ50" i="8"/>
  <c r="BN10" i="8"/>
  <c r="BN14" i="4"/>
  <c r="AS35" i="8"/>
  <c r="BJ59" i="4"/>
  <c r="H26" i="8"/>
  <c r="BJ45" i="4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H27" i="8"/>
  <c r="J38" i="8"/>
  <c r="H39" i="8" s="1"/>
  <c r="BR35" i="4"/>
  <c r="BJ57" i="4"/>
  <c r="BJ58" i="4"/>
  <c r="BR38" i="4"/>
  <c r="BR34" i="4"/>
  <c r="BR37" i="4"/>
  <c r="BR36" i="4"/>
  <c r="BN12" i="4"/>
  <c r="BR33" i="4"/>
  <c r="BR31" i="4"/>
  <c r="BR32" i="4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BR47" i="4"/>
  <c r="BJ33" i="4"/>
  <c r="BN7" i="4"/>
  <c r="BJ35" i="4"/>
  <c r="BJ34" i="4"/>
  <c r="BJ37" i="4"/>
  <c r="BR9" i="4"/>
  <c r="BR8" i="4"/>
  <c r="BJ32" i="4"/>
  <c r="BJ31" i="4"/>
  <c r="BJ36" i="4"/>
  <c r="BR7" i="4"/>
  <c r="J22" i="8"/>
  <c r="H24" i="8"/>
  <c r="BJ44" i="8"/>
  <c r="BR18" i="8"/>
  <c r="BJ45" i="8"/>
  <c r="BJ48" i="8"/>
  <c r="BJ8" i="4"/>
  <c r="H23" i="4"/>
  <c r="BJ12" i="4"/>
  <c r="BJ13" i="4"/>
  <c r="BJ7" i="4"/>
  <c r="BJ11" i="4"/>
  <c r="BJ6" i="4"/>
  <c r="BN4" i="4"/>
  <c r="BJ9" i="4"/>
  <c r="BJ10" i="4"/>
  <c r="BJ5" i="4"/>
  <c r="BJ4" i="4"/>
  <c r="BR45" i="4"/>
  <c r="H47" i="8"/>
  <c r="BJ47" i="8" s="1"/>
  <c r="BJ40" i="8"/>
  <c r="BJ39" i="8"/>
  <c r="BN8" i="8"/>
  <c r="BJ59" i="8"/>
  <c r="BR45" i="8"/>
  <c r="BR43" i="8"/>
  <c r="BR46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BJ44" i="4"/>
  <c r="H37" i="4"/>
  <c r="BR44" i="8" l="1"/>
  <c r="BJ52" i="8"/>
  <c r="BJ17" i="8"/>
  <c r="BR47" i="8"/>
  <c r="BN9" i="8"/>
  <c r="BR29" i="8"/>
  <c r="BJ42" i="8"/>
  <c r="BR23" i="8"/>
  <c r="BJ57" i="8"/>
  <c r="BJ22" i="8"/>
  <c r="BJ55" i="8"/>
  <c r="BR35" i="8"/>
  <c r="H41" i="8"/>
  <c r="BJ38" i="8"/>
  <c r="BN14" i="8"/>
  <c r="B39" i="4"/>
  <c r="B37" i="4"/>
  <c r="BR15" i="8"/>
  <c r="BR32" i="8"/>
  <c r="BR40" i="8"/>
  <c r="BR25" i="8"/>
  <c r="BR11" i="8"/>
  <c r="BN5" i="8"/>
  <c r="BR19" i="8"/>
  <c r="BR17" i="8"/>
  <c r="BR22" i="8"/>
  <c r="BR28" i="8"/>
  <c r="BN12" i="8"/>
  <c r="BJ21" i="8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B38" i="4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R13" i="8"/>
  <c r="BJ34" i="8"/>
  <c r="BJ36" i="8"/>
  <c r="BJ35" i="8"/>
  <c r="BJ31" i="8"/>
  <c r="BJ32" i="8"/>
  <c r="BJ33" i="8"/>
  <c r="BJ37" i="8"/>
  <c r="BR8" i="8"/>
  <c r="BN7" i="8"/>
  <c r="BR7" i="8"/>
  <c r="H40" i="8"/>
  <c r="BR21" i="8" l="1"/>
  <c r="BR42" i="8"/>
  <c r="BR27" i="8"/>
  <c r="BR34" i="8"/>
  <c r="B36" i="4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5" i="10" l="1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H10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5E8C0E49-4589-43E0-86AC-57EDEA1C6A0D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E27ACACD-FC42-4D24-BED8-45100347DBB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A6C16F22-810F-4083-997B-0FCB1E163279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996105A-D290-486B-8021-C98AB1AA1A6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0C804D7-511D-4D4F-AA6D-05399E7AD57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DE39C195-2564-4C7A-ABFA-E19EBC4FA778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EFDF9727-ABCA-4D45-972C-D27CF0F5DC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84783CF-B190-42DC-A6A6-F4A85DF997CA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177F733E-2CA3-425A-9AE5-DC7F5D0E4366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FAFD542F-A2B1-432C-BB45-21DCCC048A1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5274C40-AE7D-4EAC-84E2-B8746C59285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AAAF80C-447D-4723-94AF-B8FF3C95E0A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F3CFF82-38EA-4FBF-894C-D7576C603D7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C17ADC7-E922-4165-B1E2-7D74B6554A1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151AC81-7000-41C6-A54E-DF7545B1FB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<sst xmlns="http://schemas.openxmlformats.org/spreadsheetml/2006/main" count="1480" uniqueCount="198">
  <si>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</si>
  <si>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</si>
  <si>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</si>
  <si>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</si>
  <si>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</si>
  <si>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</si>
  <si>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</si>
  <si>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</si>
  <si>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</si>
  <si>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</si>
  <si>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</si>
  <si>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</si>
  <si>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</si>
  <si>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</si>
  <si>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</si>
  <si>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</si>
  <si>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</si>
  <si>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</si>
  <si>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</si>
  <si>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</si>
  <si>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</si>
  <si>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</si>
  <si>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</si>
  <si>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</si>
  <si>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</si>
  <si>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</si>
  <si>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</si>
  <si>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</si>
  <si>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</si>
  <si>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</si>
  <si>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</si>
  <si>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</si>
  <si>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</si>
  <si>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</si>
  <si>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</si>
  <si>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</si>
  <si>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</si>
  <si>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</si>
  <si>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</si>
  <si>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</si>
  <si>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</si>
  <si>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</si>
  <si>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</si>
  <si>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</si>
  <si>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</si>
  <si>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</si>
  <si>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</si>
  <si>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</si>
  <si>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</si>
  <si>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</si>
  <si>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</si>
  <si>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</si>
  <si>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</si>
  <si>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</si>
  <si>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</si>
  <si>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</si>
  <si>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</si>
  <si>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</si>
  <si>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</si>
  <si>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</si>
  <si>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</si>
  <si>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</si>
  <si>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</si>
  <si>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</si>
  <si>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</si>
  <si>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</si>
  <si>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</si>
  <si>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</si>
  <si>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</si>
  <si>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</si>
  <si>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</si>
  <si>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</si>
  <si>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</si>
  <si>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</si>
  <si>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</si>
  <si>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</si>
  <si>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</si>
  <si>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</si>
  <si>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</si>
  <si>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</si>
  <si>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</si>
  <si>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</si>
  <si>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</si>
  <si>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</si>
  <si>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</si>
  <si>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</si>
  <si>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</si>
  <si>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</si>
  <si>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</si>
  <si>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</si>
  <si>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</si>
  <si>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</si>
  <si>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</si>
  <si>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</si>
  <si>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</si>
  <si>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</si>
  <si>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</si>
  <si>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</si>
  <si>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</si>
  <si>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</si>
  <si>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</si>
  <si>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</si>
  <si>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</si>
  <si>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</si>
  <si>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</si>
  <si>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</si>
  <si>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</si>
  <si>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</si>
  <si>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</si>
  <si>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</si>
  <si>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</si>
  <si>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</si>
  <si>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</si>
  <si>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</si>
  <si>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</si>
  <si>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</si>
  <si>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</si>
  <si>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</si>
  <si>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</si>
  <si>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</si>
  <si>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</si>
  <si>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</si>
  <si>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</si>
  <si>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</si>
  <si>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</si>
  <si>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</si>
  <si>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</si>
  <si>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</si>
  <si>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</si>
  <si>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</si>
  <si>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</si>
  <si>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</si>
  <si>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</si>
  <si>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</si>
  <si>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</si>
  <si>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</si>
  <si>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</si>
  <si>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</si>
  <si>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</si>
  <si>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</si>
  <si>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</si>
  <si>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</si>
  <si>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</si>
  <si>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</si>
  <si>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</si>
  <si>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</si>
  <si>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</si>
  <si>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</si>
  <si>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</si>
  <si>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</si>
  <si>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</si>
  <si>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</si>
  <si>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</si>
  <si>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</si>
  <si>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</si>
  <si>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</si>
  <si>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</si>
  <si>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</si>
  <si>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</si>
  <si>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</si>
  <si>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</si>
  <si>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</si>
  <si>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</si>
  <si>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</si>
  <si>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</si>
  <si>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</si>
  <si>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</si>
  <si>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</si>
  <si>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</si>
  <si>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</si>
  <si>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</si>
  <si>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</si>
  <si>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</si>
  <si>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</si>
  <si>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</si>
  <si>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</si>
  <si>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</si>
  <si>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</si>
  <si>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</si>
  <si>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</si>
  <si>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</si>
  <si>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</si>
  <si>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</si>
  <si>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</si>
  <si>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</si>
  <si>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</si>
  <si>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</si>
  <si>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</si>
  <si>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</si>
  <si>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Lokomotiv</t>
  </si>
  <si>
    <t>AIM</t>
  </si>
  <si>
    <t>NO</t>
  </si>
  <si>
    <t>Loth Munchen</t>
  </si>
  <si>
    <t>CA</t>
  </si>
  <si>
    <t>DEF</t>
  </si>
  <si>
    <t>TL</t>
  </si>
  <si>
    <t>Conjunto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</si>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</sst>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#,##0.000_ ;\-#,##0.000\ "/>
    <numFmt numFmtId="170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6" fontId="0" fillId="0" borderId="2" xfId="0" applyNumberFormat="1" applyBorder="1"/>
    <xf numFmtId="166" fontId="0" fillId="0" borderId="2" xfId="0" applyNumberFormat="1" applyBorder="1"/>
    <xf numFmtId="166" fontId="0" fillId="0" borderId="53" xfId="0" applyNumberFormat="1" applyBorder="1"/>
    <xf numFmtId="166" fontId="0" fillId="0" borderId="53" xfId="0" applyNumberFormat="1" applyBorder="1"/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9" fontId="3" fillId="38" borderId="51" xfId="1" applyNumberFormat="1" applyFont="1" applyFill="1" applyBorder="1" applyAlignment="1">
      <alignment horizontal="center"/>
    </xf>
    <xf numFmtId="169" fontId="4" fillId="38" borderId="51" xfId="1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3" borderId="51" xfId="0" applyNumberFormat="1" applyFont="1" applyFill="1" applyBorder="1"/>
    <xf numFmtId="2" fontId="4" fillId="43" borderId="51" xfId="0" applyNumberFormat="1" applyFont="1" applyFill="1" applyBorder="1"/>
    <xf numFmtId="2" fontId="3" fillId="43" borderId="51" xfId="0" applyNumberFormat="1" applyFont="1" applyFill="1" applyBorder="1" applyAlignment="1">
      <alignment wrapText="1"/>
    </xf>
    <xf numFmtId="2" fontId="4" fillId="43" borderId="51" xfId="0" applyNumberFormat="1" applyFont="1" applyFill="1" applyBorder="1" applyAlignment="1">
      <alignment wrapText="1"/>
    </xf>
    <xf numFmtId="0" fontId="1" fillId="43" borderId="51" xfId="0" applyFont="1" applyFill="1" applyBorder="1" applyAlignment="1">
      <alignment horizontal="right"/>
    </xf>
    <xf numFmtId="0" fontId="7" fillId="43" borderId="51" xfId="0" applyFont="1" applyFill="1" applyBorder="1" applyAlignment="1">
      <alignment horizontal="right"/>
    </xf>
    <xf numFmtId="9" fontId="3" fillId="43" borderId="51" xfId="2" applyFont="1" applyFill="1" applyBorder="1"/>
    <xf numFmtId="9" fontId="4" fillId="43" borderId="51" xfId="2" applyFont="1" applyFill="1" applyBorder="1"/>
    <xf numFmtId="2" fontId="1" fillId="44" borderId="48" xfId="0" applyNumberFormat="1" applyFont="1" applyFill="1" applyBorder="1" applyAlignment="1">
      <alignment horizontal="center"/>
    </xf>
    <xf numFmtId="2" fontId="7" fillId="44" borderId="48" xfId="0" applyNumberFormat="1" applyFont="1" applyFill="1" applyBorder="1" applyAlignment="1">
      <alignment horizontal="center"/>
    </xf>
    <xf numFmtId="0" fontId="1" fillId="44" borderId="48" xfId="0" applyFont="1" applyFill="1" applyBorder="1" applyAlignment="1">
      <alignment horizontal="center"/>
    </xf>
    <xf numFmtId="0" fontId="7" fillId="44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5" borderId="5" xfId="1" applyNumberFormat="1" applyFont="1" applyFill="1" applyBorder="1"/>
    <xf numFmtId="167" fontId="0" fillId="45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4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48" xfId="0" applyFont="1" applyFill="1" applyBorder="1" applyAlignment="1"/>
    <xf numFmtId="0" fontId="0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0" fontId="0" fillId="0" borderId="0" xfId="0" applyNumberFormat="1"/>
    <xf numFmtId="2" fontId="26" fillId="46" borderId="0" xfId="0" applyNumberFormat="1" applyFont="1" applyFill="1" applyAlignment="1">
      <alignment horizontal="center"/>
    </xf>
    <xf numFmtId="2" fontId="26" fillId="47" borderId="0" xfId="0" applyNumberFormat="1" applyFont="1" applyFill="1" applyAlignment="1">
      <alignment horizontal="center"/>
    </xf>
    <xf numFmtId="0" fontId="0" fillId="42" borderId="56" xfId="0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7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9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'Lokomotive-LUKE'!$G$25:$G$35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'Lokomotive-LUKE'!$H$25:$H$35</c:f>
              <c:numCache>
                <c:formatCode>0.0%</c:formatCode>
                <c:ptCount val="11"/>
                <c:pt idx="0">
                  <c:v>2.5652272325413467E-2</c:v>
                </c:pt>
                <c:pt idx="1">
                  <c:v>0.11149255647498288</c:v>
                </c:pt>
                <c:pt idx="2">
                  <c:v>0.22007780210639202</c:v>
                </c:pt>
                <c:pt idx="3">
                  <c:v>0.2606017578404764</c:v>
                </c:pt>
                <c:pt idx="4">
                  <c:v>0.20592945082257572</c:v>
                </c:pt>
                <c:pt idx="5">
                  <c:v>0.11426282069914072</c:v>
                </c:pt>
                <c:pt idx="6">
                  <c:v>4.5601844852779655E-2</c:v>
                </c:pt>
                <c:pt idx="7">
                  <c:v>1.3185973050430348E-2</c:v>
                </c:pt>
                <c:pt idx="8">
                  <c:v>2.7467788334369623E-3</c:v>
                </c:pt>
                <c:pt idx="9">
                  <c:v>4.0499178466972573E-4</c:v>
                </c:pt>
                <c:pt idx="10">
                  <c:v>4.0959141517707219E-5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F-4BA6-A2AF-B79024F4EF6F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'Lokomotive-LUKE'!$G$25:$G$35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'Lokomotive-LUKE'!$H$39:$H$49</c:f>
              <c:numCache>
                <c:formatCode>0.0%</c:formatCode>
                <c:ptCount val="11"/>
                <c:pt idx="0">
                  <c:v>3.1446510442323779E-2</c:v>
                </c:pt>
                <c:pt idx="1">
                  <c:v>0.12238492579769739</c:v>
                </c:pt>
                <c:pt idx="2">
                  <c:v>0.21916009099710204</c:v>
                </c:pt>
                <c:pt idx="3">
                  <c:v>0.24259564471439779</c:v>
                </c:pt>
                <c:pt idx="4">
                  <c:v>0.18921989543130094</c:v>
                </c:pt>
                <c:pt idx="5">
                  <c:v>0.11263310698022637</c:v>
                </c:pt>
                <c:pt idx="6">
                  <c:v>5.3656691325807859E-2</c:v>
                </c:pt>
                <c:pt idx="7">
                  <c:v>2.073818086431746E-2</c:v>
                </c:pt>
                <c:pt idx="8">
                  <c:v>6.3827716109208007E-3</c:v>
                </c:pt>
                <c:pt idx="9">
                  <c:v>1.4998580747483956E-3</c:v>
                </c:pt>
                <c:pt idx="10">
                  <c:v>2.5291857202228683E-4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F-4BA6-A2AF-B79024F4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'VADER-LothMunchen'!$G$25:$G$35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'VADER-LothMunchen'!$H$25:$H$35</c:f>
              <c:numCache>
                <c:formatCode>0.0%</c:formatCode>
                <c:ptCount val="11"/>
                <c:pt idx="0">
                  <c:v>0.14949663600606161</c:v>
                </c:pt>
                <c:pt idx="1">
                  <c:v>0.30938266631073114</c:v>
                </c:pt>
                <c:pt idx="2">
                  <c:v>0.29136115059559314</c:v>
                </c:pt>
                <c:pt idx="3">
                  <c:v>0.1653942623009835</c:v>
                </c:pt>
                <c:pt idx="4">
                  <c:v>6.3185499742311149E-2</c:v>
                </c:pt>
                <c:pt idx="5">
                  <c:v>1.717825411383482E-2</c:v>
                </c:pt>
                <c:pt idx="6">
                  <c:v>3.4281655664822512E-3</c:v>
                </c:pt>
                <c:pt idx="7">
                  <c:v>5.1087243145958724E-4</c:v>
                </c:pt>
                <c:pt idx="8">
                  <c:v>5.732257218616499E-5</c:v>
                </c:pt>
                <c:pt idx="9">
                  <c:v>4.8489850021039658E-6</c:v>
                </c:pt>
                <c:pt idx="10">
                  <c:v>3.068213079540947E-7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C-4914-9885-908A20CE95D0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'VADER-LothMunchen'!$G$25:$G$35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'VADER-LothMunchen'!$H$39:$H$49</c:f>
              <c:numCache>
                <c:formatCode>0.0%</c:formatCode>
                <c:ptCount val="11"/>
                <c:pt idx="0">
                  <c:v>5.2335766587504072E-2</c:v>
                </c:pt>
                <c:pt idx="1">
                  <c:v>0.16915605460139707</c:v>
                </c:pt>
                <c:pt idx="2">
                  <c:v>0.25292462619688333</c:v>
                </c:pt>
                <c:pt idx="3">
                  <c:v>0.23689565442863186</c:v>
                </c:pt>
                <c:pt idx="4">
                  <c:v>0.15885941562256442</c:v>
                </c:pt>
                <c:pt idx="5">
                  <c:v>8.1982438185188689E-2</c:v>
                </c:pt>
                <c:pt idx="6">
                  <c:v>3.3582533578221579E-2</c:v>
                </c:pt>
                <c:pt idx="7">
                  <c:v>1.090943520965711E-2</c:v>
                </c:pt>
                <c:pt idx="8">
                  <c:v>2.7527177583760018E-3</c:v>
                </c:pt>
                <c:pt idx="9">
                  <c:v>5.2270290647409294E-4</c:v>
                </c:pt>
                <c:pt idx="10">
                  <c:v>7.1620275399906136E-5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C-4914-9885-908A20CE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VADER_ConjuntoVacio!$H$25:$H$35</c:f>
              <c:numCache>
                <c:formatCode>0.0%</c:formatCode>
                <c:ptCount val="11"/>
                <c:pt idx="0">
                  <c:v>0.10987001510731127</c:v>
                </c:pt>
                <c:pt idx="1">
                  <c:v>0.26340582919212852</c:v>
                </c:pt>
                <c:pt idx="2">
                  <c:v>0.29211339554924798</c:v>
                </c:pt>
                <c:pt idx="3">
                  <c:v>0.19904777568785958</c:v>
                </c:pt>
                <c:pt idx="4">
                  <c:v>9.3348022909823691E-2</c:v>
                </c:pt>
                <c:pt idx="5">
                  <c:v>3.1977483312269329E-2</c:v>
                </c:pt>
                <c:pt idx="6">
                  <c:v>8.2858481856518743E-3</c:v>
                </c:pt>
                <c:pt idx="7">
                  <c:v>1.6580830974790054E-3</c:v>
                </c:pt>
                <c:pt idx="8">
                  <c:v>2.588881796068894E-4</c:v>
                </c:pt>
                <c:pt idx="9">
                  <c:v>3.1511136796894318E-5</c:v>
                </c:pt>
                <c:pt idx="10">
                  <c:v>2.938211389142768E-6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3A8-835D-DDA94C8DEBC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VADER_ConjuntoVacio!$H$39:$H$49</c:f>
              <c:numCache>
                <c:formatCode>0.0%</c:formatCode>
                <c:ptCount val="11"/>
                <c:pt idx="0">
                  <c:v>0.12472141577519362</c:v>
                </c:pt>
                <c:pt idx="1">
                  <c:v>0.28085365105729226</c:v>
                </c:pt>
                <c:pt idx="2">
                  <c:v>0.29254662204713355</c:v>
                </c:pt>
                <c:pt idx="3">
                  <c:v>0.18685456058832833</c:v>
                </c:pt>
                <c:pt idx="4">
                  <c:v>8.1747496934640049E-2</c:v>
                </c:pt>
                <c:pt idx="5">
                  <c:v>2.5899191723414393E-2</c:v>
                </c:pt>
                <c:pt idx="6">
                  <c:v>6.1200645683164292E-3</c:v>
                </c:pt>
                <c:pt idx="7">
                  <c:v>1.0932011291915865E-3</c:v>
                </c:pt>
                <c:pt idx="8">
                  <c:v>1.4772245812253804E-4</c:v>
                </c:pt>
                <c:pt idx="9">
                  <c:v>1.4921374672240805E-5</c:v>
                </c:pt>
                <c:pt idx="10">
                  <c:v>1.095279321480267E-6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3A8-835D-DDA94C8D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0.11534845686470653</c:v>
                </c:pt>
                <c:pt idx="1">
                  <c:v>0.27054320509914564</c:v>
                </c:pt>
                <c:pt idx="2">
                  <c:v>0.29315860861870402</c:v>
                </c:pt>
                <c:pt idx="3">
                  <c:v>0.19469393302537902</c:v>
                </c:pt>
                <c:pt idx="4">
                  <c:v>8.8515106244660705E-2</c:v>
                </c:pt>
                <c:pt idx="5">
                  <c:v>2.9105146636060539E-2</c:v>
                </c:pt>
                <c:pt idx="6">
                  <c:v>7.1210733677970952E-3</c:v>
                </c:pt>
                <c:pt idx="7">
                  <c:v>1.3122093600232932E-3</c:v>
                </c:pt>
                <c:pt idx="8">
                  <c:v>1.8202650778555981E-4</c:v>
                </c:pt>
                <c:pt idx="9">
                  <c:v>1.8764225883529958E-5</c:v>
                </c:pt>
                <c:pt idx="10">
                  <c:v>1.3967108621865284E-6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1.3694878133923265E-2</c:v>
                </c:pt>
                <c:pt idx="1">
                  <c:v>7.209658563992645E-2</c:v>
                </c:pt>
                <c:pt idx="2">
                  <c:v>0.17210602953700291</c:v>
                </c:pt>
                <c:pt idx="3">
                  <c:v>0.24595019774650889</c:v>
                </c:pt>
                <c:pt idx="4">
                  <c:v>0.23389756903348335</c:v>
                </c:pt>
                <c:pt idx="5">
                  <c:v>0.15558687713912026</c:v>
                </c:pt>
                <c:pt idx="6">
                  <c:v>7.4031951530778073E-2</c:v>
                </c:pt>
                <c:pt idx="7">
                  <c:v>2.5314966616111798E-2</c:v>
                </c:pt>
                <c:pt idx="8">
                  <c:v>6.1579867931589125E-3</c:v>
                </c:pt>
                <c:pt idx="9">
                  <c:v>1.0386548259680131E-3</c:v>
                </c:pt>
                <c:pt idx="10">
                  <c:v>1.160416226984785E-4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4.5360424470794039E-2</c:v>
                </c:pt>
                <c:pt idx="1">
                  <c:v>0.15783330304573795</c:v>
                </c:pt>
                <c:pt idx="2">
                  <c:v>0.25392608577972164</c:v>
                </c:pt>
                <c:pt idx="3">
                  <c:v>0.25045534381676698</c:v>
                </c:pt>
                <c:pt idx="4">
                  <c:v>0.16918412165769878</c:v>
                </c:pt>
                <c:pt idx="5">
                  <c:v>8.2740684471239612E-2</c:v>
                </c:pt>
                <c:pt idx="6">
                  <c:v>3.0165294160438536E-2</c:v>
                </c:pt>
                <c:pt idx="7">
                  <c:v>8.3058589548542089E-3</c:v>
                </c:pt>
                <c:pt idx="8">
                  <c:v>1.7279043580330185E-3</c:v>
                </c:pt>
                <c:pt idx="9">
                  <c:v>2.6829640626167806E-4</c:v>
                </c:pt>
                <c:pt idx="10">
                  <c:v>3.0227836015330314E-5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1.6581076073962548E-2</c:v>
                </c:pt>
                <c:pt idx="1">
                  <c:v>8.1605266938989937E-2</c:v>
                </c:pt>
                <c:pt idx="2">
                  <c:v>0.18323572841762997</c:v>
                </c:pt>
                <c:pt idx="3">
                  <c:v>0.2481921520245913</c:v>
                </c:pt>
                <c:pt idx="4">
                  <c:v>0.22588690034616293</c:v>
                </c:pt>
                <c:pt idx="5">
                  <c:v>0.14560294494229817</c:v>
                </c:pt>
                <c:pt idx="6">
                  <c:v>6.8241411365084603E-2</c:v>
                </c:pt>
                <c:pt idx="7">
                  <c:v>2.3493488258559014E-2</c:v>
                </c:pt>
                <c:pt idx="8">
                  <c:v>5.9284584728184269E-3</c:v>
                </c:pt>
                <c:pt idx="9">
                  <c:v>1.0814193371394922E-3</c:v>
                </c:pt>
                <c:pt idx="10">
                  <c:v>1.3863995863244092E-4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0.174849493678958</c:v>
                </c:pt>
                <c:pt idx="1">
                  <c:v>0.53824289584910767</c:v>
                </c:pt>
                <c:pt idx="2">
                  <c:v>0.28686241832912457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01E064-4698-46CC-8EAB-163CE37F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AD7D7-830B-4AE6-8F89-DA48DBC9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1E3F10-37FB-4C5B-93D7-E4806F44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ACD4-7F6F-41AD-A9F4-A0D8F483A84E}">
  <sheetPr>
    <tabColor theme="6" tint="0.39997558519241921"/>
  </sheetPr>
  <dimension ref="A1:BS59"/>
  <sheetViews>
    <sheetView zoomScale="90" zoomScaleNormal="90" workbookViewId="0">
      <selection activeCell="E15" sqref="E15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8" t="s">
        <v>189</v>
      </c>
      <c r="B1" s="31" t="s">
        <v>0</v>
      </c>
      <c r="E1" s="276">
        <v>1.5</v>
      </c>
      <c r="F1" s="276">
        <v>2.5</v>
      </c>
      <c r="G1" s="276">
        <v>3.5</v>
      </c>
      <c r="H1" s="212"/>
      <c r="I1" s="211"/>
      <c r="J1" s="213"/>
      <c r="K1" s="212"/>
      <c r="L1" s="212"/>
      <c r="M1" s="212"/>
      <c r="N1" s="212">
        <f>COUNTIF(B17:C17,"JC")</f>
        <v>0</v>
      </c>
      <c r="O1" s="211"/>
      <c r="P1" s="212">
        <f>COUNTIF(F5:H5,"CAB")+COUNTIF(E4:I4,"CAB")</f>
        <v>1</v>
      </c>
      <c r="Q1" s="294">
        <f>COUNTIF(F10:H10,"CAB")+COUNTIF(E9:I9,"CAB")</f>
        <v>0</v>
      </c>
      <c r="R1" s="293"/>
      <c r="S1" s="214"/>
      <c r="T1" s="214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5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71" ht="15.75" x14ac:dyDescent="0.25">
      <c r="A2" s="288" t="s">
        <v>145</v>
      </c>
      <c r="B2" s="31" t="s">
        <v>0</v>
      </c>
      <c r="E2" s="236"/>
      <c r="F2" s="236"/>
      <c r="G2" s="236"/>
      <c r="H2" s="236"/>
      <c r="I2" s="236"/>
      <c r="J2" s="236"/>
      <c r="K2" s="236"/>
      <c r="L2" s="236"/>
      <c r="M2" s="236"/>
      <c r="N2" s="252">
        <f>SUM(N4:N15)</f>
        <v>3.5750000000000002</v>
      </c>
      <c r="O2" s="236"/>
      <c r="P2" s="238"/>
      <c r="Q2" s="238"/>
      <c r="R2" s="189">
        <f>SUM(R4:R15)</f>
        <v>3.5750000000000002</v>
      </c>
      <c r="S2" s="189">
        <f>SUM(S4:S15)</f>
        <v>3.5750000000000002</v>
      </c>
      <c r="T2" s="247">
        <f t="shared" ref="T2:U2" si="0">SUM(T4:T15)</f>
        <v>0.37435560284608765</v>
      </c>
      <c r="U2" s="247">
        <f t="shared" si="0"/>
        <v>0.93426507787603996</v>
      </c>
      <c r="V2" s="158"/>
      <c r="W2" s="158"/>
      <c r="X2" s="281">
        <f t="shared" ref="X2:Y2" si="1">SUM(X4:X15)</f>
        <v>0.19698666575493617</v>
      </c>
      <c r="Y2" s="282">
        <f t="shared" si="1"/>
        <v>0.50617342241808805</v>
      </c>
      <c r="Z2" s="211"/>
      <c r="AA2" s="217" t="s">
        <v>19</v>
      </c>
      <c r="AB2" s="217" t="s">
        <v>20</v>
      </c>
      <c r="AC2" s="217" t="s">
        <v>21</v>
      </c>
      <c r="AD2" s="217" t="s">
        <v>22</v>
      </c>
      <c r="AE2" s="287"/>
      <c r="AF2" s="211"/>
      <c r="AG2" s="218" t="s">
        <v>24</v>
      </c>
      <c r="AH2" s="218" t="s">
        <v>20</v>
      </c>
      <c r="AI2" s="218" t="s">
        <v>21</v>
      </c>
      <c r="AJ2" s="218" t="s">
        <v>22</v>
      </c>
      <c r="AK2" s="220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</row>
    <row r="3" spans="1:71" ht="15.75" x14ac:dyDescent="0.25">
      <c r="A3" s="157" t="s">
        <v>4</v>
      </c>
      <c r="B3" s="300" t="s">
        <v>5</v>
      </c>
      <c r="C3" s="300"/>
      <c r="D3" s="31" t="str">
        <f>IF(B3="Sol","SI",IF(B3="Lluvia","SI","NO"))</f>
        <v>SI</v>
      </c>
      <c r="E3" s="239"/>
      <c r="F3" s="240"/>
      <c r="G3" s="270" t="s">
        <v>157</v>
      </c>
      <c r="H3" s="239"/>
      <c r="I3" s="239"/>
      <c r="J3" s="236"/>
      <c r="K3" s="248" t="s">
        <v>161</v>
      </c>
      <c r="L3" s="248" t="s">
        <v>162</v>
      </c>
      <c r="M3" s="248" t="s">
        <v>28</v>
      </c>
      <c r="N3" s="248" t="s">
        <v>28</v>
      </c>
      <c r="O3" s="248" t="s">
        <v>163</v>
      </c>
      <c r="P3" s="253" t="s">
        <v>164</v>
      </c>
      <c r="Q3" s="255" t="s">
        <v>165</v>
      </c>
      <c r="R3" s="248" t="s">
        <v>28</v>
      </c>
      <c r="S3" s="248" t="s">
        <v>166</v>
      </c>
      <c r="T3" s="253" t="s">
        <v>167</v>
      </c>
      <c r="U3" s="255" t="s">
        <v>168</v>
      </c>
      <c r="V3" s="253" t="s">
        <v>169</v>
      </c>
      <c r="W3" s="255" t="s">
        <v>170</v>
      </c>
      <c r="X3" s="277" t="s">
        <v>171</v>
      </c>
      <c r="Y3" s="278" t="s">
        <v>172</v>
      </c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6"/>
      <c r="AO3" s="216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71" ht="15.75" x14ac:dyDescent="0.25">
      <c r="A4" s="122"/>
      <c r="B4" s="8" t="s">
        <v>9</v>
      </c>
      <c r="C4" s="9" t="s">
        <v>10</v>
      </c>
      <c r="D4" s="158"/>
      <c r="E4" s="270" t="s">
        <v>157</v>
      </c>
      <c r="F4" s="270" t="s">
        <v>157</v>
      </c>
      <c r="G4" s="270" t="s">
        <v>37</v>
      </c>
      <c r="H4" s="270" t="s">
        <v>157</v>
      </c>
      <c r="I4" s="270" t="s">
        <v>157</v>
      </c>
      <c r="J4" s="236"/>
      <c r="K4" s="237">
        <v>5</v>
      </c>
      <c r="L4" s="237">
        <v>6</v>
      </c>
      <c r="M4" s="250">
        <v>0.45</v>
      </c>
      <c r="N4" s="250">
        <f>IF($N$1=2,M4*$G$1/$E$1,IF($N$1=1,M4*$F$1/$E$1,M4))</f>
        <v>0.45</v>
      </c>
      <c r="O4" s="237" t="s">
        <v>173</v>
      </c>
      <c r="P4" s="240">
        <f>COUNTIF(E3:I4,"IMP")</f>
        <v>1</v>
      </c>
      <c r="Q4" s="242">
        <f>COUNTIF(E8:I9,"IMP")</f>
        <v>1</v>
      </c>
      <c r="R4" s="249">
        <f t="shared" ref="R4:R14" si="2">IF(P4+Q4=0,0,N4)</f>
        <v>0.45</v>
      </c>
      <c r="S4" s="249">
        <f t="shared" ref="S4:S15" si="3">R4*$N$2/$R$2</f>
        <v>0.45</v>
      </c>
      <c r="T4" s="254">
        <f>IF(S4=0,0,S4*(P4^2.7/(P4^2.7+Q4^2.7))*P4/L4)</f>
        <v>3.7499999999999999E-2</v>
      </c>
      <c r="U4" s="256">
        <f>IF(S4=0,0,S4*Q4^2.7/(P4^2.7+Q4^2.7)*Q4/L4)</f>
        <v>3.7499999999999999E-2</v>
      </c>
      <c r="V4" s="246">
        <f>$G$17</f>
        <v>0.56999999999999995</v>
      </c>
      <c r="W4" s="244">
        <f>$H$17</f>
        <v>0.56999999999999995</v>
      </c>
      <c r="X4" s="279">
        <f>V4*T4</f>
        <v>2.1374999999999998E-2</v>
      </c>
      <c r="Y4" s="280">
        <f>W4*U4</f>
        <v>2.1374999999999998E-2</v>
      </c>
      <c r="Z4" s="218"/>
      <c r="AA4" s="272">
        <f t="shared" ref="AA4:AA14" si="4">X5</f>
        <v>0</v>
      </c>
      <c r="AB4" s="273">
        <f t="shared" ref="AB4:AB15" si="5">(1-AA4)</f>
        <v>1</v>
      </c>
      <c r="AC4" s="273">
        <f>AA4*AB3*PRODUCT(AB5:AB17)</f>
        <v>0</v>
      </c>
      <c r="AD4" s="273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11"/>
      <c r="AF4" s="218"/>
      <c r="AG4" s="274">
        <f>Y4</f>
        <v>2.1374999999999998E-2</v>
      </c>
      <c r="AH4" s="275">
        <f t="shared" ref="AH4:AH15" si="6">(1-AG4)</f>
        <v>0.97862499999999997</v>
      </c>
      <c r="AI4" s="275">
        <f>AG4*AH3*PRODUCT(AH5:AH17)</f>
        <v>0</v>
      </c>
      <c r="AJ4" s="275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11"/>
      <c r="AL4" s="218"/>
      <c r="AM4" s="218"/>
      <c r="AN4" s="212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I4" s="31">
        <v>0</v>
      </c>
      <c r="BJ4" s="31">
        <v>1</v>
      </c>
      <c r="BK4" s="107">
        <f t="shared" ref="BK4:BK13" si="7">$H$25*H40</f>
        <v>3.1394514450880534E-3</v>
      </c>
      <c r="BM4" s="31">
        <v>0</v>
      </c>
      <c r="BN4" s="31">
        <v>0</v>
      </c>
      <c r="BO4" s="107">
        <f>H25*H39</f>
        <v>8.0667444955044793E-4</v>
      </c>
      <c r="BQ4" s="31">
        <v>1</v>
      </c>
      <c r="BR4" s="31">
        <v>0</v>
      </c>
      <c r="BS4" s="107">
        <f>$H$26*H39</f>
        <v>3.5060518414319229E-3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0" t="s">
        <v>157</v>
      </c>
      <c r="F5" s="270" t="s">
        <v>2</v>
      </c>
      <c r="G5" s="270" t="s">
        <v>144</v>
      </c>
      <c r="H5" s="270" t="s">
        <v>157</v>
      </c>
      <c r="I5" s="270" t="s">
        <v>157</v>
      </c>
      <c r="J5" s="236"/>
      <c r="K5" s="237">
        <v>6</v>
      </c>
      <c r="L5" s="237">
        <v>8</v>
      </c>
      <c r="M5" s="250">
        <v>0.35</v>
      </c>
      <c r="N5" s="250">
        <f t="shared" ref="N5:N15" si="8">IF($N$1=2,M5*$G$1/$E$1,IF($N$1=1,M5*$F$1/$E$1,M5))</f>
        <v>0.35</v>
      </c>
      <c r="O5" s="237" t="s">
        <v>174</v>
      </c>
      <c r="P5" s="240">
        <f>COUNTIF(E5:I6,"IMP")</f>
        <v>0</v>
      </c>
      <c r="Q5" s="242">
        <f>COUNTIF(E10:I11,"IMP")</f>
        <v>1</v>
      </c>
      <c r="R5" s="249">
        <f t="shared" si="2"/>
        <v>0.35</v>
      </c>
      <c r="S5" s="249">
        <f t="shared" si="3"/>
        <v>0.35</v>
      </c>
      <c r="T5" s="254">
        <f t="shared" ref="T5:T9" si="9">IF(S5=0,0,S5*(P5^2.7/(P5^2.7+Q5^2.7))*P5/L5)</f>
        <v>0</v>
      </c>
      <c r="U5" s="256">
        <f t="shared" ref="U5:U9" si="10">IF(S5=0,0,S5*Q5^2.7/(P5^2.7+Q5^2.7)*Q5/L5)</f>
        <v>4.3749999999999997E-2</v>
      </c>
      <c r="V5" s="246">
        <f>$G$17</f>
        <v>0.56999999999999995</v>
      </c>
      <c r="W5" s="244">
        <f>$H$17</f>
        <v>0.56999999999999995</v>
      </c>
      <c r="X5" s="279">
        <f t="shared" ref="X5:Y15" si="11">V5*T5</f>
        <v>0</v>
      </c>
      <c r="Y5" s="280">
        <f t="shared" si="11"/>
        <v>2.4937499999999998E-2</v>
      </c>
      <c r="Z5" s="227"/>
      <c r="AA5" s="272">
        <f t="shared" si="4"/>
        <v>2.0774717591389492E-3</v>
      </c>
      <c r="AB5" s="273">
        <f t="shared" si="5"/>
        <v>0.99792252824086103</v>
      </c>
      <c r="AC5" s="273">
        <f>AA5*PRODUCT(AB3:AB4)*PRODUCT(AB6:AB17)</f>
        <v>1.7396930912202783E-3</v>
      </c>
      <c r="AD5" s="273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3.1571687649469107E-4</v>
      </c>
      <c r="AE5" s="211"/>
      <c r="AF5" s="225"/>
      <c r="AG5" s="274">
        <f t="shared" ref="AG5:AG15" si="12">Y5</f>
        <v>2.4937499999999998E-2</v>
      </c>
      <c r="AH5" s="275">
        <f t="shared" si="6"/>
        <v>0.97506250000000005</v>
      </c>
      <c r="AI5" s="275">
        <f>AG5*PRODUCT(AH3:AH4)*PRODUCT(AH6:AH17)</f>
        <v>1.514770842251688E-2</v>
      </c>
      <c r="AJ5" s="275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6.8215716577904977E-3</v>
      </c>
      <c r="AK5" s="211"/>
      <c r="AL5" s="228"/>
      <c r="AM5" s="211"/>
      <c r="AN5" s="216"/>
      <c r="AO5" s="230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I5" s="31">
        <v>0</v>
      </c>
      <c r="BJ5" s="31">
        <v>2</v>
      </c>
      <c r="BK5" s="107">
        <f t="shared" si="7"/>
        <v>5.6219543371200578E-3</v>
      </c>
      <c r="BM5" s="31">
        <v>1</v>
      </c>
      <c r="BN5" s="31">
        <v>1</v>
      </c>
      <c r="BO5" s="107">
        <f>$H$26*H40</f>
        <v>1.3645008251186365E-2</v>
      </c>
      <c r="BQ5" s="31">
        <f>BQ4+1</f>
        <v>2</v>
      </c>
      <c r="BR5" s="31">
        <v>0</v>
      </c>
      <c r="BS5" s="107">
        <f>$H$27*H39</f>
        <v>6.9206789020623228E-3</v>
      </c>
    </row>
    <row r="6" spans="1:71" ht="15.75" x14ac:dyDescent="0.25">
      <c r="A6" s="2" t="s">
        <v>35</v>
      </c>
      <c r="B6" s="260">
        <v>13</v>
      </c>
      <c r="C6" s="261">
        <v>15.25</v>
      </c>
      <c r="E6" s="239"/>
      <c r="F6" s="270" t="s">
        <v>1</v>
      </c>
      <c r="G6" s="270" t="s">
        <v>157</v>
      </c>
      <c r="H6" s="270" t="s">
        <v>157</v>
      </c>
      <c r="I6" s="239"/>
      <c r="J6" s="236"/>
      <c r="K6" s="237">
        <v>8</v>
      </c>
      <c r="L6" s="237">
        <v>13</v>
      </c>
      <c r="M6" s="250">
        <v>0.45</v>
      </c>
      <c r="N6" s="250">
        <f t="shared" si="8"/>
        <v>0.45</v>
      </c>
      <c r="O6" s="237" t="s">
        <v>37</v>
      </c>
      <c r="P6" s="240">
        <f>COUNTIF(E4:I6,"IMP")</f>
        <v>1</v>
      </c>
      <c r="Q6" s="242">
        <f>COUNTIF(E9:I11,"IMP")</f>
        <v>2</v>
      </c>
      <c r="R6" s="249">
        <f t="shared" si="2"/>
        <v>0.45</v>
      </c>
      <c r="S6" s="249">
        <f t="shared" si="3"/>
        <v>0.45</v>
      </c>
      <c r="T6" s="254">
        <f t="shared" si="9"/>
        <v>4.6166039091976646E-3</v>
      </c>
      <c r="U6" s="256">
        <f t="shared" si="10"/>
        <v>5.9997561412373897E-2</v>
      </c>
      <c r="V6" s="246">
        <f>$G$18</f>
        <v>0.45</v>
      </c>
      <c r="W6" s="244">
        <f>$H$18</f>
        <v>0.45</v>
      </c>
      <c r="X6" s="279">
        <f t="shared" si="11"/>
        <v>2.0774717591389492E-3</v>
      </c>
      <c r="Y6" s="280">
        <f t="shared" si="11"/>
        <v>2.6998902635568253E-2</v>
      </c>
      <c r="Z6" s="227"/>
      <c r="AA6" s="272">
        <f t="shared" si="4"/>
        <v>5.6250000000000007E-4</v>
      </c>
      <c r="AB6" s="273">
        <f t="shared" si="5"/>
        <v>0.99943749999999998</v>
      </c>
      <c r="AC6" s="273">
        <f>AA6*PRODUCT(AB3:AB5)*PRODUCT(AB7:AB17)</f>
        <v>4.7032842110011778E-4</v>
      </c>
      <c r="AD6" s="273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8.5089783364174484E-5</v>
      </c>
      <c r="AE6" s="211"/>
      <c r="AF6" s="225"/>
      <c r="AG6" s="274">
        <f t="shared" si="12"/>
        <v>2.6998902635568253E-2</v>
      </c>
      <c r="AH6" s="275">
        <f t="shared" si="6"/>
        <v>0.97300109736443174</v>
      </c>
      <c r="AI6" s="275">
        <f>AG6*PRODUCT(AH3:AH5)*PRODUCT(AH7:AH17)</f>
        <v>1.6434604629051917E-2</v>
      </c>
      <c r="AJ6" s="275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6.945079911529168E-3</v>
      </c>
      <c r="AK6" s="211"/>
      <c r="AL6" s="228"/>
      <c r="AM6" s="211"/>
      <c r="AN6" s="216"/>
      <c r="AO6" s="230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I6" s="31">
        <v>0</v>
      </c>
      <c r="BJ6" s="31">
        <v>3</v>
      </c>
      <c r="BK6" s="107">
        <f t="shared" si="7"/>
        <v>6.223129543172984E-3</v>
      </c>
      <c r="BM6" s="31">
        <f>BI14+1</f>
        <v>2</v>
      </c>
      <c r="BN6" s="31">
        <v>2</v>
      </c>
      <c r="BO6" s="107">
        <f>$H$27*H41</f>
        <v>4.8232271136079093E-2</v>
      </c>
      <c r="BQ6" s="31">
        <f>BM5+1</f>
        <v>2</v>
      </c>
      <c r="BR6" s="31">
        <v>1</v>
      </c>
      <c r="BS6" s="107">
        <f>$H$27*H40</f>
        <v>2.6934205480511116E-2</v>
      </c>
    </row>
    <row r="7" spans="1:71" ht="15.75" x14ac:dyDescent="0.25">
      <c r="A7" s="5" t="s">
        <v>40</v>
      </c>
      <c r="B7" s="260">
        <v>9.5</v>
      </c>
      <c r="C7" s="261">
        <v>5</v>
      </c>
      <c r="E7" s="238"/>
      <c r="F7" s="238"/>
      <c r="G7" s="238"/>
      <c r="H7" s="238"/>
      <c r="I7" s="238"/>
      <c r="J7" s="236"/>
      <c r="K7" s="237">
        <v>9</v>
      </c>
      <c r="L7" s="237">
        <v>8</v>
      </c>
      <c r="M7" s="250">
        <v>0.02</v>
      </c>
      <c r="N7" s="250">
        <f t="shared" si="8"/>
        <v>0.02</v>
      </c>
      <c r="O7" s="237" t="s">
        <v>175</v>
      </c>
      <c r="P7" s="240">
        <f>COUNTIF(E9:I9,"IMP")+COUNTIF(F10:H10,"IMP")</f>
        <v>1</v>
      </c>
      <c r="Q7" s="242">
        <f>COUNTIF(E4:I4,"IMP")+COUNTIF(F5:H5,"IMP")</f>
        <v>1</v>
      </c>
      <c r="R7" s="249">
        <f t="shared" si="2"/>
        <v>0.02</v>
      </c>
      <c r="S7" s="249">
        <f t="shared" si="3"/>
        <v>0.02</v>
      </c>
      <c r="T7" s="254">
        <f t="shared" si="9"/>
        <v>1.25E-3</v>
      </c>
      <c r="U7" s="256">
        <f t="shared" si="10"/>
        <v>1.25E-3</v>
      </c>
      <c r="V7" s="246">
        <f>$G$18</f>
        <v>0.45</v>
      </c>
      <c r="W7" s="244">
        <f>$H$18</f>
        <v>0.45</v>
      </c>
      <c r="X7" s="279">
        <f t="shared" si="11"/>
        <v>5.6250000000000007E-4</v>
      </c>
      <c r="Y7" s="280">
        <f t="shared" si="11"/>
        <v>5.6250000000000007E-4</v>
      </c>
      <c r="Z7" s="227"/>
      <c r="AA7" s="272">
        <f t="shared" si="4"/>
        <v>1.7446965554207329E-3</v>
      </c>
      <c r="AB7" s="273">
        <f t="shared" si="5"/>
        <v>0.99825530344457925</v>
      </c>
      <c r="AC7" s="273">
        <f>AA7*PRODUCT(AB3:AB6)*PRODUCT(AB8:AB17)</f>
        <v>1.4605371715023694E-3</v>
      </c>
      <c r="AD7" s="273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2.6168141920119295E-4</v>
      </c>
      <c r="AE7" s="211"/>
      <c r="AF7" s="225"/>
      <c r="AG7" s="274">
        <f t="shared" si="12"/>
        <v>5.6250000000000007E-4</v>
      </c>
      <c r="AH7" s="275">
        <f t="shared" si="6"/>
        <v>0.99943749999999998</v>
      </c>
      <c r="AI7" s="275">
        <f>AG7*PRODUCT(AH3:AH6)*PRODUCT(AH8:AH17)</f>
        <v>3.3334455391451756E-4</v>
      </c>
      <c r="AJ7" s="275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1.4068006445710202E-4</v>
      </c>
      <c r="AK7" s="211"/>
      <c r="AL7" s="228"/>
      <c r="AM7" s="211"/>
      <c r="AN7" s="216"/>
      <c r="AO7" s="230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I7" s="31">
        <v>0</v>
      </c>
      <c r="BJ7" s="31">
        <v>4</v>
      </c>
      <c r="BK7" s="107">
        <f t="shared" si="7"/>
        <v>4.8539202869899911E-3</v>
      </c>
      <c r="BM7" s="31">
        <f>BI23+1</f>
        <v>3</v>
      </c>
      <c r="BN7" s="31">
        <v>3</v>
      </c>
      <c r="BO7" s="107">
        <f>$H$28*H42</f>
        <v>6.3220851457015739E-2</v>
      </c>
      <c r="BQ7" s="31">
        <f>BQ5+1</f>
        <v>3</v>
      </c>
      <c r="BR7" s="31">
        <v>0</v>
      </c>
      <c r="BS7" s="107">
        <f>$H$28*H39</f>
        <v>8.1950158992184739E-3</v>
      </c>
    </row>
    <row r="8" spans="1:71" ht="15.75" x14ac:dyDescent="0.25">
      <c r="A8" s="5" t="s">
        <v>44</v>
      </c>
      <c r="B8" s="260">
        <v>9</v>
      </c>
      <c r="C8" s="261">
        <v>7.5</v>
      </c>
      <c r="E8" s="241"/>
      <c r="F8" s="242"/>
      <c r="G8" s="271" t="s">
        <v>1</v>
      </c>
      <c r="H8" s="241"/>
      <c r="I8" s="241"/>
      <c r="J8" s="236"/>
      <c r="K8" s="237">
        <v>15</v>
      </c>
      <c r="L8" s="237">
        <v>8</v>
      </c>
      <c r="M8" s="250">
        <v>0.5</v>
      </c>
      <c r="N8" s="250">
        <f t="shared" si="8"/>
        <v>0.5</v>
      </c>
      <c r="O8" s="237" t="s">
        <v>176</v>
      </c>
      <c r="P8" s="240">
        <f>COUNTIF(E5:I6,"RAP")</f>
        <v>1</v>
      </c>
      <c r="Q8" s="242">
        <f>COUNTIF(E10:I11,"RAP")</f>
        <v>3</v>
      </c>
      <c r="R8" s="249">
        <f t="shared" si="2"/>
        <v>0.5</v>
      </c>
      <c r="S8" s="249">
        <f t="shared" si="3"/>
        <v>0.5</v>
      </c>
      <c r="T8" s="254">
        <f t="shared" si="9"/>
        <v>3.060871149860935E-3</v>
      </c>
      <c r="U8" s="256">
        <f t="shared" si="10"/>
        <v>0.17831738655041718</v>
      </c>
      <c r="V8" s="246">
        <f>$G$17</f>
        <v>0.56999999999999995</v>
      </c>
      <c r="W8" s="244">
        <f>$H$17</f>
        <v>0.56999999999999995</v>
      </c>
      <c r="X8" s="279">
        <f t="shared" si="11"/>
        <v>1.7446965554207329E-3</v>
      </c>
      <c r="Y8" s="280">
        <f t="shared" si="11"/>
        <v>0.10164091033373779</v>
      </c>
      <c r="Z8" s="227"/>
      <c r="AA8" s="272">
        <f t="shared" si="4"/>
        <v>1.7446965554207329E-3</v>
      </c>
      <c r="AB8" s="273">
        <f t="shared" si="5"/>
        <v>0.99825530344457925</v>
      </c>
      <c r="AC8" s="273">
        <f>AA8*PRODUCT(AB3:AB7)*PRODUCT(AB9:AB17)</f>
        <v>1.4605371715023694E-3</v>
      </c>
      <c r="AD8" s="273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2.5912877143324087E-4</v>
      </c>
      <c r="AE8" s="211"/>
      <c r="AF8" s="225"/>
      <c r="AG8" s="274">
        <f t="shared" si="12"/>
        <v>0.10164091033373779</v>
      </c>
      <c r="AH8" s="275">
        <f t="shared" si="6"/>
        <v>0.89835908966626221</v>
      </c>
      <c r="AI8" s="275">
        <f>AG8*PRODUCT(AH3:AH7)*PRODUCT(AH9:AH17)</f>
        <v>6.7010839339272987E-2</v>
      </c>
      <c r="AJ8" s="275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2.0698667274875873E-2</v>
      </c>
      <c r="AK8" s="211"/>
      <c r="AL8" s="228"/>
      <c r="AM8" s="211"/>
      <c r="AN8" s="216"/>
      <c r="AO8" s="230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I8" s="31">
        <v>0</v>
      </c>
      <c r="BJ8" s="31">
        <v>5</v>
      </c>
      <c r="BK8" s="107">
        <f t="shared" si="7"/>
        <v>2.8892951331141955E-3</v>
      </c>
      <c r="BM8" s="31">
        <f>BI31+1</f>
        <v>4</v>
      </c>
      <c r="BN8" s="31">
        <v>4</v>
      </c>
      <c r="BO8" s="107">
        <f>$H$29*H43</f>
        <v>3.8965949150873008E-2</v>
      </c>
      <c r="BQ8" s="31">
        <f>BQ6+1</f>
        <v>3</v>
      </c>
      <c r="BR8" s="31">
        <v>1</v>
      </c>
      <c r="BS8" s="107">
        <f>$H$28*H40</f>
        <v>3.1893726796056204E-2</v>
      </c>
    </row>
    <row r="9" spans="1:71" ht="15.75" x14ac:dyDescent="0.25">
      <c r="A9" s="5" t="s">
        <v>47</v>
      </c>
      <c r="B9" s="260">
        <v>8.25</v>
      </c>
      <c r="C9" s="261">
        <v>5.25</v>
      </c>
      <c r="E9" s="271" t="s">
        <v>157</v>
      </c>
      <c r="F9" s="271" t="s">
        <v>2</v>
      </c>
      <c r="G9" s="271" t="s">
        <v>157</v>
      </c>
      <c r="H9" s="271" t="s">
        <v>37</v>
      </c>
      <c r="I9" s="271" t="s">
        <v>157</v>
      </c>
      <c r="J9" s="236"/>
      <c r="K9" s="237">
        <v>16</v>
      </c>
      <c r="L9" s="237">
        <v>8</v>
      </c>
      <c r="M9" s="250">
        <v>0.5</v>
      </c>
      <c r="N9" s="250">
        <f t="shared" si="8"/>
        <v>0.5</v>
      </c>
      <c r="O9" s="237" t="s">
        <v>177</v>
      </c>
      <c r="P9" s="240">
        <f>COUNTIF(E5:I6,"RAP")</f>
        <v>1</v>
      </c>
      <c r="Q9" s="242">
        <f>COUNTIF(E10:I11,"RAP")</f>
        <v>3</v>
      </c>
      <c r="R9" s="249">
        <f t="shared" si="2"/>
        <v>0.5</v>
      </c>
      <c r="S9" s="249">
        <f t="shared" si="3"/>
        <v>0.5</v>
      </c>
      <c r="T9" s="254">
        <f t="shared" si="9"/>
        <v>3.060871149860935E-3</v>
      </c>
      <c r="U9" s="256">
        <f t="shared" si="10"/>
        <v>0.17831738655041718</v>
      </c>
      <c r="V9" s="246">
        <f>$G$17</f>
        <v>0.56999999999999995</v>
      </c>
      <c r="W9" s="244">
        <f>$H$17</f>
        <v>0.56999999999999995</v>
      </c>
      <c r="X9" s="279">
        <f t="shared" si="11"/>
        <v>1.7446965554207329E-3</v>
      </c>
      <c r="Y9" s="280">
        <f t="shared" si="11"/>
        <v>0.10164091033373779</v>
      </c>
      <c r="Z9" s="227"/>
      <c r="AA9" s="272">
        <f t="shared" si="4"/>
        <v>3.1061946902654868E-2</v>
      </c>
      <c r="AB9" s="273">
        <f t="shared" si="5"/>
        <v>0.96893805309734515</v>
      </c>
      <c r="AC9" s="273">
        <f>AA9*PRODUCT(AB3:AB8)*PRODUCT(AB10:AB17)</f>
        <v>2.6789647409870058E-2</v>
      </c>
      <c r="AD9" s="273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3.8942090574504507E-3</v>
      </c>
      <c r="AE9" s="211"/>
      <c r="AF9" s="225"/>
      <c r="AG9" s="274">
        <f t="shared" si="12"/>
        <v>0.10164091033373779</v>
      </c>
      <c r="AH9" s="275">
        <f t="shared" si="6"/>
        <v>0.89835908966626221</v>
      </c>
      <c r="AI9" s="275">
        <f>AG9*PRODUCT(AH3:AH8)*PRODUCT(AH10:AH17)</f>
        <v>6.7010839339272987E-2</v>
      </c>
      <c r="AJ9" s="275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1.3117018921763715E-2</v>
      </c>
      <c r="AK9" s="211"/>
      <c r="AL9" s="228"/>
      <c r="AM9" s="211"/>
      <c r="AN9" s="216"/>
      <c r="AO9" s="230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I9" s="31">
        <v>0</v>
      </c>
      <c r="BJ9" s="31">
        <v>6</v>
      </c>
      <c r="BK9" s="107">
        <f t="shared" si="7"/>
        <v>1.3764160579702739E-3</v>
      </c>
      <c r="BM9" s="31">
        <f>BI38+1</f>
        <v>5</v>
      </c>
      <c r="BN9" s="31">
        <v>5</v>
      </c>
      <c r="BO9" s="107">
        <f>$H$30*H44</f>
        <v>1.286977650766874E-2</v>
      </c>
      <c r="BQ9" s="31">
        <f>BM6+1</f>
        <v>3</v>
      </c>
      <c r="BR9" s="31">
        <v>2</v>
      </c>
      <c r="BS9" s="107">
        <f>$H$28*H41</f>
        <v>5.7113504962323557E-2</v>
      </c>
    </row>
    <row r="10" spans="1:71" ht="15.75" x14ac:dyDescent="0.25">
      <c r="A10" s="6" t="s">
        <v>50</v>
      </c>
      <c r="B10" s="260">
        <v>19.75</v>
      </c>
      <c r="C10" s="261">
        <v>5.5</v>
      </c>
      <c r="E10" s="271" t="s">
        <v>144</v>
      </c>
      <c r="F10" s="271" t="s">
        <v>157</v>
      </c>
      <c r="G10" s="271" t="s">
        <v>1</v>
      </c>
      <c r="H10" s="271" t="s">
        <v>157</v>
      </c>
      <c r="I10" s="271" t="s">
        <v>2</v>
      </c>
      <c r="J10" s="236"/>
      <c r="K10" s="237">
        <v>18</v>
      </c>
      <c r="L10" s="237" t="s">
        <v>178</v>
      </c>
      <c r="M10" s="250">
        <v>0.15</v>
      </c>
      <c r="N10" s="250">
        <f t="shared" si="8"/>
        <v>0.15</v>
      </c>
      <c r="O10" s="237" t="s">
        <v>179</v>
      </c>
      <c r="P10" s="240">
        <v>1</v>
      </c>
      <c r="Q10" s="242">
        <v>1</v>
      </c>
      <c r="R10" s="249">
        <f t="shared" si="2"/>
        <v>0.15</v>
      </c>
      <c r="S10" s="249">
        <f t="shared" si="3"/>
        <v>0.15</v>
      </c>
      <c r="T10" s="254">
        <f>S10*G13</f>
        <v>6.9026548672566371E-2</v>
      </c>
      <c r="U10" s="256">
        <f>S10*G14</f>
        <v>8.0973451327433624E-2</v>
      </c>
      <c r="V10" s="246">
        <f>$G$18</f>
        <v>0.45</v>
      </c>
      <c r="W10" s="244">
        <f>$H$18</f>
        <v>0.45</v>
      </c>
      <c r="X10" s="279">
        <f t="shared" si="11"/>
        <v>3.1061946902654868E-2</v>
      </c>
      <c r="Y10" s="280">
        <f t="shared" si="11"/>
        <v>3.643805309734513E-2</v>
      </c>
      <c r="Z10" s="227"/>
      <c r="AA10" s="272">
        <f t="shared" si="4"/>
        <v>5.292035398230089E-2</v>
      </c>
      <c r="AB10" s="273">
        <f t="shared" si="5"/>
        <v>0.94707964601769912</v>
      </c>
      <c r="AC10" s="273">
        <f>AA10*PRODUCT(AB3:AB9)*PRODUCT(AB11:AB17)</f>
        <v>4.6695020925720684E-2</v>
      </c>
      <c r="AD10" s="273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4.1785064776900934E-3</v>
      </c>
      <c r="AE10" s="211"/>
      <c r="AF10" s="225"/>
      <c r="AG10" s="274">
        <f t="shared" si="12"/>
        <v>3.643805309734513E-2</v>
      </c>
      <c r="AH10" s="275">
        <f t="shared" si="6"/>
        <v>0.96356194690265484</v>
      </c>
      <c r="AI10" s="275">
        <f>AG10*PRODUCT(AH3:AH9)*PRODUCT(AH11:AH17)</f>
        <v>2.2397626693486338E-2</v>
      </c>
      <c r="AJ10" s="275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3.5372289559042229E-3</v>
      </c>
      <c r="AK10" s="211"/>
      <c r="AL10" s="228"/>
      <c r="AM10" s="211"/>
      <c r="AN10" s="216"/>
      <c r="AO10" s="230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I10" s="31">
        <v>0</v>
      </c>
      <c r="BJ10" s="31">
        <v>7</v>
      </c>
      <c r="BK10" s="107">
        <f t="shared" si="7"/>
        <v>5.3198146306514987E-4</v>
      </c>
      <c r="BM10" s="31">
        <f>BI44+1</f>
        <v>6</v>
      </c>
      <c r="BN10" s="31">
        <v>6</v>
      </c>
      <c r="BO10" s="107">
        <f>$H$31*H45</f>
        <v>2.446844113152978E-3</v>
      </c>
      <c r="BQ10" s="31">
        <f>BQ7+1</f>
        <v>4</v>
      </c>
      <c r="BR10" s="31">
        <v>0</v>
      </c>
      <c r="BS10" s="107">
        <f>$H$29*H39</f>
        <v>6.4757626256741283E-3</v>
      </c>
    </row>
    <row r="11" spans="1:71" ht="15.75" x14ac:dyDescent="0.25">
      <c r="A11" s="6" t="s">
        <v>53</v>
      </c>
      <c r="B11" s="260">
        <v>11</v>
      </c>
      <c r="C11" s="261">
        <v>11.25</v>
      </c>
      <c r="E11" s="241"/>
      <c r="F11" s="271" t="s">
        <v>1</v>
      </c>
      <c r="G11" s="271" t="s">
        <v>1</v>
      </c>
      <c r="H11" s="271" t="s">
        <v>37</v>
      </c>
      <c r="I11" s="241"/>
      <c r="J11" s="236"/>
      <c r="K11" s="237">
        <v>19</v>
      </c>
      <c r="L11" s="237" t="s">
        <v>178</v>
      </c>
      <c r="M11" s="250">
        <v>0.23</v>
      </c>
      <c r="N11" s="250">
        <f t="shared" si="8"/>
        <v>0.23</v>
      </c>
      <c r="O11" s="237" t="s">
        <v>180</v>
      </c>
      <c r="P11" s="240">
        <f>COUNTIF(E4:I6,"CAB")</f>
        <v>1</v>
      </c>
      <c r="Q11" s="242">
        <f>COUNTIF(E9:I11,"CAB")</f>
        <v>1</v>
      </c>
      <c r="R11" s="249">
        <f t="shared" si="2"/>
        <v>0.23</v>
      </c>
      <c r="S11" s="249">
        <f t="shared" si="3"/>
        <v>0.23</v>
      </c>
      <c r="T11" s="254">
        <f>IF(P11&gt;0,S11*G13,0)</f>
        <v>0.10584070796460178</v>
      </c>
      <c r="U11" s="256">
        <f>IF(Q11&gt;0,S11*G14,0)</f>
        <v>0.12415929203539823</v>
      </c>
      <c r="V11" s="246">
        <f>IF(P11-Q11&gt;2,0.9,IF(P11-Q11&gt;1,0.75,IF(P11-Q11=0,0.5,0.15)))</f>
        <v>0.5</v>
      </c>
      <c r="W11" s="244">
        <f>IF(Q11-P11&gt;2,0.9,IF(Q11-P11&gt;1,0.75,IF(Q11-P11=0,0.5,0.15)))</f>
        <v>0.5</v>
      </c>
      <c r="X11" s="279">
        <f t="shared" si="11"/>
        <v>5.292035398230089E-2</v>
      </c>
      <c r="Y11" s="280">
        <f t="shared" si="11"/>
        <v>6.2079646017699115E-2</v>
      </c>
      <c r="Z11" s="227"/>
      <c r="AA11" s="272">
        <f t="shared" si="4"/>
        <v>0</v>
      </c>
      <c r="AB11" s="273">
        <f t="shared" si="5"/>
        <v>1</v>
      </c>
      <c r="AC11" s="273">
        <f>AA11*PRODUCT(AB3:AB10)*PRODUCT(AB12:AB17)</f>
        <v>0</v>
      </c>
      <c r="AD11" s="273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11"/>
      <c r="AF11" s="225"/>
      <c r="AG11" s="274">
        <f t="shared" si="12"/>
        <v>6.2079646017699115E-2</v>
      </c>
      <c r="AH11" s="275">
        <f t="shared" si="6"/>
        <v>0.93792035398230089</v>
      </c>
      <c r="AI11" s="275">
        <f>AG11*PRODUCT(AH3:AH10)*PRODUCT(AH12:AH17)</f>
        <v>3.9202137643119375E-2</v>
      </c>
      <c r="AJ11" s="275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3.5964091292101383E-3</v>
      </c>
      <c r="AK11" s="211"/>
      <c r="AL11" s="228"/>
      <c r="AM11" s="211"/>
      <c r="AN11" s="216"/>
      <c r="AO11" s="230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I11" s="31">
        <v>0</v>
      </c>
      <c r="BJ11" s="31">
        <v>8</v>
      </c>
      <c r="BK11" s="107">
        <f t="shared" si="7"/>
        <v>1.637325955542584E-4</v>
      </c>
      <c r="BM11" s="31">
        <f>BI50+1</f>
        <v>7</v>
      </c>
      <c r="BN11" s="31">
        <v>7</v>
      </c>
      <c r="BO11" s="107">
        <f>$H$32*H46</f>
        <v>2.7345309399184035E-4</v>
      </c>
      <c r="BQ11" s="31">
        <f>BQ8+1</f>
        <v>4</v>
      </c>
      <c r="BR11" s="31">
        <v>1</v>
      </c>
      <c r="BS11" s="107">
        <f>$H$29*H40</f>
        <v>2.5202660558481502E-2</v>
      </c>
    </row>
    <row r="12" spans="1:71" ht="15.75" x14ac:dyDescent="0.25">
      <c r="A12" s="6" t="s">
        <v>57</v>
      </c>
      <c r="B12" s="260">
        <v>6</v>
      </c>
      <c r="C12" s="261">
        <v>6</v>
      </c>
      <c r="E12" s="238"/>
      <c r="F12" s="238"/>
      <c r="G12" s="238"/>
      <c r="H12" s="238"/>
      <c r="I12" s="238"/>
      <c r="J12" s="236"/>
      <c r="K12" s="237">
        <v>25</v>
      </c>
      <c r="L12" s="237">
        <v>5</v>
      </c>
      <c r="M12" s="250">
        <v>2.5000000000000001E-2</v>
      </c>
      <c r="N12" s="250">
        <f t="shared" si="8"/>
        <v>2.5000000000000001E-2</v>
      </c>
      <c r="O12" s="237" t="s">
        <v>42</v>
      </c>
      <c r="P12" s="240">
        <f>COUNTIF(F6:H6,"IMP")+COUNTIF(E5,"IMP")+COUNTIF(I5,"IMP")</f>
        <v>0</v>
      </c>
      <c r="Q12" s="242">
        <f>COUNTIF(F11:H11,"IMP")+COUNTIF(E10,"IMP")+COUNTIF(I10,"IMP")</f>
        <v>1</v>
      </c>
      <c r="R12" s="249">
        <f t="shared" si="2"/>
        <v>2.5000000000000001E-2</v>
      </c>
      <c r="S12" s="249">
        <f t="shared" si="3"/>
        <v>2.5000000000000001E-2</v>
      </c>
      <c r="T12" s="254">
        <f t="shared" ref="T12" si="13">IF(S12=0,0,S12*(P12^2.7/(P12^2.7+Q12^2.7))*P12/L12)</f>
        <v>0</v>
      </c>
      <c r="U12" s="256">
        <f>IF(S12=0,0,S12*Q12^2.7/(P12^2.7+Q12^2.7)*Q12/L12)</f>
        <v>5.0000000000000001E-3</v>
      </c>
      <c r="V12" s="246">
        <f>$G$18</f>
        <v>0.45</v>
      </c>
      <c r="W12" s="244">
        <f>$H$18</f>
        <v>0.45</v>
      </c>
      <c r="X12" s="279">
        <f t="shared" si="11"/>
        <v>0</v>
      </c>
      <c r="Y12" s="280">
        <f t="shared" si="11"/>
        <v>2.2500000000000003E-3</v>
      </c>
      <c r="Z12" s="227"/>
      <c r="AA12" s="272">
        <f t="shared" si="4"/>
        <v>5.1299999999999991E-2</v>
      </c>
      <c r="AB12" s="273">
        <f t="shared" si="5"/>
        <v>0.94869999999999999</v>
      </c>
      <c r="AC12" s="273">
        <f>AA12*PRODUCT(AB3:AB11)*PRODUCT(AB13:AB17)</f>
        <v>4.5187966856043309E-2</v>
      </c>
      <c r="AD12" s="273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1.6001537238317259E-3</v>
      </c>
      <c r="AE12" s="211"/>
      <c r="AF12" s="225"/>
      <c r="AG12" s="274">
        <f t="shared" si="12"/>
        <v>2.2500000000000003E-3</v>
      </c>
      <c r="AH12" s="275">
        <f t="shared" si="6"/>
        <v>0.99775000000000003</v>
      </c>
      <c r="AI12" s="275">
        <f>AG12*PRODUCT(AH3:AH11)*PRODUCT(AH13:AH17)</f>
        <v>1.3356333654841021E-3</v>
      </c>
      <c r="AJ12" s="275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1.195192240811316E-4</v>
      </c>
      <c r="AK12" s="211"/>
      <c r="AL12" s="228"/>
      <c r="AM12" s="211"/>
      <c r="AN12" s="216"/>
      <c r="AO12" s="230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I12" s="31">
        <v>0</v>
      </c>
      <c r="BJ12" s="31">
        <v>9</v>
      </c>
      <c r="BK12" s="107">
        <f t="shared" si="7"/>
        <v>3.8474767782916195E-5</v>
      </c>
      <c r="BM12" s="31">
        <f>BI54+1</f>
        <v>8</v>
      </c>
      <c r="BN12" s="31">
        <v>8</v>
      </c>
      <c r="BO12" s="107">
        <f>$H$33*H47</f>
        <v>1.7532061959539598E-5</v>
      </c>
      <c r="BQ12" s="31">
        <f>BQ9+1</f>
        <v>4</v>
      </c>
      <c r="BR12" s="31">
        <v>2</v>
      </c>
      <c r="BS12" s="107">
        <f>$H$29*H41</f>
        <v>4.5131517181258941E-2</v>
      </c>
    </row>
    <row r="13" spans="1:71" ht="15.75" x14ac:dyDescent="0.25">
      <c r="A13" s="7" t="s">
        <v>60</v>
      </c>
      <c r="B13" s="260">
        <v>9</v>
      </c>
      <c r="C13" s="261">
        <v>6</v>
      </c>
      <c r="E13" s="238"/>
      <c r="F13" s="238" t="s">
        <v>158</v>
      </c>
      <c r="G13" s="245">
        <f>B22</f>
        <v>0.46017699115044247</v>
      </c>
      <c r="H13" s="238"/>
      <c r="I13" s="238"/>
      <c r="J13" s="236"/>
      <c r="K13" s="237">
        <v>37</v>
      </c>
      <c r="L13" s="237">
        <v>2</v>
      </c>
      <c r="M13" s="250">
        <v>0.18</v>
      </c>
      <c r="N13" s="250">
        <f t="shared" si="8"/>
        <v>0.18</v>
      </c>
      <c r="O13" s="237" t="s">
        <v>181</v>
      </c>
      <c r="P13" s="240">
        <f>COUNTIF(E5:I6,"CAB")</f>
        <v>1</v>
      </c>
      <c r="Q13" s="242">
        <f>COUNTIF(E10:I11,"CAB")</f>
        <v>1</v>
      </c>
      <c r="R13" s="249">
        <f t="shared" si="2"/>
        <v>0.18</v>
      </c>
      <c r="S13" s="249">
        <f t="shared" si="3"/>
        <v>0.18</v>
      </c>
      <c r="T13" s="254">
        <f>IF((Q13+P13)=0,0,S13*P13^2.7/(Q13^2.7+P13^2.7))</f>
        <v>0.09</v>
      </c>
      <c r="U13" s="256">
        <f>IF(P13+Q13=0,0,S13*Q13^2.7/(Q13^2.7+P13^2.7))</f>
        <v>0.09</v>
      </c>
      <c r="V13" s="246">
        <f>$G$17</f>
        <v>0.56999999999999995</v>
      </c>
      <c r="W13" s="244">
        <f>$H$17</f>
        <v>0.56999999999999995</v>
      </c>
      <c r="X13" s="279">
        <f t="shared" si="11"/>
        <v>5.1299999999999991E-2</v>
      </c>
      <c r="Y13" s="280">
        <f t="shared" si="11"/>
        <v>5.1299999999999991E-2</v>
      </c>
      <c r="Z13" s="227"/>
      <c r="AA13" s="272">
        <f t="shared" si="4"/>
        <v>3.4199999999999994E-2</v>
      </c>
      <c r="AB13" s="273">
        <f t="shared" si="5"/>
        <v>0.96579999999999999</v>
      </c>
      <c r="AC13" s="273">
        <f>AA13*PRODUCT(AB3:AB12)*PRODUCT(AB14:AB17)</f>
        <v>2.9591926662751629E-2</v>
      </c>
      <c r="AD13" s="273">
        <f>AA13*AA14*PRODUCT(AB3:AB12)*PRODUCT(AB15:AB17)+AA13*AA15*PRODUCT(AB3:AB12)*AB14*PRODUCT(AB16:AB17)+AA13*AA16*PRODUCT(AB3:AB12)*AB14*AB15*AB17+AA13*AA17*PRODUCT(AB3:AB12)*AB14*AB15*AB16</f>
        <v>0</v>
      </c>
      <c r="AE13" s="211"/>
      <c r="AF13" s="225"/>
      <c r="AG13" s="274">
        <f t="shared" si="12"/>
        <v>5.1299999999999991E-2</v>
      </c>
      <c r="AH13" s="275">
        <f t="shared" si="6"/>
        <v>0.94869999999999999</v>
      </c>
      <c r="AI13" s="275">
        <f>AG13*PRODUCT(AH3:AH12)*PRODUCT(AH14:AH17)</f>
        <v>3.2026902858003775E-2</v>
      </c>
      <c r="AJ13" s="275">
        <f>AG13*AG14*PRODUCT(AH3:AH12)*PRODUCT(AH15:AH17)+AG13*AG15*PRODUCT(AH3:AH12)*AH14*PRODUCT(AH16:AH17)+AG13*AG16*PRODUCT(AH3:AH12)*AH14*AH15*AH17+AG13*AG17*PRODUCT(AH3:AH12)*AH14*AH15*AH16</f>
        <v>1.1341065207534984E-3</v>
      </c>
      <c r="AK13" s="211"/>
      <c r="AL13" s="228"/>
      <c r="AM13" s="211"/>
      <c r="AN13" s="216"/>
      <c r="AO13" s="230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I13" s="31">
        <v>0</v>
      </c>
      <c r="BJ13" s="31">
        <v>10</v>
      </c>
      <c r="BK13" s="107">
        <f t="shared" si="7"/>
        <v>6.4879360856704017E-6</v>
      </c>
      <c r="BM13" s="31">
        <f>BI57+1</f>
        <v>9</v>
      </c>
      <c r="BN13" s="31">
        <v>9</v>
      </c>
      <c r="BO13" s="107">
        <f>$H$34*H48</f>
        <v>6.0743019844365167E-7</v>
      </c>
      <c r="BQ13" s="31">
        <f>BM7+1</f>
        <v>4</v>
      </c>
      <c r="BR13" s="31">
        <v>3</v>
      </c>
      <c r="BS13" s="107">
        <f>$H$29*H42</f>
        <v>4.9957587887984628E-2</v>
      </c>
    </row>
    <row r="14" spans="1:71" ht="15.75" x14ac:dyDescent="0.25">
      <c r="A14" s="7" t="s">
        <v>63</v>
      </c>
      <c r="B14" s="260">
        <v>8</v>
      </c>
      <c r="C14" s="261">
        <v>5.75</v>
      </c>
      <c r="E14" s="238"/>
      <c r="F14" s="238" t="s">
        <v>159</v>
      </c>
      <c r="G14" s="243">
        <f>C22</f>
        <v>0.53982300884955747</v>
      </c>
      <c r="H14" s="238"/>
      <c r="I14" s="238"/>
      <c r="J14" s="236"/>
      <c r="K14" s="237">
        <v>38</v>
      </c>
      <c r="L14" s="237">
        <v>2</v>
      </c>
      <c r="M14" s="250">
        <v>0.12</v>
      </c>
      <c r="N14" s="250">
        <f t="shared" si="8"/>
        <v>0.12</v>
      </c>
      <c r="O14" s="237" t="s">
        <v>182</v>
      </c>
      <c r="P14" s="240">
        <f>COUNTA(E5,I5)</f>
        <v>2</v>
      </c>
      <c r="Q14" s="242">
        <f>COUNTA(E10,I10)</f>
        <v>2</v>
      </c>
      <c r="R14" s="249">
        <f t="shared" si="2"/>
        <v>0.12</v>
      </c>
      <c r="S14" s="249">
        <f t="shared" si="3"/>
        <v>0.12</v>
      </c>
      <c r="T14" s="254">
        <f>S14*P14^2.7/(Q14^2.7+P14^2.7)</f>
        <v>0.06</v>
      </c>
      <c r="U14" s="256">
        <f>S14*Q14^2.7/(Q14^2.7+P14^2.7)</f>
        <v>0.06</v>
      </c>
      <c r="V14" s="246">
        <f>$G$17</f>
        <v>0.56999999999999995</v>
      </c>
      <c r="W14" s="244">
        <f>$H$17</f>
        <v>0.56999999999999995</v>
      </c>
      <c r="X14" s="279">
        <f t="shared" si="11"/>
        <v>3.4199999999999994E-2</v>
      </c>
      <c r="Y14" s="280">
        <f t="shared" si="11"/>
        <v>3.4199999999999994E-2</v>
      </c>
      <c r="Z14" s="227"/>
      <c r="AA14" s="272">
        <f t="shared" si="4"/>
        <v>0</v>
      </c>
      <c r="AB14" s="273">
        <f t="shared" si="5"/>
        <v>1</v>
      </c>
      <c r="AC14" s="273">
        <f>AA14*PRODUCT(AB3:AB13)*PRODUCT(AB15:AB17)</f>
        <v>0</v>
      </c>
      <c r="AD14" s="273">
        <f>AA14*AA15*PRODUCT(AB3:AB13)*PRODUCT(AB16:AB17)+AA14*AA16*PRODUCT(AB3:AB13)*AB15*AB17+AA14*AA17*PRODUCT(AB3:AB13)*AB15*AB16</f>
        <v>0</v>
      </c>
      <c r="AE14" s="211"/>
      <c r="AF14" s="225"/>
      <c r="AG14" s="274">
        <f t="shared" si="12"/>
        <v>3.4199999999999994E-2</v>
      </c>
      <c r="AH14" s="275">
        <f t="shared" si="6"/>
        <v>0.96579999999999999</v>
      </c>
      <c r="AI14" s="275">
        <f>AG14*PRODUCT(AH3:AH13)*PRODUCT(AH15:AH17)</f>
        <v>2.0973233065084685E-2</v>
      </c>
      <c r="AJ14" s="275">
        <f>AG14*AG15*PRODUCT(AH3:AH13)*PRODUCT(AH16:AH17)+AG14*AG16*PRODUCT(AH3:AH13)*AH15*AH17+AG14*AG17*PRODUCT(AH3:AH13)*AH15*AH16</f>
        <v>0</v>
      </c>
      <c r="AK14" s="211"/>
      <c r="AL14" s="228"/>
      <c r="AM14" s="211"/>
      <c r="AN14" s="216"/>
      <c r="AO14" s="230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I14" s="31">
        <v>1</v>
      </c>
      <c r="BJ14" s="31">
        <v>2</v>
      </c>
      <c r="BK14" s="107">
        <f t="shared" ref="BK14:BK22" si="14">$H$26*H41</f>
        <v>2.4434718822556788E-2</v>
      </c>
      <c r="BM14" s="31">
        <f>BQ39+1</f>
        <v>10</v>
      </c>
      <c r="BN14" s="31">
        <v>10</v>
      </c>
      <c r="BO14" s="107">
        <f>$H$35*H49</f>
        <v>1.0359327583917272E-8</v>
      </c>
      <c r="BQ14" s="31">
        <f>BQ10+1</f>
        <v>5</v>
      </c>
      <c r="BR14" s="31">
        <v>0</v>
      </c>
      <c r="BS14" s="107">
        <f>$H$30*H39</f>
        <v>3.593166984284898E-3</v>
      </c>
    </row>
    <row r="15" spans="1:71" ht="15.75" x14ac:dyDescent="0.25">
      <c r="A15" s="179" t="s">
        <v>67</v>
      </c>
      <c r="B15" s="262">
        <v>5</v>
      </c>
      <c r="C15" s="263">
        <v>5</v>
      </c>
      <c r="E15" s="238"/>
      <c r="F15" s="238"/>
      <c r="G15" s="238"/>
      <c r="H15" s="238"/>
      <c r="I15" s="238"/>
      <c r="J15" s="236"/>
      <c r="K15" s="237">
        <v>39</v>
      </c>
      <c r="L15" s="237">
        <v>8</v>
      </c>
      <c r="M15" s="250">
        <v>0.6</v>
      </c>
      <c r="N15" s="250">
        <f t="shared" si="8"/>
        <v>0.6</v>
      </c>
      <c r="O15" s="237" t="s">
        <v>183</v>
      </c>
      <c r="P15" s="240">
        <f>COUNTIF(E5:I6,"TEC")</f>
        <v>1</v>
      </c>
      <c r="Q15" s="242">
        <f>COUNTIF(E10:I11,"TEC")</f>
        <v>1</v>
      </c>
      <c r="R15" s="249">
        <f>IF(P15&lt;&gt;0,IF(Q1&lt;&gt;0,M15,IF(Q15&lt;&gt;0,IF(P1&lt;&gt;0,M15,0),0)),0)</f>
        <v>0.6</v>
      </c>
      <c r="S15" s="249">
        <f t="shared" si="3"/>
        <v>0.6</v>
      </c>
      <c r="T15" s="254">
        <f>IF(P15&lt;&gt;0,IF(Q1&lt;&gt;0,IF(Q15&lt;&gt;0,IF(P1&lt;&gt;0,S15*P15^2.7/(P15^2.7+Q15^2.7)*P15/L15,S15*P15/L15),S15*P15/L15),0),0)</f>
        <v>0</v>
      </c>
      <c r="U15" s="256">
        <f>IF(Q15&lt;&gt;0,IF(P1&lt;&gt;0,IF(P15&lt;&gt;0,IF(Q1&lt;&gt;0,S15*Q15^2.7/(P15^2.7+Q15^2.7)*Q15/L15,S15*Q15/L15),S15*Q15/L15),0),0)</f>
        <v>7.4999999999999997E-2</v>
      </c>
      <c r="V15" s="246">
        <f>$G$17</f>
        <v>0.56999999999999995</v>
      </c>
      <c r="W15" s="244">
        <f>$H$17</f>
        <v>0.56999999999999995</v>
      </c>
      <c r="X15" s="279">
        <f t="shared" si="11"/>
        <v>0</v>
      </c>
      <c r="Y15" s="280">
        <f t="shared" si="11"/>
        <v>4.2749999999999996E-2</v>
      </c>
      <c r="Z15" s="227"/>
      <c r="AA15" s="272">
        <f>X16</f>
        <v>0</v>
      </c>
      <c r="AB15" s="273">
        <f t="shared" si="5"/>
        <v>1</v>
      </c>
      <c r="AC15" s="273">
        <f>AA15*PRODUCT(AB3:AB14)*PRODUCT(AB16:AB17)</f>
        <v>0</v>
      </c>
      <c r="AD15" s="273">
        <f>AA15*AA16*PRODUCT(AB3:AB14)*AB17+AA15*AA17*PRODUCT(AB3:AB14)*AB16</f>
        <v>0</v>
      </c>
      <c r="AE15" s="211"/>
      <c r="AF15" s="225"/>
      <c r="AG15" s="274">
        <f t="shared" si="12"/>
        <v>4.2749999999999996E-2</v>
      </c>
      <c r="AH15" s="275">
        <f t="shared" si="6"/>
        <v>0.95725000000000005</v>
      </c>
      <c r="AI15" s="275">
        <f>AG15*PRODUCT(AH3:AH14)*PRODUCT(AH16:AH17)</f>
        <v>0</v>
      </c>
      <c r="AJ15" s="275">
        <f>AG15*AG16*PRODUCT(AH3:AH14)*AH17+AG15*AG17*PRODUCT(AH3:AH14)*AH16</f>
        <v>0</v>
      </c>
      <c r="AK15" s="211"/>
      <c r="AL15" s="228"/>
      <c r="AM15" s="211"/>
      <c r="AN15" s="216"/>
      <c r="AO15" s="230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I15" s="31">
        <v>1</v>
      </c>
      <c r="BJ15" s="31">
        <v>3</v>
      </c>
      <c r="BK15" s="107">
        <f t="shared" si="14"/>
        <v>2.7047608618904876E-2</v>
      </c>
      <c r="BQ15" s="31">
        <f>BQ11+1</f>
        <v>5</v>
      </c>
      <c r="BR15" s="31">
        <v>1</v>
      </c>
      <c r="BS15" s="107">
        <f>$H$30*H40</f>
        <v>1.3984046832699938E-2</v>
      </c>
    </row>
    <row r="16" spans="1:71" x14ac:dyDescent="0.25">
      <c r="A16" s="179" t="s">
        <v>70</v>
      </c>
      <c r="B16" s="52">
        <v>12</v>
      </c>
      <c r="C16" s="54">
        <v>12</v>
      </c>
      <c r="E16" s="238"/>
      <c r="F16" s="238" t="s">
        <v>8</v>
      </c>
      <c r="G16" s="268">
        <v>0.7</v>
      </c>
      <c r="H16" s="269">
        <v>0.7</v>
      </c>
      <c r="I16" s="238"/>
      <c r="J16" s="236"/>
      <c r="K16" s="236"/>
      <c r="L16" s="236"/>
      <c r="M16" s="236"/>
      <c r="N16" s="236"/>
      <c r="O16" s="236"/>
      <c r="P16" s="238"/>
      <c r="Q16" s="238"/>
      <c r="V16" s="158"/>
      <c r="W16" s="158"/>
      <c r="X16" s="158"/>
      <c r="Y16" s="158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11"/>
      <c r="AN16" s="216"/>
      <c r="AO16" s="230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I16" s="31">
        <v>1</v>
      </c>
      <c r="BJ16" s="31">
        <v>4</v>
      </c>
      <c r="BK16" s="107">
        <f t="shared" si="14"/>
        <v>2.1096609877564676E-2</v>
      </c>
      <c r="BQ16" s="31">
        <f>BQ12+1</f>
        <v>5</v>
      </c>
      <c r="BR16" s="31">
        <v>2</v>
      </c>
      <c r="BS16" s="107">
        <f>$H$30*H41</f>
        <v>2.5041850182009235E-2</v>
      </c>
    </row>
    <row r="17" spans="1:71" x14ac:dyDescent="0.25">
      <c r="A17" s="178" t="s">
        <v>74</v>
      </c>
      <c r="B17" s="264" t="s">
        <v>75</v>
      </c>
      <c r="C17" s="265" t="s">
        <v>190</v>
      </c>
      <c r="E17" s="238"/>
      <c r="F17" s="238" t="s">
        <v>160</v>
      </c>
      <c r="G17" s="268">
        <v>0.56999999999999995</v>
      </c>
      <c r="H17" s="269">
        <v>0.56999999999999995</v>
      </c>
      <c r="I17" s="238"/>
      <c r="J17" s="236"/>
      <c r="K17" s="237"/>
      <c r="L17" s="237"/>
      <c r="M17" s="237"/>
      <c r="N17" s="237"/>
      <c r="O17" s="237"/>
      <c r="P17" s="237"/>
      <c r="Q17" s="238"/>
      <c r="V17" s="158"/>
      <c r="W17" s="158"/>
      <c r="X17" s="158"/>
      <c r="Y17" s="158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8"/>
      <c r="AM17" s="211"/>
      <c r="AN17" s="216"/>
      <c r="AO17" s="230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I17" s="31">
        <v>1</v>
      </c>
      <c r="BJ17" s="31">
        <v>5</v>
      </c>
      <c r="BK17" s="107">
        <f t="shared" si="14"/>
        <v>1.2557753040945677E-2</v>
      </c>
      <c r="BQ17" s="31">
        <f>BQ13+1</f>
        <v>5</v>
      </c>
      <c r="BR17" s="31">
        <v>3</v>
      </c>
      <c r="BS17" s="107">
        <f>$H$30*H42</f>
        <v>2.7719662654393681E-2</v>
      </c>
    </row>
    <row r="18" spans="1:71" x14ac:dyDescent="0.25">
      <c r="A18" s="178" t="s">
        <v>78</v>
      </c>
      <c r="B18" s="264">
        <v>20</v>
      </c>
      <c r="C18" s="265">
        <v>20</v>
      </c>
      <c r="E18" s="238"/>
      <c r="F18" s="237" t="s">
        <v>3</v>
      </c>
      <c r="G18" s="268">
        <v>0.45</v>
      </c>
      <c r="H18" s="269">
        <v>0.45</v>
      </c>
      <c r="I18" s="238"/>
      <c r="J18" s="236"/>
      <c r="K18" s="237"/>
      <c r="L18" s="237"/>
      <c r="M18" s="237"/>
      <c r="N18" s="237"/>
      <c r="O18" s="237"/>
      <c r="P18" s="251"/>
      <c r="Q18" s="238"/>
      <c r="V18" s="158"/>
      <c r="W18" s="158"/>
      <c r="X18" s="158"/>
      <c r="Y18" s="158"/>
      <c r="Z18" s="227"/>
      <c r="AB18" s="173">
        <f>PRODUCT(AB3:AB17)</f>
        <v>0.8356690868679979</v>
      </c>
      <c r="AC18" s="174">
        <f>SUM(AC3:AC17)</f>
        <v>0.15339565770971081</v>
      </c>
      <c r="AD18" s="174">
        <f>SUM(AD3:AD17)</f>
        <v>1.0594486109465569E-2</v>
      </c>
      <c r="AE18" s="174">
        <f>1-AB18-AC18-AD18</f>
        <v>3.4076931282572137E-4</v>
      </c>
      <c r="AF18" s="225"/>
      <c r="AG18" s="158"/>
      <c r="AH18" s="175">
        <f>PRODUCT(AH3:AH17)</f>
        <v>0.59227919573856114</v>
      </c>
      <c r="AI18" s="174">
        <f>SUM(AI3:AI17)</f>
        <v>0.28187286990920757</v>
      </c>
      <c r="AJ18" s="174">
        <f>SUM(AJ3:AJ17)</f>
        <v>5.6110281660365344E-2</v>
      </c>
      <c r="AK18" s="174">
        <f>1-AH18-AI18-AJ18</f>
        <v>6.9737652691865951E-2</v>
      </c>
      <c r="AL18" s="228"/>
      <c r="AM18" s="211"/>
      <c r="AN18" s="216"/>
      <c r="AO18" s="230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I18" s="31">
        <v>1</v>
      </c>
      <c r="BJ18" s="31">
        <v>6</v>
      </c>
      <c r="BK18" s="107">
        <f t="shared" si="14"/>
        <v>5.9823216879033563E-3</v>
      </c>
      <c r="BQ18" s="31">
        <f>BM8+1</f>
        <v>5</v>
      </c>
      <c r="BR18" s="31">
        <v>4</v>
      </c>
      <c r="BS18" s="107">
        <f>$H$30*H43</f>
        <v>2.1620798984376896E-2</v>
      </c>
    </row>
    <row r="19" spans="1:71" ht="9" customHeight="1" x14ac:dyDescent="0.25">
      <c r="E19" s="211"/>
      <c r="F19" s="211"/>
      <c r="G19" s="211"/>
      <c r="H19" s="212"/>
      <c r="I19" s="211"/>
      <c r="J19" s="211"/>
      <c r="K19" s="211"/>
      <c r="L19" s="212"/>
      <c r="M19" s="212"/>
      <c r="N19" s="211"/>
      <c r="O19" s="211"/>
      <c r="P19" s="221"/>
      <c r="Q19" s="222"/>
      <c r="R19" s="223"/>
      <c r="S19" s="224"/>
      <c r="T19" s="225"/>
      <c r="U19" s="225"/>
      <c r="V19" s="225"/>
      <c r="W19" s="231"/>
      <c r="X19" s="211"/>
      <c r="Y19" s="226"/>
      <c r="Z19" s="227"/>
      <c r="AA19" s="227"/>
      <c r="AB19" s="227"/>
      <c r="AC19" s="224"/>
      <c r="AD19" s="225"/>
      <c r="AE19" s="225"/>
      <c r="AF19" s="225"/>
      <c r="AG19" s="231"/>
      <c r="AH19" s="228"/>
      <c r="AI19" s="211"/>
      <c r="AJ19" s="229"/>
      <c r="AK19" s="211"/>
      <c r="AL19" s="228"/>
      <c r="AM19" s="211"/>
      <c r="AN19" s="216"/>
      <c r="AO19" s="230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I19" s="31">
        <v>1</v>
      </c>
      <c r="BJ19" s="31">
        <v>7</v>
      </c>
      <c r="BK19" s="107">
        <f t="shared" si="14"/>
        <v>2.3121528012033238E-3</v>
      </c>
      <c r="BQ19" s="31">
        <f>BQ15+1</f>
        <v>6</v>
      </c>
      <c r="BR19" s="31">
        <v>1</v>
      </c>
      <c r="BS19" s="107">
        <f>$H$31*H40</f>
        <v>5.5809783985455467E-3</v>
      </c>
    </row>
    <row r="20" spans="1:71" x14ac:dyDescent="0.25">
      <c r="A20" s="180" t="s">
        <v>85</v>
      </c>
      <c r="B20" s="31">
        <f>IF(B17="Pres",IF(C17="Pres",2,1),IF(C17="Pres",1,0))</f>
        <v>0</v>
      </c>
      <c r="D20" s="196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32"/>
      <c r="Q20" s="232"/>
      <c r="R20" s="232"/>
      <c r="S20" s="211"/>
      <c r="T20" s="233"/>
      <c r="U20" s="234"/>
      <c r="V20" s="234"/>
      <c r="W20" s="234"/>
      <c r="X20" s="211"/>
      <c r="Y20" s="232"/>
      <c r="Z20" s="232"/>
      <c r="AA20" s="232"/>
      <c r="AB20" s="232"/>
      <c r="AC20" s="212"/>
      <c r="AD20" s="235"/>
      <c r="AE20" s="234"/>
      <c r="AF20" s="234"/>
      <c r="AG20" s="234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I20" s="31">
        <v>1</v>
      </c>
      <c r="BJ20" s="31">
        <v>8</v>
      </c>
      <c r="BK20" s="107">
        <f t="shared" si="14"/>
        <v>7.1163152429750483E-4</v>
      </c>
      <c r="BQ20" s="31">
        <f>BQ16+1</f>
        <v>6</v>
      </c>
      <c r="BR20" s="31">
        <v>2</v>
      </c>
      <c r="BS20" s="107">
        <f>$H$31*H41</f>
        <v>9.9941044675709179E-3</v>
      </c>
    </row>
    <row r="21" spans="1:71" x14ac:dyDescent="0.25">
      <c r="A21" s="180" t="s">
        <v>86</v>
      </c>
      <c r="B21" s="181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1.672230111033446E-4</v>
      </c>
      <c r="BQ21" s="31">
        <f>BQ17+1</f>
        <v>6</v>
      </c>
      <c r="BR21" s="31">
        <v>3</v>
      </c>
      <c r="BS21" s="107">
        <f>$H$31*H42</f>
        <v>1.1062808952226022E-2</v>
      </c>
    </row>
    <row r="22" spans="1:71" x14ac:dyDescent="0.25">
      <c r="A22" s="26" t="s">
        <v>87</v>
      </c>
      <c r="B22" s="197">
        <f>(B6)/((B6)+(C6))</f>
        <v>0.46017699115044247</v>
      </c>
      <c r="C22" s="198">
        <f>1-B22</f>
        <v>0.53982300884955747</v>
      </c>
      <c r="V22" s="199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4"/>
        <v>2.8198538174766839E-5</v>
      </c>
      <c r="BQ22" s="31">
        <f>BQ18+1</f>
        <v>6</v>
      </c>
      <c r="BR22" s="31">
        <v>4</v>
      </c>
      <c r="BS22" s="107">
        <f>$H$31*H43</f>
        <v>8.6287763145173751E-3</v>
      </c>
    </row>
    <row r="23" spans="1:71" ht="15.75" thickBot="1" x14ac:dyDescent="0.3">
      <c r="A23" s="40" t="s">
        <v>88</v>
      </c>
      <c r="B23" s="56">
        <f>((B22^2.8)/((B22^2.8)+(C22^2.8)))*B21</f>
        <v>1.9504137362796359</v>
      </c>
      <c r="C23" s="57">
        <f>B21-B23</f>
        <v>3.0495862637203643</v>
      </c>
      <c r="D23" s="149">
        <f>SUM(D25:D30)</f>
        <v>1</v>
      </c>
      <c r="E23" s="149">
        <f>SUM(E25:E30)</f>
        <v>1</v>
      </c>
      <c r="H23" s="257">
        <f>SUM(H25:H35)</f>
        <v>0.99999720793181557</v>
      </c>
      <c r="I23" s="81"/>
      <c r="J23" s="257">
        <f>SUM(J25:J35)</f>
        <v>0.99999999999999978</v>
      </c>
      <c r="K23" s="257"/>
      <c r="L23" s="257">
        <f>SUM(L25:L35)</f>
        <v>1</v>
      </c>
      <c r="M23" s="81"/>
      <c r="N23" s="257">
        <f>SUM(N25:N35)</f>
        <v>0.99999999999999989</v>
      </c>
      <c r="O23" s="81"/>
      <c r="P23" s="257">
        <f>SUM(P25:P35)</f>
        <v>0.99999999999999989</v>
      </c>
      <c r="Q23" s="81"/>
      <c r="R23" s="257">
        <f>SUM(R25:R35)</f>
        <v>0.99999999999999989</v>
      </c>
      <c r="S23" s="81"/>
      <c r="T23" s="257">
        <f>SUM(T25:T35)</f>
        <v>1</v>
      </c>
      <c r="V23" s="199">
        <f>SUM(V25:V34)</f>
        <v>0.99989871049211121</v>
      </c>
      <c r="Y23" s="196">
        <f>SUM(Y25:Y35)</f>
        <v>7.0174354512472416E-3</v>
      </c>
      <c r="Z23" s="81"/>
      <c r="AA23" s="196">
        <f>SUM(AA25:AA35)</f>
        <v>4.4986968827611468E-2</v>
      </c>
      <c r="AB23" s="81"/>
      <c r="AC23" s="196">
        <f>SUM(AC25:AC35)</f>
        <v>0.1298474086057321</v>
      </c>
      <c r="AD23" s="81"/>
      <c r="AE23" s="196">
        <f>SUM(AE25:AE35)</f>
        <v>0.22225203465572946</v>
      </c>
      <c r="AF23" s="81"/>
      <c r="AG23" s="196">
        <f>SUM(AG25:AG35)</f>
        <v>0.24990136122434981</v>
      </c>
      <c r="AH23" s="81"/>
      <c r="AI23" s="196">
        <f>SUM(AI25:AI35)</f>
        <v>0.19297173393370373</v>
      </c>
      <c r="AJ23" s="81"/>
      <c r="AK23" s="196">
        <f>SUM(AK25:AK35)</f>
        <v>0.10373007696397973</v>
      </c>
      <c r="AL23" s="81"/>
      <c r="AM23" s="196">
        <f>SUM(AM25:AM35)</f>
        <v>3.8395281361012674E-2</v>
      </c>
      <c r="AN23" s="81"/>
      <c r="AO23" s="196">
        <f>SUM(AO25:AO35)</f>
        <v>9.4038639007323586E-3</v>
      </c>
      <c r="AP23" s="81"/>
      <c r="AQ23" s="196">
        <f>SUM(AQ25:AQ35)</f>
        <v>1.3925455680125591E-3</v>
      </c>
      <c r="AR23" s="81"/>
      <c r="AS23" s="196">
        <f>SUM(AS25:AS35)</f>
        <v>1.0128950788879099E-4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5.3389916289327828E-2</v>
      </c>
      <c r="BQ23" s="31">
        <f>BM9+1</f>
        <v>6</v>
      </c>
      <c r="BR23" s="31">
        <v>5</v>
      </c>
      <c r="BS23" s="107">
        <f>$H$31*H44</f>
        <v>5.136277469798816E-3</v>
      </c>
    </row>
    <row r="24" spans="1:71" ht="15.75" thickBot="1" x14ac:dyDescent="0.3">
      <c r="A24" s="26" t="s">
        <v>89</v>
      </c>
      <c r="B24" s="64">
        <f>B23/B21</f>
        <v>0.39008274725592718</v>
      </c>
      <c r="C24" s="65">
        <f>C23/B21</f>
        <v>0.60991725274407282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4.1643098701322039E-2</v>
      </c>
      <c r="BQ24" s="31">
        <f>BI49+1</f>
        <v>7</v>
      </c>
      <c r="BR24" s="31">
        <v>0</v>
      </c>
      <c r="BS24" s="107">
        <f t="shared" ref="BS24:BS30" si="17">$H$32*H39</f>
        <v>4.1465283922255787E-4</v>
      </c>
    </row>
    <row r="25" spans="1:71" x14ac:dyDescent="0.25">
      <c r="A25" s="26" t="s">
        <v>114</v>
      </c>
      <c r="B25" s="200">
        <f>1/(1+EXP(-3.1416*4*((B11/(B11+C8))-(3.1416/6))))</f>
        <v>0.70933293065644731</v>
      </c>
      <c r="C25" s="198">
        <f>1/(1+EXP(-3.1416*4*((C11/(C11+B8))-(3.1416/6))))</f>
        <v>0.59906392067981162</v>
      </c>
      <c r="D25" s="195">
        <f>IF(B17="AOW",0.36-0.08,IF(B17="AIM",0.36+0.08,IF(B17="TL",(0.361)-(0.36*B32),0.36)))</f>
        <v>0.36</v>
      </c>
      <c r="E25" s="195">
        <f>IF(C17="AOW",0.36-0.08,IF(C17="AIM",0.36+0.08,IF(C17="TL",(0.361)-(0.36*C32),0.36)))</f>
        <v>0.44</v>
      </c>
      <c r="G25" s="124">
        <v>0</v>
      </c>
      <c r="H25" s="125">
        <f>L25*J25</f>
        <v>2.5652272325413467E-2</v>
      </c>
      <c r="I25" s="97">
        <v>0</v>
      </c>
      <c r="J25" s="98">
        <f t="shared" ref="J25:J35" si="18">Y25+AA25+AC25+AE25+AG25+AI25+AK25+AM25+AO25+AQ25+AS25</f>
        <v>3.0696686916534814E-2</v>
      </c>
      <c r="K25" s="97">
        <v>0</v>
      </c>
      <c r="L25" s="98">
        <f>AB18</f>
        <v>0.8356690868679979</v>
      </c>
      <c r="M25" s="85">
        <v>0</v>
      </c>
      <c r="N25" s="201">
        <f>(1-$B$24)^$B$21</f>
        <v>8.440236037208923E-2</v>
      </c>
      <c r="O25" s="72">
        <v>0</v>
      </c>
      <c r="P25" s="201">
        <f t="shared" ref="P25:P30" si="19">N25</f>
        <v>8.440236037208923E-2</v>
      </c>
      <c r="Q25" s="28">
        <v>0</v>
      </c>
      <c r="R25" s="202">
        <f>P25*N25</f>
        <v>7.1237584363800181E-3</v>
      </c>
      <c r="S25" s="72">
        <v>0</v>
      </c>
      <c r="T25" s="203">
        <f>(1-$B$33)^(INT(C23*2*(1-C31)))</f>
        <v>0.98507487500000002</v>
      </c>
      <c r="U25" s="138">
        <v>0</v>
      </c>
      <c r="V25" s="86">
        <f>R25*T25</f>
        <v>7.0174354512472416E-3</v>
      </c>
      <c r="W25" s="134">
        <f>B31</f>
        <v>0.75203820066476024</v>
      </c>
      <c r="X25" s="28">
        <v>0</v>
      </c>
      <c r="Y25" s="204">
        <f>V25</f>
        <v>7.0174354512472416E-3</v>
      </c>
      <c r="Z25" s="28">
        <v>0</v>
      </c>
      <c r="AA25" s="204">
        <f>((1-W25)^Z26)*V26</f>
        <v>1.1155049737132881E-2</v>
      </c>
      <c r="AB25" s="28">
        <v>0</v>
      </c>
      <c r="AC25" s="204">
        <f>(((1-$W$25)^AB27))*V27</f>
        <v>7.9836749207383116E-3</v>
      </c>
      <c r="AD25" s="28">
        <v>0</v>
      </c>
      <c r="AE25" s="204">
        <f>(((1-$W$25)^AB28))*V28</f>
        <v>3.3884422086209714E-3</v>
      </c>
      <c r="AF25" s="28">
        <v>0</v>
      </c>
      <c r="AG25" s="204">
        <f>(((1-$W$25)^AB29))*V29</f>
        <v>9.447300689835235E-4</v>
      </c>
      <c r="AH25" s="28">
        <v>0</v>
      </c>
      <c r="AI25" s="204">
        <f>(((1-$W$25)^AB30))*V30</f>
        <v>1.8089126461439414E-4</v>
      </c>
      <c r="AJ25" s="28">
        <v>0</v>
      </c>
      <c r="AK25" s="204">
        <f>(((1-$W$25)^AB31))*V31</f>
        <v>2.411089740235825E-5</v>
      </c>
      <c r="AL25" s="28">
        <v>0</v>
      </c>
      <c r="AM25" s="204">
        <f>(((1-$W$25)^AB32))*V32</f>
        <v>2.2129485071665609E-6</v>
      </c>
      <c r="AN25" s="28">
        <v>0</v>
      </c>
      <c r="AO25" s="204">
        <f>(((1-$W$25)^AB33))*V33</f>
        <v>1.3439545077124626E-7</v>
      </c>
      <c r="AP25" s="28">
        <v>0</v>
      </c>
      <c r="AQ25" s="204">
        <f>(((1-$W$25)^AB34))*V34</f>
        <v>4.9348326306694562E-9</v>
      </c>
      <c r="AR25" s="28">
        <v>0</v>
      </c>
      <c r="AS25" s="204">
        <f>(((1-$W$25)^AB35))*V35</f>
        <v>8.9004558988483104E-11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2.4788046628622339E-2</v>
      </c>
      <c r="BQ25" s="31">
        <f>BQ19+1</f>
        <v>7</v>
      </c>
      <c r="BR25" s="31">
        <v>1</v>
      </c>
      <c r="BS25" s="107">
        <f t="shared" si="17"/>
        <v>1.6137643333473555E-3</v>
      </c>
    </row>
    <row r="26" spans="1:71" x14ac:dyDescent="0.25">
      <c r="A26" s="40" t="s">
        <v>115</v>
      </c>
      <c r="B26" s="197">
        <f>1/(1+EXP(-3.1416*4*((B10/(B10+C9))-(3.1416/6))))</f>
        <v>0.96602907629978729</v>
      </c>
      <c r="C26" s="198">
        <f>1/(1+EXP(-3.1416*4*((C10/(C10+B9))-(3.1416/6))))</f>
        <v>0.17462355450482875</v>
      </c>
      <c r="D26" s="195">
        <f>IF(B17="AOW",0.257+0.04,IF(B17="AIM",0.257-0.04,IF(B17="TL",(0.257)-(0.257*B32),0.257)))</f>
        <v>0.25700000000000001</v>
      </c>
      <c r="E26" s="195">
        <f>IF(C17="AOW",0.257+0.04,IF(C17="AIM",0.257-0.04,IF(C17="TL",(0.257)-(0.257*C32),0.257)))</f>
        <v>0.217</v>
      </c>
      <c r="G26" s="87">
        <v>1</v>
      </c>
      <c r="H26" s="126">
        <f>L25*J26+L26*J25</f>
        <v>0.11149255647498288</v>
      </c>
      <c r="I26" s="138">
        <v>1</v>
      </c>
      <c r="J26" s="86">
        <f t="shared" si="18"/>
        <v>0.1277824197088907</v>
      </c>
      <c r="K26" s="138">
        <v>1</v>
      </c>
      <c r="L26" s="86">
        <f>AC18</f>
        <v>0.15339565770971081</v>
      </c>
      <c r="M26" s="85">
        <v>1</v>
      </c>
      <c r="N26" s="201">
        <f>(($B$24)^M26)*((1-($B$24))^($B$21-M26))*HLOOKUP($B$21,$AV$24:$BF$34,M26+1)</f>
        <v>0.26990468346896029</v>
      </c>
      <c r="O26" s="72">
        <v>1</v>
      </c>
      <c r="P26" s="201">
        <f t="shared" si="19"/>
        <v>0.26990468346896029</v>
      </c>
      <c r="Q26" s="28">
        <v>1</v>
      </c>
      <c r="R26" s="202">
        <f>N26*P25+P26*N25</f>
        <v>4.5561184720523722E-2</v>
      </c>
      <c r="S26" s="72">
        <v>1</v>
      </c>
      <c r="T26" s="203">
        <f t="shared" ref="T26:T35" si="20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4.4986968827611468E-2</v>
      </c>
      <c r="W26" s="205"/>
      <c r="X26" s="28">
        <v>1</v>
      </c>
      <c r="Y26" s="202"/>
      <c r="Z26" s="28">
        <v>1</v>
      </c>
      <c r="AA26" s="204">
        <f>(1-((1-W25)^Z26))*V26</f>
        <v>3.3831919090478585E-2</v>
      </c>
      <c r="AB26" s="28">
        <v>1</v>
      </c>
      <c r="AC26" s="204">
        <f>((($W$25)^M26)*((1-($W$25))^($U$27-M26))*HLOOKUP($U$27,$AV$24:$BF$34,M26+1))*V27</f>
        <v>4.8427044312314232E-2</v>
      </c>
      <c r="AD26" s="28">
        <v>1</v>
      </c>
      <c r="AE26" s="204">
        <f>((($W$25)^M26)*((1-($W$25))^($U$28-M26))*HLOOKUP($U$28,$AV$24:$BF$34,M26+1))*V28</f>
        <v>3.0830208384429455E-2</v>
      </c>
      <c r="AF26" s="28">
        <v>1</v>
      </c>
      <c r="AG26" s="204">
        <f>((($W$25)^M26)*((1-($W$25))^($U$29-M26))*HLOOKUP($U$29,$AV$24:$BF$34,M26+1))*V29</f>
        <v>1.1461008963428554E-2</v>
      </c>
      <c r="AH26" s="28">
        <v>1</v>
      </c>
      <c r="AI26" s="204">
        <f>((($W$25)^M26)*((1-($W$25))^($U$30-M26))*HLOOKUP($U$30,$AV$24:$BF$34,M26+1))*V30</f>
        <v>2.7431068318040049E-3</v>
      </c>
      <c r="AJ26" s="28">
        <v>1</v>
      </c>
      <c r="AK26" s="204">
        <f>((($W$25)^M26)*((1-($W$25))^($U$31-M26))*HLOOKUP($U$31,$AV$24:$BF$34,M26+1))*V31</f>
        <v>4.3875264530648733E-4</v>
      </c>
      <c r="AL26" s="28">
        <v>1</v>
      </c>
      <c r="AM26" s="204">
        <f>((($W$25)^Q26)*((1-($W$25))^($U$32-Q26))*HLOOKUP($U$32,$AV$24:$BF$34,Q26+1))*V32</f>
        <v>4.6981239552561777E-5</v>
      </c>
      <c r="AN26" s="28">
        <v>1</v>
      </c>
      <c r="AO26" s="204">
        <f>((($W$25)^Q26)*((1-($W$25))^($U$33-Q26))*HLOOKUP($U$33,$AV$24:$BF$34,Q26+1))*V33</f>
        <v>3.2608414117496201E-6</v>
      </c>
      <c r="AP26" s="28">
        <v>1</v>
      </c>
      <c r="AQ26" s="204">
        <f>((($W$25)^Q26)*((1-($W$25))^($U$34-Q26))*HLOOKUP($U$34,$AV$24:$BF$34,Q26+1))*V34</f>
        <v>1.3470076422617249E-7</v>
      </c>
      <c r="AR26" s="28">
        <v>1</v>
      </c>
      <c r="AS26" s="204">
        <f>((($W$25)^Q26)*((1-($W$25))^($U$35-Q26))*HLOOKUP($U$35,$AV$24:$BF$34,Q26+1))*V35</f>
        <v>2.6994008178721394E-9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1.1808646695284903E-2</v>
      </c>
      <c r="BQ26" s="31">
        <f>BQ20+1</f>
        <v>7</v>
      </c>
      <c r="BR26" s="31">
        <v>2</v>
      </c>
      <c r="BS26" s="107">
        <f t="shared" si="17"/>
        <v>2.8898390536176502E-3</v>
      </c>
    </row>
    <row r="27" spans="1:71" x14ac:dyDescent="0.25">
      <c r="A27" s="26" t="s">
        <v>116</v>
      </c>
      <c r="B27" s="197">
        <f>1/(1+EXP(-3.1416*4*((B12/(B12+C7))-(3.1416/6))))</f>
        <v>0.56822993442447101</v>
      </c>
      <c r="C27" s="198">
        <f>1/(1+EXP(-3.1416*4*((C12/(C12+B7))-(3.1416/6))))</f>
        <v>0.15247054851327255</v>
      </c>
      <c r="D27" s="195">
        <f>D26</f>
        <v>0.25700000000000001</v>
      </c>
      <c r="E27" s="195">
        <f>E26</f>
        <v>0.217</v>
      </c>
      <c r="G27" s="87">
        <v>2</v>
      </c>
      <c r="H27" s="126">
        <f>L25*J27+J26*L26+J25*L27</f>
        <v>0.22007780210639202</v>
      </c>
      <c r="I27" s="138">
        <v>2</v>
      </c>
      <c r="J27" s="86">
        <f t="shared" si="18"/>
        <v>0.23951025748530583</v>
      </c>
      <c r="K27" s="138">
        <v>2</v>
      </c>
      <c r="L27" s="86">
        <f>AD18</f>
        <v>1.0594486109465569E-2</v>
      </c>
      <c r="M27" s="85">
        <v>2</v>
      </c>
      <c r="N27" s="201">
        <f>(($B$24)^M27)*((1-($B$24))^($B$21-M27))*HLOOKUP($B$21,$AV$24:$BF$34,M27+1)</f>
        <v>0.34524408008176855</v>
      </c>
      <c r="O27" s="72">
        <v>2</v>
      </c>
      <c r="P27" s="201">
        <f t="shared" si="19"/>
        <v>0.34524408008176855</v>
      </c>
      <c r="Q27" s="28">
        <v>2</v>
      </c>
      <c r="R27" s="202">
        <f>P25*N27+P26*N26+P27*N25</f>
        <v>0.13112736868526337</v>
      </c>
      <c r="S27" s="72">
        <v>2</v>
      </c>
      <c r="T27" s="203">
        <f t="shared" si="20"/>
        <v>7.4625000000000011E-5</v>
      </c>
      <c r="U27" s="138">
        <v>2</v>
      </c>
      <c r="V27" s="86">
        <f>R27*T25+T26*R26+R25*T27</f>
        <v>0.1298474086057321</v>
      </c>
      <c r="W27" s="205"/>
      <c r="X27" s="28">
        <v>2</v>
      </c>
      <c r="Y27" s="202"/>
      <c r="Z27" s="28">
        <v>2</v>
      </c>
      <c r="AA27" s="204"/>
      <c r="AB27" s="28">
        <v>2</v>
      </c>
      <c r="AC27" s="204">
        <f>((($W$25)^M27)*((1-($W$25))^($U$27-M27))*HLOOKUP($U$27,$AV$24:$BF$34,M27+1))*V27</f>
        <v>7.3436689372679553E-2</v>
      </c>
      <c r="AD27" s="28">
        <v>2</v>
      </c>
      <c r="AE27" s="204">
        <f>((($W$25)^M27)*((1-($W$25))^($U$28-M27))*HLOOKUP($U$28,$AV$24:$BF$34,M27+1))*V28</f>
        <v>9.3504299862736409E-2</v>
      </c>
      <c r="AF27" s="28">
        <v>2</v>
      </c>
      <c r="AG27" s="204">
        <f>((($W$25)^M27)*((1-($W$25))^($U$29-M27))*HLOOKUP($U$29,$AV$24:$BF$34,M27+1))*V29</f>
        <v>5.2139784727525375E-2</v>
      </c>
      <c r="AH27" s="28">
        <v>2</v>
      </c>
      <c r="AI27" s="204">
        <f>((($W$25)^M27)*((1-($W$25))^($U$30-M27))*HLOOKUP($U$30,$AV$24:$BF$34,M27+1))*V30</f>
        <v>1.6639023684709306E-2</v>
      </c>
      <c r="AJ27" s="28">
        <v>2</v>
      </c>
      <c r="AK27" s="204">
        <f>((($W$25)^M27)*((1-($W$25))^($U$31-M27))*HLOOKUP($U$31,$AV$24:$BF$34,M27+1))*V31</f>
        <v>3.3267095052320582E-3</v>
      </c>
      <c r="AL27" s="28">
        <v>2</v>
      </c>
      <c r="AM27" s="204">
        <f>((($W$25)^Q27)*((1-($W$25))^($U$32-Q27))*HLOOKUP($U$32,$AV$24:$BF$34,Q27+1))*V32</f>
        <v>4.2746528238820573E-4</v>
      </c>
      <c r="AN27" s="28">
        <v>2</v>
      </c>
      <c r="AO27" s="204">
        <f>((($W$25)^Q27)*((1-($W$25))^($U$33-Q27))*HLOOKUP($U$33,$AV$24:$BF$34,Q27+1))*V33</f>
        <v>3.4614084108192027E-5</v>
      </c>
      <c r="AP27" s="28">
        <v>2</v>
      </c>
      <c r="AQ27" s="204">
        <f>((($W$25)^Q27)*((1-($W$25))^($U$34-Q27))*HLOOKUP($U$34,$AV$24:$BF$34,Q27+1))*V34</f>
        <v>1.6341246212665685E-6</v>
      </c>
      <c r="AR27" s="28">
        <v>2</v>
      </c>
      <c r="AS27" s="204">
        <f>((($W$25)^Q27)*((1-($W$25))^($U$35-Q27))*HLOOKUP($U$35,$AV$24:$BF$34,Q27+1))*V35</f>
        <v>3.6841305504499448E-8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4.5640132643038241E-3</v>
      </c>
      <c r="BQ27" s="31">
        <f>BQ21+1</f>
        <v>7</v>
      </c>
      <c r="BR27" s="31">
        <v>3</v>
      </c>
      <c r="BS27" s="107">
        <f t="shared" si="17"/>
        <v>3.1988596333558245E-3</v>
      </c>
    </row>
    <row r="28" spans="1:71" x14ac:dyDescent="0.25">
      <c r="A28" s="26" t="s">
        <v>117</v>
      </c>
      <c r="B28" s="266">
        <v>0.9</v>
      </c>
      <c r="C28" s="267">
        <v>0.9</v>
      </c>
      <c r="D28" s="195">
        <v>8.5000000000000006E-2</v>
      </c>
      <c r="E28" s="195">
        <v>8.5000000000000006E-2</v>
      </c>
      <c r="G28" s="87">
        <v>3</v>
      </c>
      <c r="H28" s="126">
        <f>J28*L25+J27*L26+L28*J25+L27*J26</f>
        <v>0.2606017578404764</v>
      </c>
      <c r="I28" s="138">
        <v>3</v>
      </c>
      <c r="J28" s="86">
        <f t="shared" si="18"/>
        <v>0.26625093389495585</v>
      </c>
      <c r="K28" s="138">
        <v>3</v>
      </c>
      <c r="L28" s="86">
        <f>AE18</f>
        <v>3.4076931282572137E-4</v>
      </c>
      <c r="M28" s="85">
        <v>3</v>
      </c>
      <c r="N28" s="201">
        <f>(($B$24)^M28)*((1-($B$24))^($B$21-M28))*HLOOKUP($B$21,$AV$24:$BF$34,M28+1)</f>
        <v>0.22080660716881217</v>
      </c>
      <c r="O28" s="72">
        <v>3</v>
      </c>
      <c r="P28" s="201">
        <f t="shared" si="19"/>
        <v>0.22080660716881217</v>
      </c>
      <c r="Q28" s="28">
        <v>3</v>
      </c>
      <c r="R28" s="202">
        <f>P25*N28+P26*N27+P27*N26+P28*N25</f>
        <v>0.22363918596960508</v>
      </c>
      <c r="S28" s="72">
        <v>3</v>
      </c>
      <c r="T28" s="203">
        <f t="shared" si="20"/>
        <v>1.2500000000000002E-7</v>
      </c>
      <c r="U28" s="138">
        <v>3</v>
      </c>
      <c r="V28" s="86">
        <f>R28*T25+R27*T26+R26*T27+R25*T28</f>
        <v>0.22225203465572949</v>
      </c>
      <c r="W28" s="205"/>
      <c r="X28" s="28">
        <v>3</v>
      </c>
      <c r="Y28" s="202"/>
      <c r="Z28" s="28">
        <v>3</v>
      </c>
      <c r="AA28" s="204"/>
      <c r="AB28" s="28">
        <v>3</v>
      </c>
      <c r="AC28" s="204"/>
      <c r="AD28" s="28">
        <v>3</v>
      </c>
      <c r="AE28" s="204">
        <f>((($W$25)^M28)*((1-($W$25))^($U$28-M28))*HLOOKUP($U$28,$AV$24:$BF$34,M28+1))*V28</f>
        <v>9.4529084199942631E-2</v>
      </c>
      <c r="AF28" s="28">
        <v>3</v>
      </c>
      <c r="AG28" s="204">
        <f>((($W$25)^M28)*((1-($W$25))^($U$29-M28))*HLOOKUP($U$29,$AV$24:$BF$34,M28+1))*V29</f>
        <v>0.10542244812079148</v>
      </c>
      <c r="AH28" s="28">
        <v>3</v>
      </c>
      <c r="AI28" s="204">
        <f>((($W$25)^M28)*((1-($W$25))^($U$30-M28))*HLOOKUP($U$30,$AV$24:$BF$34,M28+1))*V30</f>
        <v>5.0464149986867622E-2</v>
      </c>
      <c r="AJ28" s="28">
        <v>3</v>
      </c>
      <c r="AK28" s="204">
        <f>((($W$25)^M28)*((1-($W$25))^($U$31-M28))*HLOOKUP($U$31,$AV$24:$BF$34,M28+1))*V31</f>
        <v>1.345267772243507E-2</v>
      </c>
      <c r="AL28" s="28">
        <v>3</v>
      </c>
      <c r="AM28" s="204">
        <f>((($W$25)^Q28)*((1-($W$25))^($U$32-Q28))*HLOOKUP($U$32,$AV$24:$BF$34,Q28+1))*V32</f>
        <v>2.1607509884970766E-3</v>
      </c>
      <c r="AN28" s="28">
        <v>3</v>
      </c>
      <c r="AO28" s="204">
        <f>((($W$25)^Q28)*((1-($W$25))^($U$33-Q28))*HLOOKUP($U$33,$AV$24:$BF$34,Q28+1))*V33</f>
        <v>2.0996067620230338E-4</v>
      </c>
      <c r="AP28" s="28">
        <v>3</v>
      </c>
      <c r="AQ28" s="204">
        <f>((($W$25)^Q28)*((1-($W$25))^($U$34-Q28))*HLOOKUP($U$34,$AV$24:$BF$34,Q28+1))*V34</f>
        <v>1.1564239601876029E-5</v>
      </c>
      <c r="AR28" s="28">
        <v>3</v>
      </c>
      <c r="AS28" s="204">
        <f>((($W$25)^Q28)*((1-($W$25))^($U$35-Q28))*HLOOKUP($U$35,$AV$24:$BF$34,Q28+1))*V35</f>
        <v>2.9796061786959798E-7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1.404706347478525E-3</v>
      </c>
      <c r="BQ28" s="31">
        <f>BQ22+1</f>
        <v>7</v>
      </c>
      <c r="BR28" s="31">
        <v>4</v>
      </c>
      <c r="BS28" s="107">
        <f t="shared" si="17"/>
        <v>2.4950484417623825E-3</v>
      </c>
    </row>
    <row r="29" spans="1:71" x14ac:dyDescent="0.25">
      <c r="A29" s="26" t="s">
        <v>118</v>
      </c>
      <c r="B29" s="197">
        <f>1/(1+EXP(-3.1416*4*((B14/(B14+C13))-(3.1416/6))))</f>
        <v>0.6458925956223811</v>
      </c>
      <c r="C29" s="198">
        <f>1/(1+EXP(-3.1416*4*((C14/(C14+B13))-(3.1416/6))))</f>
        <v>0.15696297364276415</v>
      </c>
      <c r="D29" s="195">
        <v>0.04</v>
      </c>
      <c r="E29" s="195">
        <v>0.04</v>
      </c>
      <c r="G29" s="87">
        <v>4</v>
      </c>
      <c r="H29" s="126">
        <f>J29*L25+J28*L26+J27*L27+J26*L28</f>
        <v>0.20592945082257572</v>
      </c>
      <c r="I29" s="138">
        <v>4</v>
      </c>
      <c r="J29" s="86">
        <f t="shared" si="18"/>
        <v>0.19446295648871567</v>
      </c>
      <c r="K29" s="138">
        <v>4</v>
      </c>
      <c r="L29" s="86"/>
      <c r="M29" s="85">
        <v>4</v>
      </c>
      <c r="N29" s="201">
        <f>(($B$24)^M29)*((1-($B$24))^($B$21-M29))*HLOOKUP($B$21,$AV$24:$BF$34,M29+1)</f>
        <v>7.0610273401146714E-2</v>
      </c>
      <c r="O29" s="72">
        <v>4</v>
      </c>
      <c r="P29" s="201">
        <f t="shared" si="19"/>
        <v>7.0610273401146714E-2</v>
      </c>
      <c r="Q29" s="28">
        <v>4</v>
      </c>
      <c r="R29" s="202">
        <f>P25*N29+P26*N28+P27*N27+P28*N26+P29*N25</f>
        <v>0.25030629714616387</v>
      </c>
      <c r="S29" s="72">
        <v>4</v>
      </c>
      <c r="T29" s="203">
        <f t="shared" si="20"/>
        <v>0</v>
      </c>
      <c r="U29" s="138">
        <v>4</v>
      </c>
      <c r="V29" s="86">
        <f>T29*R25+T28*R26+T27*R27+T26*R28+T25*R29</f>
        <v>0.24990136122434983</v>
      </c>
      <c r="W29" s="205"/>
      <c r="X29" s="28">
        <v>4</v>
      </c>
      <c r="Y29" s="202"/>
      <c r="Z29" s="28">
        <v>4</v>
      </c>
      <c r="AA29" s="204"/>
      <c r="AB29" s="28">
        <v>4</v>
      </c>
      <c r="AC29" s="204"/>
      <c r="AD29" s="28">
        <v>4</v>
      </c>
      <c r="AE29" s="204"/>
      <c r="AF29" s="28">
        <v>4</v>
      </c>
      <c r="AG29" s="204">
        <f>((($W$25)^M29)*((1-($W$25))^($U$29-M29))*HLOOKUP($U$29,$AV$24:$BF$34,M29+1))*V29</f>
        <v>7.9933389343620889E-2</v>
      </c>
      <c r="AH29" s="28">
        <v>4</v>
      </c>
      <c r="AI29" s="204">
        <f>((($W$25)^M29)*((1-($W$25))^($U$30-M29))*HLOOKUP($U$30,$AV$24:$BF$34,M29+1))*V30</f>
        <v>7.6525837157060447E-2</v>
      </c>
      <c r="AJ29" s="28">
        <v>4</v>
      </c>
      <c r="AK29" s="204">
        <f>((($W$25)^M29)*((1-($W$25))^($U$31-M29))*HLOOKUP($U$31,$AV$24:$BF$34,M29+1))*V31</f>
        <v>3.0600260530932861E-2</v>
      </c>
      <c r="AL29" s="28">
        <v>4</v>
      </c>
      <c r="AM29" s="204">
        <f>((($W$25)^Q29)*((1-($W$25))^($U$32-Q29))*HLOOKUP($U$32,$AV$24:$BF$34,Q29+1))*V32</f>
        <v>6.5532968781091072E-3</v>
      </c>
      <c r="AN29" s="28">
        <v>4</v>
      </c>
      <c r="AO29" s="204">
        <f>((($W$25)^Q29)*((1-($W$25))^($U$33-Q29))*HLOOKUP($U$33,$AV$24:$BF$34,Q29+1))*V33</f>
        <v>7.9598172765344398E-4</v>
      </c>
      <c r="AP29" s="28">
        <v>4</v>
      </c>
      <c r="AQ29" s="204">
        <f>((($W$25)^Q29)*((1-($W$25))^($U$34-Q29))*HLOOKUP($U$34,$AV$24:$BF$34,Q29+1))*V34</f>
        <v>5.2609413822407972E-5</v>
      </c>
      <c r="AR29" s="28">
        <v>4</v>
      </c>
      <c r="AS29" s="204">
        <f>((($W$25)^Q29)*((1-($W$25))^($U$35-Q29))*HLOOKUP($U$35,$AV$24:$BF$34,Q29+1))*V35</f>
        <v>1.5814375165110067E-6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3.3008546856215152E-4</v>
      </c>
      <c r="BQ29" s="31">
        <f>BQ23+1</f>
        <v>7</v>
      </c>
      <c r="BR29" s="31">
        <v>5</v>
      </c>
      <c r="BS29" s="107">
        <f t="shared" si="17"/>
        <v>1.4851771132275032E-3</v>
      </c>
    </row>
    <row r="30" spans="1:71" x14ac:dyDescent="0.25">
      <c r="A30" s="26" t="s">
        <v>119</v>
      </c>
      <c r="B30" s="266">
        <v>0.15</v>
      </c>
      <c r="C30" s="267">
        <v>0.15</v>
      </c>
      <c r="D30" s="195">
        <f>IF(B17="TL",0.875*B32,0.001)</f>
        <v>1E-3</v>
      </c>
      <c r="E30" s="195">
        <f>IF(C17="TL",0.875*C32,0.001)</f>
        <v>1E-3</v>
      </c>
      <c r="G30" s="87">
        <v>5</v>
      </c>
      <c r="H30" s="126">
        <f>J30*L25+J29*L26+J28*L27+J27*L28</f>
        <v>0.11426282069914072</v>
      </c>
      <c r="I30" s="138">
        <v>5</v>
      </c>
      <c r="J30" s="86">
        <f t="shared" si="18"/>
        <v>9.7563305024609026E-2</v>
      </c>
      <c r="K30" s="138">
        <v>5</v>
      </c>
      <c r="L30" s="86"/>
      <c r="M30" s="85">
        <v>5</v>
      </c>
      <c r="N30" s="201">
        <f>(($B$24)^M30)*((1-($B$24))^($B$21-M30))*HLOOKUP($B$21,$AV$24:$BF$34,M30+1)</f>
        <v>9.0319955072230406E-3</v>
      </c>
      <c r="O30" s="72">
        <v>5</v>
      </c>
      <c r="P30" s="201">
        <f t="shared" si="19"/>
        <v>9.0319955072230406E-3</v>
      </c>
      <c r="Q30" s="28">
        <v>5</v>
      </c>
      <c r="R30" s="202">
        <f>P25*N30+P26*N29+P27*N28+P28*N27+P29*N26+P30*N25</f>
        <v>0.19210507839929192</v>
      </c>
      <c r="S30" s="72">
        <v>5</v>
      </c>
      <c r="T30" s="203">
        <f t="shared" si="20"/>
        <v>0</v>
      </c>
      <c r="U30" s="138">
        <v>5</v>
      </c>
      <c r="V30" s="86">
        <f>T30*R25+T29*R26+T28*R27+T27*R28+T26*R29+T25*R30</f>
        <v>0.19297173393370373</v>
      </c>
      <c r="W30" s="205"/>
      <c r="X30" s="28">
        <v>5</v>
      </c>
      <c r="Y30" s="202"/>
      <c r="Z30" s="28">
        <v>5</v>
      </c>
      <c r="AA30" s="204"/>
      <c r="AB30" s="28">
        <v>5</v>
      </c>
      <c r="AC30" s="204"/>
      <c r="AD30" s="28">
        <v>5</v>
      </c>
      <c r="AE30" s="204"/>
      <c r="AF30" s="28">
        <v>5</v>
      </c>
      <c r="AG30" s="204"/>
      <c r="AH30" s="28">
        <v>5</v>
      </c>
      <c r="AI30" s="204">
        <f>((($W$25)^M30)*((1-($W$25))^($U$30-M30))*HLOOKUP($U$30,$AV$24:$BF$34,M30+1))*V30</f>
        <v>4.6418725008647944E-2</v>
      </c>
      <c r="AJ30" s="28">
        <v>5</v>
      </c>
      <c r="AK30" s="204">
        <f>((($W$25)^M30)*((1-($W$25))^($U$31-M30))*HLOOKUP($U$31,$AV$24:$BF$34,M30+1))*V31</f>
        <v>3.7122758313982179E-2</v>
      </c>
      <c r="AL30" s="28">
        <v>5</v>
      </c>
      <c r="AM30" s="204">
        <f>((($W$25)^Q30)*((1-($W$25))^($U$32-Q30))*HLOOKUP($U$32,$AV$24:$BF$34,Q30+1))*V32</f>
        <v>1.192521494644944E-2</v>
      </c>
      <c r="AN30" s="28">
        <v>5</v>
      </c>
      <c r="AO30" s="204">
        <f>((($W$25)^Q30)*((1-($W$25))^($U$33-Q30))*HLOOKUP($U$33,$AV$24:$BF$34,Q30+1))*V33</f>
        <v>1.9312931841318523E-3</v>
      </c>
      <c r="AP30" s="28">
        <v>5</v>
      </c>
      <c r="AQ30" s="204">
        <f>((($W$25)^Q30)*((1-($W$25))^($U$34-Q30))*HLOOKUP($U$34,$AV$24:$BF$34,Q30+1))*V34</f>
        <v>1.5955800052709442E-4</v>
      </c>
      <c r="AR30" s="28">
        <v>5</v>
      </c>
      <c r="AS30" s="204">
        <f>((($W$25)^Q30)*((1-($W$25))^($U$35-Q30))*HLOOKUP($U$35,$AV$24:$BF$34,Q30+1))*V35</f>
        <v>5.7555708705247987E-6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5.5661763442552098E-5</v>
      </c>
      <c r="BQ30" s="31">
        <f>BM10+1</f>
        <v>7</v>
      </c>
      <c r="BR30" s="31">
        <v>6</v>
      </c>
      <c r="BS30" s="107">
        <f t="shared" si="17"/>
        <v>7.0751568579736218E-4</v>
      </c>
    </row>
    <row r="31" spans="1:71" x14ac:dyDescent="0.25">
      <c r="A31" s="179" t="s">
        <v>120</v>
      </c>
      <c r="B31" s="60">
        <f>(B25*D25)+(B26*D26)+(B27*D27)+(B28*D28)+(B29*D29)+(B30*D30)/(B25+B26+B27+B28+B29+B30)</f>
        <v>0.75203820066476024</v>
      </c>
      <c r="C31" s="61">
        <f>(C25*E25)+(C26*E26)+(C27*E27)+(C28*E28)+(C29*E29)+(C30*E30)/(C25+C26+C27+C28+C29+C30)</f>
        <v>0.41741638389883096</v>
      </c>
      <c r="G31" s="87">
        <v>6</v>
      </c>
      <c r="H31" s="126">
        <f>J31*L25+J30*L26+J29*L27+J28*L28</f>
        <v>4.5601844852779655E-2</v>
      </c>
      <c r="I31" s="138">
        <v>6</v>
      </c>
      <c r="J31" s="86">
        <f t="shared" si="18"/>
        <v>3.4086569335534396E-2</v>
      </c>
      <c r="K31" s="138">
        <v>6</v>
      </c>
      <c r="L31" s="86"/>
      <c r="M31" s="85"/>
      <c r="N31" s="202"/>
      <c r="O31" s="202"/>
      <c r="P31" s="202"/>
      <c r="Q31" s="28">
        <v>6</v>
      </c>
      <c r="R31" s="202">
        <f>P26*N30+P27*N29+P28*N28+P29*N27+P30*N26</f>
        <v>0.10238667131574448</v>
      </c>
      <c r="S31" s="72">
        <v>6</v>
      </c>
      <c r="T31" s="203">
        <f t="shared" si="20"/>
        <v>0</v>
      </c>
      <c r="U31" s="138">
        <v>6</v>
      </c>
      <c r="V31" s="86">
        <f>T31*R25+T30*R26+T29*R27+T28*R28+T27*R29+T26*R30+T25*R31</f>
        <v>0.10373007696397975</v>
      </c>
      <c r="W31" s="205"/>
      <c r="X31" s="28">
        <v>6</v>
      </c>
      <c r="Y31" s="202"/>
      <c r="Z31" s="28">
        <v>6</v>
      </c>
      <c r="AA31" s="204"/>
      <c r="AB31" s="28">
        <v>6</v>
      </c>
      <c r="AC31" s="204"/>
      <c r="AD31" s="28">
        <v>6</v>
      </c>
      <c r="AE31" s="204"/>
      <c r="AF31" s="28">
        <v>6</v>
      </c>
      <c r="AG31" s="204"/>
      <c r="AH31" s="28">
        <v>6</v>
      </c>
      <c r="AI31" s="204"/>
      <c r="AJ31" s="28">
        <v>6</v>
      </c>
      <c r="AK31" s="204">
        <f>((($W$25)^Q31)*((1-($W$25))^($U$31-Q31))*HLOOKUP($U$31,$AV$24:$BF$34,Q31+1))*V31</f>
        <v>1.8764807348688732E-2</v>
      </c>
      <c r="AL31" s="28">
        <v>6</v>
      </c>
      <c r="AM31" s="204">
        <f>((($W$25)^Q31)*((1-($W$25))^($U$32-Q31))*HLOOKUP($U$32,$AV$24:$BF$34,Q31+1))*V32</f>
        <v>1.2055912395795397E-2</v>
      </c>
      <c r="AN31" s="28">
        <v>6</v>
      </c>
      <c r="AO31" s="204">
        <f>((($W$25)^Q31)*((1-($W$25))^($U$33-Q31))*HLOOKUP($U$33,$AV$24:$BF$34,Q31+1))*V33</f>
        <v>2.9286895300896882E-3</v>
      </c>
      <c r="AP31" s="28">
        <v>6</v>
      </c>
      <c r="AQ31" s="204">
        <f>((($W$25)^Q31)*((1-($W$25))^($U$34-Q31))*HLOOKUP($U$34,$AV$24:$BF$34,Q31+1))*V34</f>
        <v>3.2261343464935277E-4</v>
      </c>
      <c r="AR31" s="28">
        <v>6</v>
      </c>
      <c r="AS31" s="204">
        <f>((($W$25)^Q31)*((1-($W$25))^($U$35-Q31))*HLOOKUP($U$35,$AV$24:$BF$34,Q31+1))*V35</f>
        <v>1.4546626311230196E-5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4.9311037367788156E-2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8.6376609268429356E-5</v>
      </c>
    </row>
    <row r="32" spans="1:71" x14ac:dyDescent="0.25">
      <c r="A32" s="26" t="s">
        <v>121</v>
      </c>
      <c r="B32" s="206">
        <f>IF(B17&lt;&gt;"TL",0.001,IF(B18&lt;5,0.1,IF(B18&lt;10,0.2,IF(B18&lt;14,0.3,0.35))))</f>
        <v>1E-3</v>
      </c>
      <c r="C32" s="207">
        <f>IF(C17&lt;&gt;"TL",0.001,IF(C18&lt;5,0.1,IF(C18&lt;10,0.2,IF(C18&lt;14,0.3,0.35))))</f>
        <v>1E-3</v>
      </c>
      <c r="G32" s="87">
        <v>7</v>
      </c>
      <c r="H32" s="126">
        <f>J32*L25+J31*L26+J30*L27+J29*L28</f>
        <v>1.3185973050430348E-2</v>
      </c>
      <c r="I32" s="138">
        <v>7</v>
      </c>
      <c r="J32" s="86">
        <f t="shared" si="18"/>
        <v>8.2058093903048506E-3</v>
      </c>
      <c r="K32" s="138">
        <v>7</v>
      </c>
      <c r="L32" s="86"/>
      <c r="M32" s="85"/>
      <c r="N32" s="202"/>
      <c r="O32" s="202"/>
      <c r="P32" s="202"/>
      <c r="Q32" s="28">
        <v>7</v>
      </c>
      <c r="R32" s="202">
        <f>P27*N30+P28*N29+P29*N28+P30*N27</f>
        <v>3.7418915762326629E-2</v>
      </c>
      <c r="S32" s="72">
        <v>7</v>
      </c>
      <c r="T32" s="203">
        <f t="shared" si="20"/>
        <v>0</v>
      </c>
      <c r="U32" s="138">
        <v>7</v>
      </c>
      <c r="V32" s="86">
        <f>T32*R25+T31*R26+T30*R27+T29*R28+T28*R29+T27*R30+T26*R31+T25*R32</f>
        <v>3.8395281361012674E-2</v>
      </c>
      <c r="W32" s="205"/>
      <c r="X32" s="28">
        <v>7</v>
      </c>
      <c r="Y32" s="202"/>
      <c r="Z32" s="28">
        <v>7</v>
      </c>
      <c r="AA32" s="204"/>
      <c r="AB32" s="28">
        <v>7</v>
      </c>
      <c r="AC32" s="204"/>
      <c r="AD32" s="28">
        <v>7</v>
      </c>
      <c r="AE32" s="204"/>
      <c r="AF32" s="28">
        <v>7</v>
      </c>
      <c r="AG32" s="204"/>
      <c r="AH32" s="28">
        <v>7</v>
      </c>
      <c r="AI32" s="204"/>
      <c r="AJ32" s="28">
        <v>7</v>
      </c>
      <c r="AK32" s="204"/>
      <c r="AL32" s="28">
        <v>7</v>
      </c>
      <c r="AM32" s="204">
        <f>((($W$25)^Q32)*((1-($W$25))^($U$32-Q32))*HLOOKUP($U$32,$AV$24:$BF$34,Q32+1))*V32</f>
        <v>5.2234466817137181E-3</v>
      </c>
      <c r="AN32" s="28">
        <v>7</v>
      </c>
      <c r="AO32" s="204">
        <f>((($W$25)^Q32)*((1-($W$25))^($U$33-Q32))*HLOOKUP($U$33,$AV$24:$BF$34,Q32+1))*V33</f>
        <v>2.5378176458966221E-3</v>
      </c>
      <c r="AP32" s="28">
        <v>7</v>
      </c>
      <c r="AQ32" s="204">
        <f>((($W$25)^Q32)*((1-($W$25))^($U$34-Q32))*HLOOKUP($U$34,$AV$24:$BF$34,Q32+1))*V34</f>
        <v>4.1933468476839779E-4</v>
      </c>
      <c r="AR32" s="28">
        <v>7</v>
      </c>
      <c r="AS32" s="204">
        <f>((($W$25)^Q32)*((1-($W$25))^($U$35-Q32))*HLOOKUP($U$35,$AV$24:$BF$34,Q32+1))*V35</f>
        <v>2.5210377926111928E-5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2.9352385670081426E-2</v>
      </c>
      <c r="BQ32" s="31">
        <f t="shared" si="24"/>
        <v>8</v>
      </c>
      <c r="BR32" s="31">
        <v>1</v>
      </c>
      <c r="BS32" s="107">
        <f t="shared" si="25"/>
        <v>3.3616432371286843E-4</v>
      </c>
    </row>
    <row r="33" spans="1:71" x14ac:dyDescent="0.25">
      <c r="A33" s="26" t="s">
        <v>122</v>
      </c>
      <c r="B33" s="283">
        <f>IF(B17&lt;&gt;"CA",0.005,IF((B18-B16)&lt;0,0.1,0.1+0.055*(B18-B16)))</f>
        <v>5.0000000000000001E-3</v>
      </c>
      <c r="C33" s="284">
        <f>IF(C17&lt;&gt;"CA",0.005,IF((C18-C16)&lt;0,0.1,0.1+0.055*(C18-C16)))</f>
        <v>5.0000000000000001E-3</v>
      </c>
      <c r="G33" s="87">
        <v>8</v>
      </c>
      <c r="H33" s="126">
        <f>J33*L25+J32*L26+J31*L27+J30*L28</f>
        <v>2.7467788334369623E-3</v>
      </c>
      <c r="I33" s="138">
        <v>8</v>
      </c>
      <c r="J33" s="86">
        <f t="shared" si="18"/>
        <v>1.3087321960354955E-3</v>
      </c>
      <c r="K33" s="138">
        <v>8</v>
      </c>
      <c r="L33" s="86"/>
      <c r="M33" s="85"/>
      <c r="N33" s="202"/>
      <c r="O33" s="202"/>
      <c r="P33" s="202"/>
      <c r="Q33" s="28">
        <v>8</v>
      </c>
      <c r="R33" s="202">
        <f>P28*N30+P29*N29+P30*N28</f>
        <v>8.9744592776124354E-3</v>
      </c>
      <c r="S33" s="72">
        <v>8</v>
      </c>
      <c r="T33" s="203">
        <f t="shared" si="20"/>
        <v>0</v>
      </c>
      <c r="U33" s="138">
        <v>8</v>
      </c>
      <c r="V33" s="86">
        <f>T33*R25+T32*R26+T31*R27+T30*R28+T29*R29+T28*R30+T27*R31+T26*R32+T25*R33</f>
        <v>9.4038639007323586E-3</v>
      </c>
      <c r="W33" s="205"/>
      <c r="X33" s="28">
        <v>8</v>
      </c>
      <c r="Y33" s="202"/>
      <c r="Z33" s="28">
        <v>8</v>
      </c>
      <c r="AA33" s="204"/>
      <c r="AB33" s="28">
        <v>8</v>
      </c>
      <c r="AC33" s="204"/>
      <c r="AD33" s="28">
        <v>8</v>
      </c>
      <c r="AE33" s="204"/>
      <c r="AF33" s="28">
        <v>8</v>
      </c>
      <c r="AG33" s="204"/>
      <c r="AH33" s="28">
        <v>8</v>
      </c>
      <c r="AI33" s="204"/>
      <c r="AJ33" s="28">
        <v>8</v>
      </c>
      <c r="AK33" s="204"/>
      <c r="AL33" s="28">
        <v>8</v>
      </c>
      <c r="AM33" s="204"/>
      <c r="AN33" s="28">
        <v>8</v>
      </c>
      <c r="AO33" s="204">
        <f>((($W$25)^Q33)*((1-($W$25))^($U$33-Q33))*HLOOKUP($U$33,$AV$24:$BF$34,Q33+1))*V33</f>
        <v>9.6211181578773574E-4</v>
      </c>
      <c r="AP33" s="28">
        <v>8</v>
      </c>
      <c r="AQ33" s="204">
        <f>((($W$25)^Q33)*((1-($W$25))^($U$34-Q33))*HLOOKUP($U$34,$AV$24:$BF$34,Q33+1))*V34</f>
        <v>3.179478680334902E-4</v>
      </c>
      <c r="AR33" s="28">
        <v>8</v>
      </c>
      <c r="AS33" s="204">
        <f>((($W$25)^Q33)*((1-($W$25))^($U$35-Q33))*HLOOKUP($U$35,$AV$24:$BF$34,Q33+1))*V35</f>
        <v>2.8672512214269581E-5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1.3983028079409369E-2</v>
      </c>
      <c r="BQ33" s="31">
        <f t="shared" si="24"/>
        <v>8</v>
      </c>
      <c r="BR33" s="31">
        <v>2</v>
      </c>
      <c r="BS33" s="107">
        <f t="shared" si="25"/>
        <v>6.0198429908495847E-4</v>
      </c>
    </row>
    <row r="34" spans="1:71" x14ac:dyDescent="0.25">
      <c r="A34" s="40" t="s">
        <v>123</v>
      </c>
      <c r="B34" s="56">
        <f>B23*2</f>
        <v>3.9008274725592718</v>
      </c>
      <c r="C34" s="57">
        <f>C23*2</f>
        <v>6.0991725274407287</v>
      </c>
      <c r="G34" s="87">
        <v>9</v>
      </c>
      <c r="H34" s="126">
        <f>J34*L25+J33*L26+J32*L27+J31*L28</f>
        <v>4.0499178466972573E-4</v>
      </c>
      <c r="I34" s="138">
        <v>9</v>
      </c>
      <c r="J34" s="86">
        <f t="shared" si="18"/>
        <v>1.2646867036511267E-4</v>
      </c>
      <c r="K34" s="138">
        <v>9</v>
      </c>
      <c r="L34" s="86"/>
      <c r="M34" s="85"/>
      <c r="N34" s="202"/>
      <c r="O34" s="202"/>
      <c r="P34" s="202"/>
      <c r="Q34" s="28">
        <v>9</v>
      </c>
      <c r="R34" s="202">
        <f>P29*N30+P30*N29</f>
        <v>1.2755033442458953E-3</v>
      </c>
      <c r="S34" s="72">
        <v>9</v>
      </c>
      <c r="T34" s="203">
        <f t="shared" si="20"/>
        <v>0</v>
      </c>
      <c r="U34" s="138">
        <v>9</v>
      </c>
      <c r="V34" s="86">
        <f>T34*R25+T33*R26+T32*R27+T31*R28+T30*R29+T29*R30+T28*R31+T27*R32+T26*R33+T25*R34</f>
        <v>1.3925455680125593E-3</v>
      </c>
      <c r="W34" s="205"/>
      <c r="X34" s="28">
        <v>9</v>
      </c>
      <c r="Y34" s="202"/>
      <c r="Z34" s="28">
        <v>9</v>
      </c>
      <c r="AA34" s="204"/>
      <c r="AB34" s="28">
        <v>9</v>
      </c>
      <c r="AC34" s="204"/>
      <c r="AD34" s="28">
        <v>9</v>
      </c>
      <c r="AE34" s="204"/>
      <c r="AF34" s="28">
        <v>9</v>
      </c>
      <c r="AG34" s="204"/>
      <c r="AH34" s="28">
        <v>9</v>
      </c>
      <c r="AI34" s="204"/>
      <c r="AJ34" s="28">
        <v>9</v>
      </c>
      <c r="AK34" s="204"/>
      <c r="AL34" s="28">
        <v>9</v>
      </c>
      <c r="AM34" s="204"/>
      <c r="AN34" s="28">
        <v>9</v>
      </c>
      <c r="AO34" s="204"/>
      <c r="AP34" s="28">
        <v>9</v>
      </c>
      <c r="AQ34" s="204">
        <f>((($W$25)^Q34)*((1-($W$25))^($U$34-Q34))*HLOOKUP($U$34,$AV$24:$BF$34,Q34+1))*V34</f>
        <v>1.0714416639181663E-4</v>
      </c>
      <c r="AR34" s="28">
        <v>9</v>
      </c>
      <c r="AS34" s="204">
        <f>((($W$25)^Q34)*((1-($W$25))^($U$35-Q34))*HLOOKUP($U$35,$AV$24:$BF$34,Q34+1))*V35</f>
        <v>1.9324503973296055E-5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5.4044063876548601E-3</v>
      </c>
      <c r="BQ34" s="31">
        <f t="shared" si="24"/>
        <v>8</v>
      </c>
      <c r="BR34" s="31">
        <v>3</v>
      </c>
      <c r="BS34" s="107">
        <f t="shared" si="25"/>
        <v>6.6635658198550135E-4</v>
      </c>
    </row>
    <row r="35" spans="1:71" ht="15.75" thickBot="1" x14ac:dyDescent="0.3">
      <c r="G35" s="88">
        <v>10</v>
      </c>
      <c r="H35" s="127">
        <f>J35*L25+J34*L26+J33*L27+J32*L28</f>
        <v>4.0959141517707219E-5</v>
      </c>
      <c r="I35" s="94">
        <v>10</v>
      </c>
      <c r="J35" s="89">
        <f t="shared" si="18"/>
        <v>5.8608887480964537E-6</v>
      </c>
      <c r="K35" s="94">
        <v>10</v>
      </c>
      <c r="L35" s="89"/>
      <c r="M35" s="85"/>
      <c r="N35" s="202"/>
      <c r="O35" s="202"/>
      <c r="P35" s="202"/>
      <c r="Q35" s="28">
        <v>10</v>
      </c>
      <c r="R35" s="202">
        <f>P30*N30</f>
        <v>8.1576942842497184E-5</v>
      </c>
      <c r="S35" s="72">
        <v>10</v>
      </c>
      <c r="T35" s="203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1.0128950788879099E-4</v>
      </c>
      <c r="W35" s="205"/>
      <c r="X35" s="28">
        <v>10</v>
      </c>
      <c r="Y35" s="202"/>
      <c r="Z35" s="28">
        <v>10</v>
      </c>
      <c r="AA35" s="204"/>
      <c r="AB35" s="28">
        <v>10</v>
      </c>
      <c r="AC35" s="204"/>
      <c r="AD35" s="28">
        <v>10</v>
      </c>
      <c r="AE35" s="204"/>
      <c r="AF35" s="28">
        <v>10</v>
      </c>
      <c r="AG35" s="204"/>
      <c r="AH35" s="28">
        <v>10</v>
      </c>
      <c r="AI35" s="204"/>
      <c r="AJ35" s="28">
        <v>10</v>
      </c>
      <c r="AK35" s="204"/>
      <c r="AL35" s="28">
        <v>10</v>
      </c>
      <c r="AM35" s="204"/>
      <c r="AN35" s="28">
        <v>10</v>
      </c>
      <c r="AO35" s="204"/>
      <c r="AP35" s="28">
        <v>10</v>
      </c>
      <c r="AQ35" s="204"/>
      <c r="AR35" s="28">
        <v>10</v>
      </c>
      <c r="AS35" s="204">
        <f>((($W$25)^Q35)*((1-($W$25))^($U$35-Q35))*HLOOKUP($U$35,$AV$24:$BF$34,Q35+1))*V35</f>
        <v>5.8608887480964537E-6</v>
      </c>
      <c r="BI35" s="31">
        <f t="shared" si="22"/>
        <v>3</v>
      </c>
      <c r="BJ35" s="31">
        <v>8</v>
      </c>
      <c r="BK35" s="107">
        <f t="shared" si="23"/>
        <v>1.6633615017002501E-3</v>
      </c>
      <c r="BQ35" s="31">
        <f t="shared" si="24"/>
        <v>8</v>
      </c>
      <c r="BR35" s="31">
        <v>4</v>
      </c>
      <c r="BS35" s="107">
        <f t="shared" si="25"/>
        <v>5.1974520363585281E-4</v>
      </c>
    </row>
    <row r="36" spans="1:71" ht="15.75" x14ac:dyDescent="0.25">
      <c r="A36" s="109" t="s">
        <v>124</v>
      </c>
      <c r="B36" s="210">
        <f>SUM(BO4:BO14)</f>
        <v>0.18047897801100379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99">
        <f>SUM(V39:V49)</f>
        <v>1</v>
      </c>
      <c r="W36" s="158"/>
      <c r="X36" s="158"/>
      <c r="AS36" s="82">
        <f>Y37+AA37+AC37+AE37+AG37+AI37+AK37+AM37+AO37+AQ37+AS37</f>
        <v>0.99999999999999989</v>
      </c>
      <c r="BI36" s="31">
        <f t="shared" si="22"/>
        <v>3</v>
      </c>
      <c r="BJ36" s="31">
        <v>9</v>
      </c>
      <c r="BK36" s="107">
        <f t="shared" si="23"/>
        <v>3.9086565079066453E-4</v>
      </c>
      <c r="BQ36" s="31">
        <f t="shared" si="24"/>
        <v>8</v>
      </c>
      <c r="BR36" s="31">
        <v>5</v>
      </c>
      <c r="BS36" s="107">
        <f t="shared" si="25"/>
        <v>3.0937823419752679E-4</v>
      </c>
    </row>
    <row r="37" spans="1:71" ht="16.5" thickBot="1" x14ac:dyDescent="0.3">
      <c r="A37" s="110" t="s">
        <v>125</v>
      </c>
      <c r="B37" s="210">
        <f>SUM(BK4:BK59)</f>
        <v>0.40982121523244208</v>
      </c>
      <c r="G37" s="158"/>
      <c r="H37" s="257">
        <f>SUM(H39:H49)</f>
        <v>0.99997059481086503</v>
      </c>
      <c r="I37" s="258"/>
      <c r="J37" s="257">
        <f>SUM(J39:J49)</f>
        <v>0.99999999999999978</v>
      </c>
      <c r="K37" s="257"/>
      <c r="L37" s="257">
        <f>SUM(L39:L49)</f>
        <v>1</v>
      </c>
      <c r="M37" s="258"/>
      <c r="N37" s="259">
        <f>SUM(N39:N49)</f>
        <v>1</v>
      </c>
      <c r="O37" s="258"/>
      <c r="P37" s="259">
        <f>SUM(P39:P49)</f>
        <v>1</v>
      </c>
      <c r="Q37" s="258"/>
      <c r="R37" s="257">
        <f>SUM(R39:R49)</f>
        <v>0.99999999999999989</v>
      </c>
      <c r="S37" s="258"/>
      <c r="T37" s="257">
        <f>SUM(T39:T49)</f>
        <v>1.0050760126517704</v>
      </c>
      <c r="U37" s="258"/>
      <c r="V37" s="199">
        <f>SUM(V39:V48)</f>
        <v>0.99767806574090268</v>
      </c>
      <c r="W37" s="158"/>
      <c r="X37" s="158"/>
      <c r="Y37" s="196">
        <f>SUM(Y39:Y49)</f>
        <v>8.1576942842497184E-5</v>
      </c>
      <c r="Z37" s="81"/>
      <c r="AA37" s="196">
        <f>SUM(AA39:AA49)</f>
        <v>1.2759132786320385E-3</v>
      </c>
      <c r="AB37" s="81"/>
      <c r="AC37" s="196">
        <f>SUM(AC39:AC49)</f>
        <v>8.9808729620999631E-3</v>
      </c>
      <c r="AD37" s="81"/>
      <c r="AE37" s="196">
        <f>SUM(AE39:AE49)</f>
        <v>3.7464077996430221E-2</v>
      </c>
      <c r="AF37" s="81"/>
      <c r="AG37" s="196">
        <f>SUM(AG39:AG49)</f>
        <v>0.10257515979816138</v>
      </c>
      <c r="AH37" s="81"/>
      <c r="AI37" s="196">
        <f>SUM(AI39:AI49)</f>
        <v>0.19262147750147623</v>
      </c>
      <c r="AJ37" s="81"/>
      <c r="AK37" s="196">
        <f>SUM(AK39:AK49)</f>
        <v>0.25127683447995958</v>
      </c>
      <c r="AL37" s="81"/>
      <c r="AM37" s="196">
        <f>SUM(AM39:AM49)</f>
        <v>0.22490674766228544</v>
      </c>
      <c r="AN37" s="81"/>
      <c r="AO37" s="196">
        <f>SUM(AO39:AO49)</f>
        <v>0.13226389849573039</v>
      </c>
      <c r="AP37" s="81"/>
      <c r="AQ37" s="196">
        <f>SUM(AQ39:AQ49)</f>
        <v>4.623150662328477E-2</v>
      </c>
      <c r="AR37" s="81"/>
      <c r="AS37" s="196">
        <f>SUM(AS39:AS49)</f>
        <v>2.3219342590973246E-3</v>
      </c>
      <c r="BI37" s="31">
        <f t="shared" si="22"/>
        <v>3</v>
      </c>
      <c r="BJ37" s="31">
        <v>10</v>
      </c>
      <c r="BK37" s="107">
        <f t="shared" si="23"/>
        <v>6.5911024459511076E-5</v>
      </c>
      <c r="BQ37" s="31">
        <f t="shared" si="24"/>
        <v>8</v>
      </c>
      <c r="BR37" s="31">
        <v>6</v>
      </c>
      <c r="BS37" s="107">
        <f t="shared" si="25"/>
        <v>1.473830640059897E-4</v>
      </c>
    </row>
    <row r="38" spans="1:71" ht="16.5" thickBot="1" x14ac:dyDescent="0.3">
      <c r="A38" s="111" t="s">
        <v>126</v>
      </c>
      <c r="B38" s="210">
        <f>SUM(BS4:BS47)</f>
        <v>0.40962666200355735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2.3194473864878436E-2</v>
      </c>
      <c r="BQ38" s="31">
        <f>BM11+1</f>
        <v>8</v>
      </c>
      <c r="BR38" s="31">
        <v>7</v>
      </c>
      <c r="BS38" s="107">
        <f t="shared" si="25"/>
        <v>5.6963196242094647E-5</v>
      </c>
    </row>
    <row r="39" spans="1:71" x14ac:dyDescent="0.25">
      <c r="G39" s="128">
        <v>0</v>
      </c>
      <c r="H39" s="129">
        <f>L39*J39</f>
        <v>3.1446510442323779E-2</v>
      </c>
      <c r="I39" s="97">
        <v>0</v>
      </c>
      <c r="J39" s="98">
        <f t="shared" ref="J39:J49" si="29">Y39+AA39+AC39+AE39+AG39+AI39+AK39+AM39+AO39+AQ39+AS39</f>
        <v>5.3094065549796267E-2</v>
      </c>
      <c r="K39" s="102">
        <v>0</v>
      </c>
      <c r="L39" s="98">
        <f>AH18</f>
        <v>0.59227919573856114</v>
      </c>
      <c r="M39" s="85">
        <v>0</v>
      </c>
      <c r="N39" s="201">
        <f>(1-$C$24)^$B$21</f>
        <v>9.0319955072230406E-3</v>
      </c>
      <c r="O39" s="72">
        <v>0</v>
      </c>
      <c r="P39" s="201">
        <f t="shared" ref="P39:P44" si="30">N39</f>
        <v>9.0319955072230406E-3</v>
      </c>
      <c r="Q39" s="28">
        <v>0</v>
      </c>
      <c r="R39" s="202">
        <f>P39*N39</f>
        <v>8.1576942842497184E-5</v>
      </c>
      <c r="S39" s="72">
        <v>0</v>
      </c>
      <c r="T39" s="203">
        <f>(1-$C$33)^(INT(B23*2*(1-B31)))</f>
        <v>1</v>
      </c>
      <c r="U39" s="138">
        <v>0</v>
      </c>
      <c r="V39" s="86">
        <f>R39*T39</f>
        <v>8.1576942842497184E-5</v>
      </c>
      <c r="W39" s="134">
        <f>C31</f>
        <v>0.41741638389883096</v>
      </c>
      <c r="X39" s="28">
        <v>0</v>
      </c>
      <c r="Y39" s="204">
        <f>V39</f>
        <v>8.1576942842497184E-5</v>
      </c>
      <c r="Z39" s="28">
        <v>0</v>
      </c>
      <c r="AA39" s="204">
        <f>((1-W39)^Z40)*V40</f>
        <v>7.4332617169695146E-4</v>
      </c>
      <c r="AB39" s="28">
        <v>0</v>
      </c>
      <c r="AC39" s="204">
        <f>(((1-$W$39)^AB41))*V41</f>
        <v>3.0481412408909182E-3</v>
      </c>
      <c r="AD39" s="28">
        <v>0</v>
      </c>
      <c r="AE39" s="204">
        <f>(((1-$W$39)^AB42))*V42</f>
        <v>7.4078102522182887E-3</v>
      </c>
      <c r="AF39" s="28">
        <v>0</v>
      </c>
      <c r="AG39" s="204">
        <f>(((1-$W$39)^AB43))*V43</f>
        <v>1.1816130253295686E-2</v>
      </c>
      <c r="AH39" s="28">
        <v>0</v>
      </c>
      <c r="AI39" s="204">
        <f>(((1-$W$39)^AB44))*V44</f>
        <v>1.2926949260401374E-2</v>
      </c>
      <c r="AJ39" s="28">
        <v>0</v>
      </c>
      <c r="AK39" s="204">
        <f>(((1-$W$39)^AB45))*V45</f>
        <v>9.8243099012931389E-3</v>
      </c>
      <c r="AL39" s="28">
        <v>0</v>
      </c>
      <c r="AM39" s="204">
        <f>(((1-$W$39)^AB46))*V46</f>
        <v>5.1228348283177613E-3</v>
      </c>
      <c r="AN39" s="28">
        <v>0</v>
      </c>
      <c r="AO39" s="204">
        <f>(((1-$W$39)^AB47))*V47</f>
        <v>1.7551225836233331E-3</v>
      </c>
      <c r="AP39" s="28">
        <v>0</v>
      </c>
      <c r="AQ39" s="204">
        <f>(((1-$W$39)^AB48))*V48</f>
        <v>3.5740650168447131E-4</v>
      </c>
      <c r="AR39" s="28">
        <v>0</v>
      </c>
      <c r="AS39" s="204">
        <f>(((1-$W$39)^AB49))*V49</f>
        <v>1.0457613531840409E-5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1.1049492977680075E-2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1.2735578385671874E-5</v>
      </c>
    </row>
    <row r="40" spans="1:71" x14ac:dyDescent="0.25">
      <c r="G40" s="91">
        <v>1</v>
      </c>
      <c r="H40" s="130">
        <f>L39*J40+L40*J39</f>
        <v>0.12238492579769739</v>
      </c>
      <c r="I40" s="138">
        <v>1</v>
      </c>
      <c r="J40" s="86">
        <f t="shared" si="29"/>
        <v>0.1813657307886343</v>
      </c>
      <c r="K40" s="95">
        <v>1</v>
      </c>
      <c r="L40" s="86">
        <f>AI18</f>
        <v>0.28187286990920757</v>
      </c>
      <c r="M40" s="85">
        <v>1</v>
      </c>
      <c r="N40" s="201">
        <f>(($C$24)^M26)*((1-($C$24))^($B$21-M26))*HLOOKUP($B$21,$AV$24:$BF$34,M26+1)</f>
        <v>7.0610273401146714E-2</v>
      </c>
      <c r="O40" s="72">
        <v>1</v>
      </c>
      <c r="P40" s="201">
        <f t="shared" si="30"/>
        <v>7.0610273401146714E-2</v>
      </c>
      <c r="Q40" s="28">
        <v>1</v>
      </c>
      <c r="R40" s="202">
        <f>P40*N39+P39*N40</f>
        <v>1.2755033442458953E-3</v>
      </c>
      <c r="S40" s="72">
        <v>1</v>
      </c>
      <c r="T40" s="203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1.2759132786320385E-3</v>
      </c>
      <c r="W40" s="205"/>
      <c r="X40" s="28">
        <v>1</v>
      </c>
      <c r="Y40" s="202"/>
      <c r="Z40" s="28">
        <v>1</v>
      </c>
      <c r="AA40" s="204">
        <f>(1-((1-W39)^Z40))*V40</f>
        <v>5.3258710693508703E-4</v>
      </c>
      <c r="AB40" s="28">
        <v>1</v>
      </c>
      <c r="AC40" s="204">
        <f>((($W$39)^M40)*((1-($W$39))^($U$27-M40))*HLOOKUP($U$27,$AV$24:$BF$34,M40+1))*V41</f>
        <v>4.3679364102289916E-3</v>
      </c>
      <c r="AD40" s="28">
        <v>1</v>
      </c>
      <c r="AE40" s="204">
        <f>((($W$39)^M40)*((1-($W$39))^($U$28-M40))*HLOOKUP($U$28,$AV$24:$BF$34,M40+1))*V42</f>
        <v>1.5922905910656485E-2</v>
      </c>
      <c r="AF40" s="28">
        <v>1</v>
      </c>
      <c r="AG40" s="204">
        <f>((($W$39)^M40)*((1-($W$39))^($U$29-M40))*HLOOKUP($U$29,$AV$24:$BF$34,M40+1))*V43</f>
        <v>3.3864641748879869E-2</v>
      </c>
      <c r="AH40" s="28">
        <v>1</v>
      </c>
      <c r="AI40" s="204">
        <f>((($W$39)^M40)*((1-($W$39))^($U$30-M40))*HLOOKUP($U$30,$AV$24:$BF$34,M40+1))*V44</f>
        <v>4.6310265736887589E-2</v>
      </c>
      <c r="AJ40" s="28">
        <v>1</v>
      </c>
      <c r="AK40" s="204">
        <f>((($W$39)^M40)*((1-($W$39))^($U$31-M40))*HLOOKUP($U$31,$AV$24:$BF$34,M40+1))*V45</f>
        <v>4.2234224924586249E-2</v>
      </c>
      <c r="AL40" s="28">
        <v>1</v>
      </c>
      <c r="AM40" s="204">
        <f>((($W$39)^Q40)*((1-($W$39))^($U$32-Q40))*HLOOKUP($U$32,$AV$24:$BF$34,Q40+1))*V46</f>
        <v>2.5693284039818166E-2</v>
      </c>
      <c r="AN40" s="28">
        <v>1</v>
      </c>
      <c r="AO40" s="204">
        <f>((($W$39)^Q40)*((1-($W$39))^($U$33-Q40))*HLOOKUP($U$33,$AV$24:$BF$34,Q40+1))*V47</f>
        <v>1.006024751685433E-2</v>
      </c>
      <c r="AP40" s="28">
        <v>1</v>
      </c>
      <c r="AQ40" s="204">
        <f>((($W$39)^Q40)*((1-($W$39))^($U$34-Q40))*HLOOKUP($U$34,$AV$24:$BF$34,Q40+1))*V48</f>
        <v>2.3047094503296259E-3</v>
      </c>
      <c r="AR40" s="28">
        <v>1</v>
      </c>
      <c r="AS40" s="204">
        <f>((($W$39)^Q40)*((1-($W$39))^($U$35-Q40))*HLOOKUP($U$35,$AV$24:$BF$34,Q40+1))*V49</f>
        <v>7.4927943457892698E-5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4.2706021964481434E-3</v>
      </c>
      <c r="BQ40" s="31">
        <f t="shared" si="31"/>
        <v>9</v>
      </c>
      <c r="BR40" s="31">
        <v>1</v>
      </c>
      <c r="BS40" s="107">
        <f t="shared" si="32"/>
        <v>4.9564889515481423E-5</v>
      </c>
    </row>
    <row r="41" spans="1:71" x14ac:dyDescent="0.25">
      <c r="G41" s="91">
        <v>2</v>
      </c>
      <c r="H41" s="130">
        <f>L39*J41+J40*L40+J39*L41</f>
        <v>0.21916009099710204</v>
      </c>
      <c r="I41" s="138">
        <v>2</v>
      </c>
      <c r="J41" s="86">
        <f t="shared" si="29"/>
        <v>0.27868425933517826</v>
      </c>
      <c r="K41" s="95">
        <v>2</v>
      </c>
      <c r="L41" s="86">
        <f>AJ18</f>
        <v>5.6110281660365344E-2</v>
      </c>
      <c r="M41" s="85">
        <v>2</v>
      </c>
      <c r="N41" s="201">
        <f>(($C$24)^M27)*((1-($C$24))^($B$21-M27))*HLOOKUP($B$21,$AV$24:$BF$34,M27+1)</f>
        <v>0.22080660716881217</v>
      </c>
      <c r="O41" s="72">
        <v>2</v>
      </c>
      <c r="P41" s="201">
        <f t="shared" si="30"/>
        <v>0.22080660716881217</v>
      </c>
      <c r="Q41" s="28">
        <v>2</v>
      </c>
      <c r="R41" s="202">
        <f>P41*N39+P40*N40+P39*N41</f>
        <v>8.9744592776124354E-3</v>
      </c>
      <c r="S41" s="72">
        <v>2</v>
      </c>
      <c r="T41" s="203">
        <f t="shared" si="33"/>
        <v>5.0503775157192999E-5</v>
      </c>
      <c r="U41" s="138">
        <v>2</v>
      </c>
      <c r="V41" s="86">
        <f>R41*T39+T40*R40+R39*T41</f>
        <v>8.9808729620999631E-3</v>
      </c>
      <c r="W41" s="205"/>
      <c r="X41" s="28">
        <v>2</v>
      </c>
      <c r="Y41" s="202"/>
      <c r="Z41" s="28">
        <v>2</v>
      </c>
      <c r="AA41" s="204"/>
      <c r="AB41" s="28">
        <v>2</v>
      </c>
      <c r="AC41" s="204">
        <f>((($W$39)^M41)*((1-($W$39))^($U$27-M41))*HLOOKUP($U$27,$AV$24:$BF$34,M41+1))*V41</f>
        <v>1.5647953109800537E-3</v>
      </c>
      <c r="AD41" s="28">
        <v>2</v>
      </c>
      <c r="AE41" s="204">
        <f>((($W$39)^M41)*((1-($W$39))^($U$28-M41))*HLOOKUP($U$28,$AV$24:$BF$34,M41+1))*V42</f>
        <v>1.1408631521201846E-2</v>
      </c>
      <c r="AF41" s="28">
        <v>2</v>
      </c>
      <c r="AG41" s="204">
        <f>((($W$39)^M41)*((1-($W$39))^($U$29-M41))*HLOOKUP($U$29,$AV$24:$BF$34,M41+1))*V43</f>
        <v>3.6395607197419223E-2</v>
      </c>
      <c r="AH41" s="28">
        <v>2</v>
      </c>
      <c r="AI41" s="204">
        <f>((($W$39)^M41)*((1-($W$39))^($U$30-M41))*HLOOKUP($U$30,$AV$24:$BF$34,M41+1))*V44</f>
        <v>6.6361851336130498E-2</v>
      </c>
      <c r="AJ41" s="28">
        <v>2</v>
      </c>
      <c r="AK41" s="204">
        <f>((($W$39)^M41)*((1-($W$39))^($U$31-M41))*HLOOKUP($U$31,$AV$24:$BF$34,M41+1))*V45</f>
        <v>7.5651189621376347E-2</v>
      </c>
      <c r="AL41" s="28">
        <v>2</v>
      </c>
      <c r="AM41" s="204">
        <f>((($W$39)^Q41)*((1-($W$39))^($U$32-Q41))*HLOOKUP($U$32,$AV$24:$BF$34,Q41+1))*V46</f>
        <v>5.5227082008382576E-2</v>
      </c>
      <c r="AN41" s="28">
        <v>2</v>
      </c>
      <c r="AO41" s="204">
        <f>((($W$39)^Q41)*((1-($W$39))^($U$33-Q41))*HLOOKUP($U$33,$AV$24:$BF$34,Q41+1))*V47</f>
        <v>2.5228296990232428E-2</v>
      </c>
      <c r="AP41" s="28">
        <v>2</v>
      </c>
      <c r="AQ41" s="204">
        <f>((($W$39)^Q41)*((1-($W$39))^($U$34-Q41))*HLOOKUP($U$34,$AV$24:$BF$34,Q41+1))*V48</f>
        <v>6.6052216925166253E-3</v>
      </c>
      <c r="AR41" s="28">
        <v>2</v>
      </c>
      <c r="AS41" s="204">
        <f>((($W$39)^Q41)*((1-($W$39))^($U$35-Q41))*HLOOKUP($U$35,$AV$24:$BF$34,Q41+1))*V49</f>
        <v>2.4158365693865058E-4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1.3144006525628474E-3</v>
      </c>
      <c r="BQ41" s="31">
        <f t="shared" si="31"/>
        <v>9</v>
      </c>
      <c r="BR41" s="31">
        <v>2</v>
      </c>
      <c r="BS41" s="107">
        <f t="shared" si="32"/>
        <v>8.875803638129585E-5</v>
      </c>
    </row>
    <row r="42" spans="1:71" ht="15" customHeight="1" x14ac:dyDescent="0.25">
      <c r="G42" s="91">
        <v>3</v>
      </c>
      <c r="H42" s="130">
        <f>J42*L39+J41*L40+L42*J39+L41*J40</f>
        <v>0.24259564471439779</v>
      </c>
      <c r="I42" s="138">
        <v>3</v>
      </c>
      <c r="J42" s="86">
        <f t="shared" si="29"/>
        <v>0.25353410363911172</v>
      </c>
      <c r="K42" s="95">
        <v>3</v>
      </c>
      <c r="L42" s="86">
        <f>AK18</f>
        <v>6.9737652691865951E-2</v>
      </c>
      <c r="M42" s="85">
        <v>3</v>
      </c>
      <c r="N42" s="201">
        <f>(($C$24)^M28)*((1-($C$24))^($B$21-M28))*HLOOKUP($B$21,$AV$24:$BF$34,M28+1)</f>
        <v>0.34524408008176855</v>
      </c>
      <c r="O42" s="72">
        <v>3</v>
      </c>
      <c r="P42" s="201">
        <f t="shared" si="30"/>
        <v>0.34524408008176855</v>
      </c>
      <c r="Q42" s="28">
        <v>3</v>
      </c>
      <c r="R42" s="202">
        <f>P42*N39+P41*N40+P40*N41+P39*N42</f>
        <v>3.7418915762326629E-2</v>
      </c>
      <c r="S42" s="72">
        <v>3</v>
      </c>
      <c r="T42" s="203">
        <f t="shared" si="33"/>
        <v>3.8068172229039952E-7</v>
      </c>
      <c r="U42" s="138">
        <v>3</v>
      </c>
      <c r="V42" s="86">
        <f>R42*T39+R41*T40+R40*T41+R39*T42</f>
        <v>3.7464077996430228E-2</v>
      </c>
      <c r="W42" s="205"/>
      <c r="X42" s="28">
        <v>3</v>
      </c>
      <c r="Y42" s="202"/>
      <c r="Z42" s="28">
        <v>3</v>
      </c>
      <c r="AA42" s="204"/>
      <c r="AB42" s="28">
        <v>3</v>
      </c>
      <c r="AC42" s="204"/>
      <c r="AD42" s="28">
        <v>3</v>
      </c>
      <c r="AE42" s="204">
        <f>((($W$39)^M42)*((1-($W$39))^($U$28-M42))*HLOOKUP($U$28,$AV$24:$BF$34,M42+1))*V42</f>
        <v>2.7247303123536055E-3</v>
      </c>
      <c r="AF42" s="28">
        <v>3</v>
      </c>
      <c r="AG42" s="204">
        <f>((($W$39)^M42)*((1-($W$39))^($U$29-M42))*HLOOKUP($U$29,$AV$24:$BF$34,M42+1))*V43</f>
        <v>1.7384769414811686E-2</v>
      </c>
      <c r="AH42" s="28">
        <v>3</v>
      </c>
      <c r="AI42" s="204">
        <f>((($W$39)^M42)*((1-($W$39))^($U$30-M42))*HLOOKUP($U$30,$AV$24:$BF$34,M42+1))*V44</f>
        <v>4.7547722332014625E-2</v>
      </c>
      <c r="AJ42" s="28">
        <v>3</v>
      </c>
      <c r="AK42" s="204">
        <f>((($W$39)^M42)*((1-($W$39))^($U$31-M42))*HLOOKUP($U$31,$AV$24:$BF$34,M42+1))*V45</f>
        <v>7.2271276057572206E-2</v>
      </c>
      <c r="AL42" s="28">
        <v>3</v>
      </c>
      <c r="AM42" s="204">
        <f>((($W$39)^Q42)*((1-($W$39))^($U$32-Q42))*HLOOKUP($U$32,$AV$24:$BF$34,Q42+1))*V46</f>
        <v>6.5949585684938555E-2</v>
      </c>
      <c r="AN42" s="28">
        <v>3</v>
      </c>
      <c r="AO42" s="204">
        <f>((($W$39)^Q42)*((1-($W$39))^($U$33-Q42))*HLOOKUP($U$33,$AV$24:$BF$34,Q42+1))*V47</f>
        <v>3.6151735855750058E-2</v>
      </c>
      <c r="AP42" s="28">
        <v>3</v>
      </c>
      <c r="AQ42" s="204">
        <f>((($W$39)^Q42)*((1-($W$39))^($U$34-Q42))*HLOOKUP($U$34,$AV$24:$BF$34,Q42+1))*V48</f>
        <v>1.1042703423612528E-2</v>
      </c>
      <c r="AR42" s="28">
        <v>3</v>
      </c>
      <c r="AS42" s="204">
        <f>((($W$39)^Q42)*((1-($W$39))^($U$35-Q42))*HLOOKUP($U$35,$AV$24:$BF$34,Q42+1))*V49</f>
        <v>4.6158055805847059E-4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3.0886494964474284E-4</v>
      </c>
      <c r="BQ42" s="31">
        <f t="shared" si="31"/>
        <v>9</v>
      </c>
      <c r="BR42" s="31">
        <v>3</v>
      </c>
      <c r="BS42" s="107">
        <f t="shared" si="32"/>
        <v>9.8249243105986677E-5</v>
      </c>
    </row>
    <row r="43" spans="1:71" ht="15" customHeight="1" x14ac:dyDescent="0.25">
      <c r="G43" s="91">
        <v>4</v>
      </c>
      <c r="H43" s="130">
        <f>J43*L39+J42*L40+J41*L41+J40*L42</f>
        <v>0.18921989543130094</v>
      </c>
      <c r="I43" s="138">
        <v>4</v>
      </c>
      <c r="J43" s="86">
        <f t="shared" si="29"/>
        <v>0.15106125292408201</v>
      </c>
      <c r="K43" s="95">
        <v>4</v>
      </c>
      <c r="L43" s="86"/>
      <c r="M43" s="85">
        <v>4</v>
      </c>
      <c r="N43" s="201">
        <f>(($C$24)^M29)*((1-($C$24))^($B$21-M29))*HLOOKUP($B$21,$AV$24:$BF$34,M29+1)</f>
        <v>0.26990468346896029</v>
      </c>
      <c r="O43" s="72">
        <v>4</v>
      </c>
      <c r="P43" s="201">
        <f t="shared" si="30"/>
        <v>0.26990468346896029</v>
      </c>
      <c r="Q43" s="28">
        <v>4</v>
      </c>
      <c r="R43" s="202">
        <f>P43*N39+P42*N40+P41*N41+P40*N42+P39*N43</f>
        <v>0.10238667131574448</v>
      </c>
      <c r="S43" s="72">
        <v>4</v>
      </c>
      <c r="T43" s="203">
        <f t="shared" si="33"/>
        <v>2.5506313051283046E-9</v>
      </c>
      <c r="U43" s="138">
        <v>4</v>
      </c>
      <c r="V43" s="86">
        <f>T43*R39+T42*R40+T41*R41+T40*R42+T39*R43</f>
        <v>0.10257515979816138</v>
      </c>
      <c r="W43" s="205"/>
      <c r="X43" s="28">
        <v>4</v>
      </c>
      <c r="Y43" s="202"/>
      <c r="Z43" s="28">
        <v>4</v>
      </c>
      <c r="AA43" s="204"/>
      <c r="AB43" s="28">
        <v>4</v>
      </c>
      <c r="AC43" s="204"/>
      <c r="AD43" s="28">
        <v>4</v>
      </c>
      <c r="AE43" s="204"/>
      <c r="AF43" s="28">
        <v>4</v>
      </c>
      <c r="AG43" s="204">
        <f>((($W$39)^M43)*((1-($W$39))^($U$29-M43))*HLOOKUP($U$29,$AV$24:$BF$34,M43+1))*V43</f>
        <v>3.1140111837549187E-3</v>
      </c>
      <c r="AH43" s="28">
        <v>4</v>
      </c>
      <c r="AI43" s="204">
        <f>((($W$39)^M43)*((1-($W$39))^($U$30-M43))*HLOOKUP($U$30,$AV$24:$BF$34,M43+1))*V44</f>
        <v>1.703377658582202E-2</v>
      </c>
      <c r="AJ43" s="28">
        <v>4</v>
      </c>
      <c r="AK43" s="204">
        <f>((($W$39)^M43)*((1-($W$39))^($U$31-M43))*HLOOKUP($U$31,$AV$24:$BF$34,M43+1))*V45</f>
        <v>3.8836332516859556E-2</v>
      </c>
      <c r="AL43" s="28">
        <v>4</v>
      </c>
      <c r="AM43" s="204">
        <f>((($W$39)^Q43)*((1-($W$39))^($U$32-Q43))*HLOOKUP($U$32,$AV$24:$BF$34,Q43+1))*V46</f>
        <v>4.7252337373409219E-2</v>
      </c>
      <c r="AN43" s="28">
        <v>4</v>
      </c>
      <c r="AO43" s="204">
        <f>((($W$39)^Q43)*((1-($W$39))^($U$33-Q43))*HLOOKUP($U$33,$AV$24:$BF$34,Q43+1))*V47</f>
        <v>3.2378027881993281E-2</v>
      </c>
      <c r="AP43" s="28">
        <v>4</v>
      </c>
      <c r="AQ43" s="204">
        <f>((($W$39)^Q43)*((1-($W$39))^($U$34-Q43))*HLOOKUP($U$34,$AV$24:$BF$34,Q43+1))*V48</f>
        <v>1.1868009683483265E-2</v>
      </c>
      <c r="AR43" s="28">
        <v>4</v>
      </c>
      <c r="AS43" s="204">
        <f>((($W$39)^Q43)*((1-($W$39))^($U$35-Q43))*HLOOKUP($U$35,$AV$24:$BF$34,Q43+1))*V49</f>
        <v>5.7875769875975563E-4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5.2083382639379589E-5</v>
      </c>
      <c r="BQ43" s="31">
        <f t="shared" si="31"/>
        <v>9</v>
      </c>
      <c r="BR43" s="31">
        <v>4</v>
      </c>
      <c r="BS43" s="107">
        <f t="shared" si="32"/>
        <v>7.6632503145741455E-5</v>
      </c>
    </row>
    <row r="44" spans="1:71" ht="15" customHeight="1" thickBot="1" x14ac:dyDescent="0.3">
      <c r="G44" s="91">
        <v>5</v>
      </c>
      <c r="H44" s="130">
        <f>J44*L39+J43*L40+J42*L41+J41*L42</f>
        <v>0.11263310698022637</v>
      </c>
      <c r="I44" s="138">
        <v>5</v>
      </c>
      <c r="J44" s="86">
        <f t="shared" si="29"/>
        <v>6.1444640119679879E-2</v>
      </c>
      <c r="K44" s="95">
        <v>5</v>
      </c>
      <c r="L44" s="86"/>
      <c r="M44" s="85">
        <v>5</v>
      </c>
      <c r="N44" s="201">
        <f>(($C$24)^M30)*((1-($C$24))^($B$21-M30))*HLOOKUP($B$21,$AV$24:$BF$34,M30+1)</f>
        <v>8.440236037208923E-2</v>
      </c>
      <c r="O44" s="72">
        <v>5</v>
      </c>
      <c r="P44" s="201">
        <f t="shared" si="30"/>
        <v>8.440236037208923E-2</v>
      </c>
      <c r="Q44" s="28">
        <v>5</v>
      </c>
      <c r="R44" s="202">
        <f>P44*N39+P43*N40+P42*N41+P41*N42+P40*N43+P39*N44</f>
        <v>0.19210507839929192</v>
      </c>
      <c r="S44" s="72">
        <v>5</v>
      </c>
      <c r="T44" s="203">
        <f t="shared" si="33"/>
        <v>1.6021553424172769E-11</v>
      </c>
      <c r="U44" s="138">
        <v>5</v>
      </c>
      <c r="V44" s="86">
        <f>T44*R39+T43*R40+T42*R41+T41*R42+T40*R43+T39*R44</f>
        <v>0.19262147750147623</v>
      </c>
      <c r="W44" s="205"/>
      <c r="X44" s="28">
        <v>5</v>
      </c>
      <c r="Y44" s="202"/>
      <c r="Z44" s="28">
        <v>5</v>
      </c>
      <c r="AA44" s="204"/>
      <c r="AB44" s="28">
        <v>5</v>
      </c>
      <c r="AC44" s="204"/>
      <c r="AD44" s="28">
        <v>5</v>
      </c>
      <c r="AE44" s="204"/>
      <c r="AF44" s="28">
        <v>5</v>
      </c>
      <c r="AG44" s="204"/>
      <c r="AH44" s="28">
        <v>5</v>
      </c>
      <c r="AI44" s="204">
        <f>((($W$39)^M44)*((1-($W$39))^($U$30-M44))*HLOOKUP($U$30,$AV$24:$BF$34,M44+1))*V44</f>
        <v>2.4409122502201228E-3</v>
      </c>
      <c r="AJ44" s="28">
        <v>5</v>
      </c>
      <c r="AK44" s="204">
        <f>((($W$39)^M44)*((1-($W$39))^($U$31-M44))*HLOOKUP($U$31,$AV$24:$BF$34,M44+1))*V45</f>
        <v>1.1130365520107577E-2</v>
      </c>
      <c r="AL44" s="28">
        <v>5</v>
      </c>
      <c r="AM44" s="204">
        <f>((($W$39)^Q44)*((1-($W$39))^($U$32-Q44))*HLOOKUP($U$32,$AV$24:$BF$34,Q44+1))*V46</f>
        <v>2.0313547362530934E-2</v>
      </c>
      <c r="AN44" s="28">
        <v>5</v>
      </c>
      <c r="AO44" s="204">
        <f>((($W$39)^Q44)*((1-($W$39))^($U$33-Q44))*HLOOKUP($U$33,$AV$24:$BF$34,Q44+1))*V47</f>
        <v>1.8558873188675711E-2</v>
      </c>
      <c r="AP44" s="28">
        <v>5</v>
      </c>
      <c r="AQ44" s="204">
        <f>((($W$39)^Q44)*((1-($W$39))^($U$34-Q44))*HLOOKUP($U$34,$AV$24:$BF$34,Q44+1))*V48</f>
        <v>8.5033316235512205E-3</v>
      </c>
      <c r="AR44" s="28">
        <v>5</v>
      </c>
      <c r="AS44" s="204">
        <f>((($W$39)^Q44)*((1-($W$39))^($U$35-Q44))*HLOOKUP($U$35,$AV$24:$BF$34,Q44+1))*V49</f>
        <v>4.9761017459431036E-4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6.1309649002699229E-3</v>
      </c>
      <c r="BQ44" s="31">
        <f t="shared" si="31"/>
        <v>9</v>
      </c>
      <c r="BR44" s="31">
        <v>5</v>
      </c>
      <c r="BS44" s="107">
        <f t="shared" si="32"/>
        <v>4.5615483008818017E-5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5.3656691325807859E-2</v>
      </c>
      <c r="I45" s="138">
        <v>6</v>
      </c>
      <c r="J45" s="86">
        <f t="shared" si="29"/>
        <v>1.7188095805686622E-2</v>
      </c>
      <c r="K45" s="95">
        <v>6</v>
      </c>
      <c r="L45" s="86"/>
      <c r="M45" s="85"/>
      <c r="N45" s="202"/>
      <c r="O45" s="202"/>
      <c r="P45" s="202"/>
      <c r="Q45" s="28">
        <v>6</v>
      </c>
      <c r="R45" s="202">
        <f>P44*N40+P43*N41+P42*N42+P41*N43+P40*N44</f>
        <v>0.25030629714616387</v>
      </c>
      <c r="S45" s="72">
        <v>6</v>
      </c>
      <c r="T45" s="203">
        <f t="shared" si="33"/>
        <v>9.6612382457323207E-14</v>
      </c>
      <c r="U45" s="138">
        <v>6</v>
      </c>
      <c r="V45" s="86">
        <f>T45*R39+T44*R40+T43*R41+T42*R42+T41*R43+T40*R44+T39*R45</f>
        <v>0.25127683447995963</v>
      </c>
      <c r="W45" s="205"/>
      <c r="X45" s="28">
        <v>6</v>
      </c>
      <c r="Y45" s="202"/>
      <c r="Z45" s="28">
        <v>6</v>
      </c>
      <c r="AA45" s="204"/>
      <c r="AB45" s="28">
        <v>6</v>
      </c>
      <c r="AC45" s="204"/>
      <c r="AD45" s="28">
        <v>6</v>
      </c>
      <c r="AE45" s="204"/>
      <c r="AF45" s="28">
        <v>6</v>
      </c>
      <c r="AG45" s="204"/>
      <c r="AH45" s="28">
        <v>6</v>
      </c>
      <c r="AI45" s="204"/>
      <c r="AJ45" s="28">
        <v>6</v>
      </c>
      <c r="AK45" s="204">
        <f>((($W$39)^Q45)*((1-($W$39))^($U$31-Q45))*HLOOKUP($U$31,$AV$24:$BF$34,Q45+1))*V45</f>
        <v>1.3291359381645486E-3</v>
      </c>
      <c r="AL45" s="28">
        <v>6</v>
      </c>
      <c r="AM45" s="204">
        <f>((($W$39)^Q45)*((1-($W$39))^($U$32-Q45))*HLOOKUP($U$32,$AV$24:$BF$34,Q45+1))*V46</f>
        <v>4.851496706441783E-3</v>
      </c>
      <c r="AN45" s="28">
        <v>6</v>
      </c>
      <c r="AO45" s="204">
        <f>((($W$39)^Q45)*((1-($W$39))^($U$33-Q45))*HLOOKUP($U$33,$AV$24:$BF$34,Q45+1))*V47</f>
        <v>6.6486402308202812E-3</v>
      </c>
      <c r="AP45" s="28">
        <v>6</v>
      </c>
      <c r="AQ45" s="204">
        <f>((($W$39)^Q45)*((1-($W$39))^($U$34-Q45))*HLOOKUP($U$34,$AV$24:$BF$34,Q45+1))*V48</f>
        <v>4.0617115887435079E-3</v>
      </c>
      <c r="AR45" s="28">
        <v>6</v>
      </c>
      <c r="AS45" s="204">
        <f>((($W$39)^Q45)*((1-($W$39))^($U$35-Q45))*HLOOKUP($U$35,$AV$24:$BF$34,Q45+1))*V49</f>
        <v>2.9711134151650081E-4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2.3696030417258568E-3</v>
      </c>
      <c r="BQ45" s="31">
        <f t="shared" si="31"/>
        <v>9</v>
      </c>
      <c r="BR45" s="31">
        <v>6</v>
      </c>
      <c r="BS45" s="107">
        <f t="shared" si="32"/>
        <v>2.1730519179511516E-5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2.073818086431746E-2</v>
      </c>
      <c r="I46" s="138">
        <v>7</v>
      </c>
      <c r="J46" s="86">
        <f t="shared" si="29"/>
        <v>3.2265015043427591E-3</v>
      </c>
      <c r="K46" s="95">
        <v>7</v>
      </c>
      <c r="L46" s="86"/>
      <c r="M46" s="85"/>
      <c r="N46" s="202"/>
      <c r="O46" s="202"/>
      <c r="P46" s="202"/>
      <c r="Q46" s="28">
        <v>7</v>
      </c>
      <c r="R46" s="202">
        <f>P44*N41+P43*N42+P42*N43+P41*N44</f>
        <v>0.22363918596960508</v>
      </c>
      <c r="S46" s="72">
        <v>7</v>
      </c>
      <c r="T46" s="203">
        <f t="shared" si="33"/>
        <v>5.6640425226236405E-16</v>
      </c>
      <c r="U46" s="138">
        <v>7</v>
      </c>
      <c r="V46" s="86">
        <f>T46*R39+T45*R40+T44*R41+T43*R42+T42*R43+T41*R44+T40*R45+T39*R46</f>
        <v>0.22490674766228544</v>
      </c>
      <c r="W46" s="205"/>
      <c r="X46" s="28">
        <v>7</v>
      </c>
      <c r="Y46" s="202"/>
      <c r="Z46" s="28">
        <v>7</v>
      </c>
      <c r="AA46" s="204"/>
      <c r="AB46" s="28">
        <v>7</v>
      </c>
      <c r="AC46" s="204"/>
      <c r="AD46" s="28">
        <v>7</v>
      </c>
      <c r="AE46" s="204"/>
      <c r="AF46" s="28">
        <v>7</v>
      </c>
      <c r="AG46" s="204"/>
      <c r="AH46" s="28">
        <v>7</v>
      </c>
      <c r="AI46" s="204"/>
      <c r="AJ46" s="28">
        <v>7</v>
      </c>
      <c r="AK46" s="204"/>
      <c r="AL46" s="28">
        <v>7</v>
      </c>
      <c r="AM46" s="204">
        <f>((($W$39)^Q46)*((1-($W$39))^($U$32-Q46))*HLOOKUP($U$32,$AV$24:$BF$34,Q46+1))*V46</f>
        <v>4.9657965844642632E-4</v>
      </c>
      <c r="AN46" s="28">
        <v>7</v>
      </c>
      <c r="AO46" s="204">
        <f>((($W$39)^Q46)*((1-($W$39))^($U$33-Q46))*HLOOKUP($U$33,$AV$24:$BF$34,Q46+1))*V47</f>
        <v>1.3610560594919463E-3</v>
      </c>
      <c r="AP46" s="28">
        <v>7</v>
      </c>
      <c r="AQ46" s="204">
        <f>((($W$39)^Q46)*((1-($W$39))^($U$34-Q46))*HLOOKUP($U$34,$AV$24:$BF$34,Q46+1))*V48</f>
        <v>1.2472213064277872E-3</v>
      </c>
      <c r="AR46" s="28">
        <v>7</v>
      </c>
      <c r="AS46" s="204">
        <f>((($W$39)^Q46)*((1-($W$39))^($U$35-Q46))*HLOOKUP($U$35,$AV$24:$BF$34,Q46+1))*V49</f>
        <v>1.2164447997659909E-4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7.2931348814220904E-4</v>
      </c>
      <c r="BQ46" s="31">
        <f t="shared" si="31"/>
        <v>9</v>
      </c>
      <c r="BR46" s="31">
        <v>7</v>
      </c>
      <c r="BS46" s="107">
        <f t="shared" si="32"/>
        <v>8.3987928790434842E-6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6.3827716109208007E-3</v>
      </c>
      <c r="I47" s="138">
        <v>8</v>
      </c>
      <c r="J47" s="86">
        <f t="shared" si="29"/>
        <v>3.7798812524693825E-4</v>
      </c>
      <c r="K47" s="95">
        <v>8</v>
      </c>
      <c r="L47" s="86"/>
      <c r="M47" s="85"/>
      <c r="N47" s="202"/>
      <c r="O47" s="202"/>
      <c r="P47" s="202"/>
      <c r="Q47" s="28">
        <v>8</v>
      </c>
      <c r="R47" s="202">
        <f>P44*N42+P43*N43+P42*N44</f>
        <v>0.13112736868526337</v>
      </c>
      <c r="S47" s="72">
        <v>8</v>
      </c>
      <c r="T47" s="203">
        <f t="shared" si="33"/>
        <v>3.2528600273502595E-18</v>
      </c>
      <c r="U47" s="138">
        <v>8</v>
      </c>
      <c r="V47" s="86">
        <f>T47*R39+T46*R40+T45*R41+T44*R42+T43*R43+T42*R44+T41*R45+T40*R46+T39*R47</f>
        <v>0.13226389849573039</v>
      </c>
      <c r="W47" s="205"/>
      <c r="X47" s="28">
        <v>8</v>
      </c>
      <c r="Y47" s="202"/>
      <c r="Z47" s="28">
        <v>8</v>
      </c>
      <c r="AA47" s="204"/>
      <c r="AB47" s="28">
        <v>8</v>
      </c>
      <c r="AC47" s="204"/>
      <c r="AD47" s="28">
        <v>8</v>
      </c>
      <c r="AE47" s="204"/>
      <c r="AF47" s="28">
        <v>8</v>
      </c>
      <c r="AG47" s="204"/>
      <c r="AH47" s="28">
        <v>8</v>
      </c>
      <c r="AI47" s="204"/>
      <c r="AJ47" s="28">
        <v>8</v>
      </c>
      <c r="AK47" s="204"/>
      <c r="AL47" s="28">
        <v>8</v>
      </c>
      <c r="AM47" s="204"/>
      <c r="AN47" s="28">
        <v>8</v>
      </c>
      <c r="AO47" s="204">
        <f>((($W$39)^Q47)*((1-($W$39))^($U$33-Q47))*HLOOKUP($U$33,$AV$24:$BF$34,Q47+1))*V47</f>
        <v>1.2189818828900558E-4</v>
      </c>
      <c r="AP47" s="28">
        <v>8</v>
      </c>
      <c r="AQ47" s="204">
        <f>((($W$39)^Q47)*((1-($W$39))^($U$34-Q47))*HLOOKUP($U$34,$AV$24:$BF$34,Q47+1))*V48</f>
        <v>2.23405959789408E-4</v>
      </c>
      <c r="AR47" s="28">
        <v>8</v>
      </c>
      <c r="AS47" s="204">
        <f>((($W$39)^Q47)*((1-($W$39))^($U$35-Q47))*HLOOKUP($U$35,$AV$24:$BF$34,Q47+1))*V49</f>
        <v>3.2683977168524684E-5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1.7137801426913432E-4</v>
      </c>
      <c r="BQ47" s="31">
        <f>BM12+1</f>
        <v>9</v>
      </c>
      <c r="BR47" s="31">
        <v>8</v>
      </c>
      <c r="BS47" s="107">
        <f t="shared" si="32"/>
        <v>2.5849700658460753E-6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1.4998580747483956E-3</v>
      </c>
      <c r="I48" s="138">
        <v>9</v>
      </c>
      <c r="J48" s="86">
        <f t="shared" si="29"/>
        <v>2.2989349066540995E-5</v>
      </c>
      <c r="K48" s="95">
        <v>9</v>
      </c>
      <c r="L48" s="86"/>
      <c r="M48" s="85"/>
      <c r="N48" s="202"/>
      <c r="O48" s="202"/>
      <c r="P48" s="202"/>
      <c r="Q48" s="28">
        <v>9</v>
      </c>
      <c r="R48" s="202">
        <f>P44*N43+P43*N44</f>
        <v>4.5561184720523722E-2</v>
      </c>
      <c r="S48" s="72">
        <v>9</v>
      </c>
      <c r="T48" s="203">
        <f t="shared" si="33"/>
        <v>1.8389284074216291E-20</v>
      </c>
      <c r="U48" s="138">
        <v>9</v>
      </c>
      <c r="V48" s="86">
        <f>T48*R39+T47*R40+T46*R41+T45*R42+T44*R43+T43*R44+T42*R45+T41*R46+T40*R47+T39*R48</f>
        <v>4.6231506623284777E-2</v>
      </c>
      <c r="W48" s="205"/>
      <c r="X48" s="28">
        <v>9</v>
      </c>
      <c r="Y48" s="202"/>
      <c r="Z48" s="28">
        <v>9</v>
      </c>
      <c r="AA48" s="204"/>
      <c r="AB48" s="28">
        <v>9</v>
      </c>
      <c r="AC48" s="204"/>
      <c r="AD48" s="28">
        <v>9</v>
      </c>
      <c r="AE48" s="204"/>
      <c r="AF48" s="28">
        <v>9</v>
      </c>
      <c r="AG48" s="204"/>
      <c r="AH48" s="28">
        <v>9</v>
      </c>
      <c r="AI48" s="204"/>
      <c r="AJ48" s="28">
        <v>9</v>
      </c>
      <c r="AK48" s="204"/>
      <c r="AL48" s="28">
        <v>9</v>
      </c>
      <c r="AM48" s="204"/>
      <c r="AN48" s="28">
        <v>9</v>
      </c>
      <c r="AO48" s="204"/>
      <c r="AP48" s="28">
        <v>9</v>
      </c>
      <c r="AQ48" s="204">
        <f>((($W$39)^Q48)*((1-($W$39))^($U$34-Q48))*HLOOKUP($U$34,$AV$24:$BF$34,Q48+1))*V48</f>
        <v>1.778539314633256E-5</v>
      </c>
      <c r="AR48" s="28">
        <v>9</v>
      </c>
      <c r="AS48" s="204">
        <f>((($W$39)^Q48)*((1-($W$39))^($U$35-Q48))*HLOOKUP($U$35,$AV$24:$BF$34,Q48+1))*V49</f>
        <v>5.2039559202084343E-6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2.8899189446465269E-5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2.5291857202228683E-4</v>
      </c>
      <c r="I49" s="94">
        <v>10</v>
      </c>
      <c r="J49" s="89">
        <f t="shared" si="29"/>
        <v>3.7285917457127728E-7</v>
      </c>
      <c r="K49" s="96">
        <v>10</v>
      </c>
      <c r="L49" s="89"/>
      <c r="M49" s="85"/>
      <c r="N49" s="202"/>
      <c r="O49" s="202"/>
      <c r="P49" s="202"/>
      <c r="Q49" s="28">
        <v>10</v>
      </c>
      <c r="R49" s="202">
        <f>P44*N44</f>
        <v>7.1237584363800181E-3</v>
      </c>
      <c r="S49" s="72">
        <v>10</v>
      </c>
      <c r="T49" s="203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2.3219342590973246E-3</v>
      </c>
      <c r="W49" s="205"/>
      <c r="X49" s="28">
        <v>10</v>
      </c>
      <c r="Y49" s="202"/>
      <c r="Z49" s="28">
        <v>10</v>
      </c>
      <c r="AA49" s="204"/>
      <c r="AB49" s="28">
        <v>10</v>
      </c>
      <c r="AC49" s="204"/>
      <c r="AD49" s="28">
        <v>10</v>
      </c>
      <c r="AE49" s="204"/>
      <c r="AF49" s="28">
        <v>10</v>
      </c>
      <c r="AG49" s="204"/>
      <c r="AH49" s="28">
        <v>10</v>
      </c>
      <c r="AI49" s="204"/>
      <c r="AJ49" s="28">
        <v>10</v>
      </c>
      <c r="AK49" s="204"/>
      <c r="AL49" s="28">
        <v>10</v>
      </c>
      <c r="AM49" s="204"/>
      <c r="AN49" s="28">
        <v>10</v>
      </c>
      <c r="AO49" s="204"/>
      <c r="AP49" s="28">
        <v>10</v>
      </c>
      <c r="AQ49" s="204"/>
      <c r="AR49" s="28">
        <v>10</v>
      </c>
      <c r="AS49" s="204">
        <f>((($W$39)^Q49)*((1-($W$39))^($U$35-Q49))*HLOOKUP($U$35,$AV$24:$BF$34,Q49+1))*V49</f>
        <v>3.7285917457127728E-7</v>
      </c>
      <c r="BI49" s="31">
        <f>BQ14+1</f>
        <v>6</v>
      </c>
      <c r="BJ49" s="31">
        <v>0</v>
      </c>
      <c r="BK49" s="107">
        <f>$H$31*H39</f>
        <v>1.4340188903521642E-3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08"/>
      <c r="H50" s="77"/>
      <c r="I50" s="288"/>
      <c r="J50" s="288"/>
      <c r="K50" s="77"/>
      <c r="L50" s="77"/>
      <c r="O50" s="195"/>
      <c r="P50" s="195"/>
      <c r="Q50" s="195"/>
      <c r="R50" s="195"/>
      <c r="S50" s="208"/>
      <c r="T50" s="208"/>
      <c r="U50" s="208"/>
      <c r="V50" s="77"/>
      <c r="W50" s="288"/>
      <c r="X50" s="158"/>
      <c r="Y50" s="158"/>
      <c r="BI50" s="31">
        <f>BI45+1</f>
        <v>6</v>
      </c>
      <c r="BJ50" s="31">
        <v>7</v>
      </c>
      <c r="BK50" s="107">
        <f>$H$31*H46</f>
        <v>9.4569930630348869E-4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2.910661607319368E-4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6.8396295225865131E-5</v>
      </c>
    </row>
    <row r="53" spans="1:63" x14ac:dyDescent="0.25">
      <c r="BI53" s="31">
        <f>BI48+1</f>
        <v>6</v>
      </c>
      <c r="BJ53" s="31">
        <v>10</v>
      </c>
      <c r="BK53" s="107">
        <f>$H$31*H49</f>
        <v>1.1533553481746901E-5</v>
      </c>
    </row>
    <row r="54" spans="1:63" x14ac:dyDescent="0.25">
      <c r="BI54" s="31">
        <f>BI51+1</f>
        <v>7</v>
      </c>
      <c r="BJ54" s="31">
        <v>8</v>
      </c>
      <c r="BK54" s="107">
        <f>$H$32*H47</f>
        <v>8.4163054448653567E-5</v>
      </c>
    </row>
    <row r="55" spans="1:63" x14ac:dyDescent="0.25">
      <c r="BI55" s="31">
        <f>BI52+1</f>
        <v>7</v>
      </c>
      <c r="BJ55" s="31">
        <v>9</v>
      </c>
      <c r="BK55" s="107">
        <f>$H$32*H48</f>
        <v>1.9777088153102691E-5</v>
      </c>
    </row>
    <row r="56" spans="1:63" x14ac:dyDescent="0.25">
      <c r="BI56" s="31">
        <f>BI53+1</f>
        <v>7</v>
      </c>
      <c r="BJ56" s="31">
        <v>10</v>
      </c>
      <c r="BK56" s="107">
        <f>$H$32*H49</f>
        <v>3.3349774746392012E-6</v>
      </c>
    </row>
    <row r="57" spans="1:63" x14ac:dyDescent="0.25">
      <c r="BI57" s="31">
        <f>BI55+1</f>
        <v>8</v>
      </c>
      <c r="BJ57" s="31">
        <v>9</v>
      </c>
      <c r="BK57" s="107">
        <f>$H$33*H48</f>
        <v>4.1197784128784062E-6</v>
      </c>
    </row>
    <row r="58" spans="1:63" x14ac:dyDescent="0.25">
      <c r="BI58" s="31">
        <f>BI56+1</f>
        <v>8</v>
      </c>
      <c r="BJ58" s="31">
        <v>10</v>
      </c>
      <c r="BK58" s="107">
        <f>$H$33*H49</f>
        <v>6.9471138021391932E-7</v>
      </c>
    </row>
    <row r="59" spans="1:63" x14ac:dyDescent="0.25">
      <c r="BI59" s="31">
        <f>BI58+1</f>
        <v>9</v>
      </c>
      <c r="BJ59" s="31">
        <v>10</v>
      </c>
      <c r="BK59" s="107">
        <f>$H$34*H49</f>
        <v>1.0242994385942451E-7</v>
      </c>
    </row>
  </sheetData>
  <mergeCells count="1"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3A5F-ABB3-4D84-89DE-AF582F64E334}">
  <sheetPr>
    <tabColor theme="9" tint="-0.249977111117893"/>
  </sheetPr>
  <dimension ref="A1:BS59"/>
  <sheetViews>
    <sheetView zoomScale="90" zoomScaleNormal="90" workbookViewId="0">
      <selection activeCell="P9" sqref="P9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0" t="s">
        <v>143</v>
      </c>
      <c r="B1" s="31" t="s">
        <v>0</v>
      </c>
      <c r="E1" s="276">
        <v>1.5</v>
      </c>
      <c r="F1" s="276">
        <v>2.5</v>
      </c>
      <c r="G1" s="276">
        <v>3.5</v>
      </c>
      <c r="H1" s="212"/>
      <c r="I1" s="211"/>
      <c r="J1" s="213"/>
      <c r="K1" s="212"/>
      <c r="L1" s="212"/>
      <c r="M1" s="212"/>
      <c r="N1" s="212">
        <f>COUNTIF(B17:C17,"JC")</f>
        <v>0</v>
      </c>
      <c r="O1" s="211"/>
      <c r="P1" s="212">
        <f>COUNTIF(F5:H5,"CAB")+COUNTIF(E4:I4,"CAB")</f>
        <v>0</v>
      </c>
      <c r="Q1" s="294">
        <f>COUNTIF(F10:H10,"CAB")+COUNTIF(E9:I9,"CAB")</f>
        <v>4</v>
      </c>
      <c r="R1" s="293"/>
      <c r="S1" s="214"/>
      <c r="T1" s="214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5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71" ht="15.75" x14ac:dyDescent="0.25">
      <c r="A2" s="290" t="s">
        <v>192</v>
      </c>
      <c r="B2" s="31" t="s">
        <v>0</v>
      </c>
      <c r="E2" s="236"/>
      <c r="F2" s="236"/>
      <c r="G2" s="236"/>
      <c r="H2" s="236"/>
      <c r="I2" s="236"/>
      <c r="J2" s="236"/>
      <c r="K2" s="236"/>
      <c r="L2" s="236"/>
      <c r="M2" s="236"/>
      <c r="N2" s="252">
        <f>SUM(N4:N15)</f>
        <v>3.5750000000000002</v>
      </c>
      <c r="O2" s="236"/>
      <c r="P2" s="238"/>
      <c r="Q2" s="238"/>
      <c r="R2" s="189">
        <f>SUM(R4:R15)</f>
        <v>2.9750000000000001</v>
      </c>
      <c r="S2" s="189">
        <f>SUM(S4:S15)</f>
        <v>3.5750000000000002</v>
      </c>
      <c r="T2" s="247">
        <f t="shared" ref="T2:U2" si="0">SUM(T4:T15)</f>
        <v>0.97235834959701473</v>
      </c>
      <c r="U2" s="247">
        <f t="shared" si="0"/>
        <v>0.9327956370009558</v>
      </c>
      <c r="V2" s="158"/>
      <c r="W2" s="158"/>
      <c r="X2" s="281">
        <f t="shared" ref="X2:Y2" si="1">SUM(X4:X15)</f>
        <v>0.54600098368399919</v>
      </c>
      <c r="Y2" s="282">
        <f t="shared" si="1"/>
        <v>0.56967388615843184</v>
      </c>
      <c r="Z2" s="211"/>
      <c r="AA2" s="217" t="s">
        <v>19</v>
      </c>
      <c r="AB2" s="217" t="s">
        <v>20</v>
      </c>
      <c r="AC2" s="217" t="s">
        <v>21</v>
      </c>
      <c r="AD2" s="217" t="s">
        <v>22</v>
      </c>
      <c r="AE2" s="289"/>
      <c r="AF2" s="211"/>
      <c r="AG2" s="218" t="s">
        <v>24</v>
      </c>
      <c r="AH2" s="218" t="s">
        <v>20</v>
      </c>
      <c r="AI2" s="218" t="s">
        <v>21</v>
      </c>
      <c r="AJ2" s="218" t="s">
        <v>22</v>
      </c>
      <c r="AK2" s="220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</row>
    <row r="3" spans="1:71" ht="15.75" x14ac:dyDescent="0.25">
      <c r="A3" s="157" t="s">
        <v>4</v>
      </c>
      <c r="B3" s="300" t="s">
        <v>5</v>
      </c>
      <c r="C3" s="300"/>
      <c r="D3" s="31" t="str">
        <f>IF(B3="Sol","SI",IF(B3="Lluvia","SI","NO"))</f>
        <v>SI</v>
      </c>
      <c r="E3" s="239"/>
      <c r="F3" s="240"/>
      <c r="G3" s="270" t="s">
        <v>157</v>
      </c>
      <c r="H3" s="239"/>
      <c r="I3" s="239"/>
      <c r="J3" s="236"/>
      <c r="K3" s="248" t="s">
        <v>161</v>
      </c>
      <c r="L3" s="248" t="s">
        <v>162</v>
      </c>
      <c r="M3" s="248" t="s">
        <v>28</v>
      </c>
      <c r="N3" s="248" t="s">
        <v>28</v>
      </c>
      <c r="O3" s="248" t="s">
        <v>163</v>
      </c>
      <c r="P3" s="253" t="s">
        <v>164</v>
      </c>
      <c r="Q3" s="255" t="s">
        <v>165</v>
      </c>
      <c r="R3" s="248" t="s">
        <v>28</v>
      </c>
      <c r="S3" s="248" t="s">
        <v>166</v>
      </c>
      <c r="T3" s="253" t="s">
        <v>167</v>
      </c>
      <c r="U3" s="255" t="s">
        <v>168</v>
      </c>
      <c r="V3" s="253" t="s">
        <v>169</v>
      </c>
      <c r="W3" s="255" t="s">
        <v>170</v>
      </c>
      <c r="X3" s="277" t="s">
        <v>171</v>
      </c>
      <c r="Y3" s="278" t="s">
        <v>172</v>
      </c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6"/>
      <c r="AO3" s="216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71" ht="15.75" x14ac:dyDescent="0.25">
      <c r="A4" s="122"/>
      <c r="B4" s="8" t="s">
        <v>9</v>
      </c>
      <c r="C4" s="9" t="s">
        <v>10</v>
      </c>
      <c r="D4" s="158"/>
      <c r="E4" s="270" t="s">
        <v>37</v>
      </c>
      <c r="F4" s="270" t="s">
        <v>157</v>
      </c>
      <c r="G4" s="270" t="s">
        <v>157</v>
      </c>
      <c r="H4" s="270" t="s">
        <v>157</v>
      </c>
      <c r="I4" s="270" t="s">
        <v>37</v>
      </c>
      <c r="J4" s="236"/>
      <c r="K4" s="237">
        <v>5</v>
      </c>
      <c r="L4" s="237">
        <v>6</v>
      </c>
      <c r="M4" s="250">
        <v>0.45</v>
      </c>
      <c r="N4" s="250">
        <f>IF($N$1=2,M4*$G$1/$E$1,IF($N$1=1,M4*$F$1/$E$1,M4))</f>
        <v>0.45</v>
      </c>
      <c r="O4" s="237" t="s">
        <v>173</v>
      </c>
      <c r="P4" s="240">
        <f>COUNTIF(E3:I4,"IMP")</f>
        <v>2</v>
      </c>
      <c r="Q4" s="242">
        <f>COUNTIF(E8:I9,"IMP")</f>
        <v>2</v>
      </c>
      <c r="R4" s="249">
        <f t="shared" ref="R4:R14" si="2">IF(P4+Q4=0,0,N4)</f>
        <v>0.45</v>
      </c>
      <c r="S4" s="249">
        <f t="shared" ref="S4:S15" si="3">R4*$N$2/$R$2</f>
        <v>0.54075630252100848</v>
      </c>
      <c r="T4" s="254">
        <f>IF(S4=0,0,S4*(P4^2.7/(P4^2.7+Q4^2.7))*P4/L4)</f>
        <v>9.012605042016808E-2</v>
      </c>
      <c r="U4" s="256">
        <f>IF(S4=0,0,S4*Q4^2.7/(P4^2.7+Q4^2.7)*Q4/L4)</f>
        <v>9.012605042016808E-2</v>
      </c>
      <c r="V4" s="246">
        <f>$G$17</f>
        <v>0.56999999999999995</v>
      </c>
      <c r="W4" s="244">
        <f>$H$17</f>
        <v>0.56999999999999995</v>
      </c>
      <c r="X4" s="279">
        <f>V4*T4</f>
        <v>5.1371848739495803E-2</v>
      </c>
      <c r="Y4" s="280">
        <f>W4*U4</f>
        <v>5.1371848739495803E-2</v>
      </c>
      <c r="Z4" s="218"/>
      <c r="AA4" s="272">
        <f t="shared" ref="AA4:AA14" si="4">X5</f>
        <v>0</v>
      </c>
      <c r="AB4" s="273">
        <f t="shared" ref="AB4:AB15" si="5">(1-AA4)</f>
        <v>1</v>
      </c>
      <c r="AC4" s="273">
        <f>AA4*AB3*PRODUCT(AB5:AB17)</f>
        <v>0</v>
      </c>
      <c r="AD4" s="273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11"/>
      <c r="AF4" s="218"/>
      <c r="AG4" s="274">
        <f>Y4</f>
        <v>5.1371848739495803E-2</v>
      </c>
      <c r="AH4" s="275">
        <f t="shared" ref="AH4:AH15" si="6">(1-AG4)</f>
        <v>0.94862815126050415</v>
      </c>
      <c r="AI4" s="275">
        <f>AG4*AH3*PRODUCT(AH5:AH17)</f>
        <v>0</v>
      </c>
      <c r="AJ4" s="275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11"/>
      <c r="AL4" s="218"/>
      <c r="AM4" s="218"/>
      <c r="AN4" s="212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I4" s="31">
        <v>0</v>
      </c>
      <c r="BJ4" s="31">
        <v>1</v>
      </c>
      <c r="BK4" s="107">
        <f t="shared" ref="BK4:BK13" si="7">$H$25*H40</f>
        <v>2.5288261122966543E-2</v>
      </c>
      <c r="BM4" s="31">
        <v>0</v>
      </c>
      <c r="BN4" s="31">
        <v>0</v>
      </c>
      <c r="BO4" s="107">
        <f>H25*H39</f>
        <v>7.8240210476302977E-3</v>
      </c>
      <c r="BQ4" s="31">
        <v>1</v>
      </c>
      <c r="BR4" s="31">
        <v>0</v>
      </c>
      <c r="BS4" s="107">
        <f>$H$26*H39</f>
        <v>1.6191779010258086E-2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0" t="s">
        <v>1</v>
      </c>
      <c r="F5" s="270" t="s">
        <v>157</v>
      </c>
      <c r="G5" s="270" t="s">
        <v>1</v>
      </c>
      <c r="H5" s="270" t="s">
        <v>157</v>
      </c>
      <c r="I5" s="270" t="s">
        <v>1</v>
      </c>
      <c r="J5" s="236"/>
      <c r="K5" s="237">
        <v>6</v>
      </c>
      <c r="L5" s="237">
        <v>8</v>
      </c>
      <c r="M5" s="250">
        <v>0.35</v>
      </c>
      <c r="N5" s="250">
        <f t="shared" ref="N5:N15" si="8">IF($N$1=2,M5*$G$1/$E$1,IF($N$1=1,M5*$F$1/$E$1,M5))</f>
        <v>0.35</v>
      </c>
      <c r="O5" s="237" t="s">
        <v>174</v>
      </c>
      <c r="P5" s="240">
        <f>COUNTIF(E5:I6,"IMP")</f>
        <v>0</v>
      </c>
      <c r="Q5" s="242">
        <f>COUNTIF(E10:I11,"IMP")</f>
        <v>2</v>
      </c>
      <c r="R5" s="249">
        <f t="shared" si="2"/>
        <v>0.35</v>
      </c>
      <c r="S5" s="249">
        <f t="shared" si="3"/>
        <v>0.42058823529411765</v>
      </c>
      <c r="T5" s="254">
        <f t="shared" ref="T5:T9" si="9">IF(S5=0,0,S5*(P5^2.7/(P5^2.7+Q5^2.7))*P5/L5)</f>
        <v>0</v>
      </c>
      <c r="U5" s="256">
        <f t="shared" ref="U5:U9" si="10">IF(S5=0,0,S5*Q5^2.7/(P5^2.7+Q5^2.7)*Q5/L5)</f>
        <v>0.1051470588235294</v>
      </c>
      <c r="V5" s="246">
        <f>$G$17</f>
        <v>0.56999999999999995</v>
      </c>
      <c r="W5" s="244">
        <f>$H$17</f>
        <v>0.56999999999999995</v>
      </c>
      <c r="X5" s="279">
        <f t="shared" ref="X5:Y15" si="11">V5*T5</f>
        <v>0</v>
      </c>
      <c r="Y5" s="280">
        <f t="shared" si="11"/>
        <v>5.9933823529411755E-2</v>
      </c>
      <c r="Z5" s="227"/>
      <c r="AA5" s="272">
        <f t="shared" si="4"/>
        <v>9.3863402081569344E-3</v>
      </c>
      <c r="AB5" s="273">
        <f t="shared" si="5"/>
        <v>0.99061365979184302</v>
      </c>
      <c r="AC5" s="273">
        <f>AA5*PRODUCT(AB3:AB4)*PRODUCT(AB6:AB17)</f>
        <v>5.4781609682919945E-3</v>
      </c>
      <c r="AD5" s="273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3.2907312917963335E-3</v>
      </c>
      <c r="AE5" s="211"/>
      <c r="AF5" s="225"/>
      <c r="AG5" s="274">
        <f t="shared" ref="AG5:AG15" si="12">Y5</f>
        <v>5.9933823529411755E-2</v>
      </c>
      <c r="AH5" s="275">
        <f t="shared" si="6"/>
        <v>0.94006617647058821</v>
      </c>
      <c r="AI5" s="275">
        <f>AG5*PRODUCT(AH3:AH4)*PRODUCT(AH6:AH17)</f>
        <v>3.4848384004348774E-2</v>
      </c>
      <c r="AJ5" s="275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1.8270487683403384E-2</v>
      </c>
      <c r="AK5" s="211"/>
      <c r="AL5" s="228"/>
      <c r="AM5" s="211"/>
      <c r="AN5" s="216"/>
      <c r="AO5" s="230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I5" s="31">
        <v>0</v>
      </c>
      <c r="BJ5" s="31">
        <v>2</v>
      </c>
      <c r="BK5" s="107">
        <f t="shared" si="7"/>
        <v>3.7811380779524666E-2</v>
      </c>
      <c r="BM5" s="31">
        <v>1</v>
      </c>
      <c r="BN5" s="31">
        <v>1</v>
      </c>
      <c r="BO5" s="107">
        <f>$H$26*H40</f>
        <v>5.2333951195183845E-2</v>
      </c>
      <c r="BQ5" s="31">
        <f>BQ4+1</f>
        <v>2</v>
      </c>
      <c r="BR5" s="31">
        <v>0</v>
      </c>
      <c r="BS5" s="107">
        <f>$H$27*H39</f>
        <v>1.5248609170237586E-2</v>
      </c>
    </row>
    <row r="6" spans="1:71" ht="15.75" x14ac:dyDescent="0.25">
      <c r="A6" s="2" t="s">
        <v>35</v>
      </c>
      <c r="B6" s="260">
        <v>3.75</v>
      </c>
      <c r="C6" s="261">
        <v>10.5</v>
      </c>
      <c r="E6" s="239"/>
      <c r="F6" s="270" t="s">
        <v>1</v>
      </c>
      <c r="G6" s="270" t="s">
        <v>157</v>
      </c>
      <c r="H6" s="270" t="s">
        <v>1</v>
      </c>
      <c r="I6" s="239"/>
      <c r="J6" s="236"/>
      <c r="K6" s="237">
        <v>8</v>
      </c>
      <c r="L6" s="237">
        <v>13</v>
      </c>
      <c r="M6" s="250">
        <v>0.45</v>
      </c>
      <c r="N6" s="250">
        <f t="shared" si="8"/>
        <v>0.45</v>
      </c>
      <c r="O6" s="237" t="s">
        <v>37</v>
      </c>
      <c r="P6" s="240">
        <f>COUNTIF(E4:I6,"IMP")</f>
        <v>2</v>
      </c>
      <c r="Q6" s="242">
        <f>COUNTIF(E9:I11,"IMP")</f>
        <v>3</v>
      </c>
      <c r="R6" s="249">
        <f t="shared" si="2"/>
        <v>0.45</v>
      </c>
      <c r="S6" s="249">
        <f t="shared" si="3"/>
        <v>0.54075630252100848</v>
      </c>
      <c r="T6" s="254">
        <f t="shared" si="9"/>
        <v>2.0858533795904299E-2</v>
      </c>
      <c r="U6" s="256">
        <f t="shared" si="10"/>
        <v>9.3502115272530134E-2</v>
      </c>
      <c r="V6" s="246">
        <f>$G$18</f>
        <v>0.45</v>
      </c>
      <c r="W6" s="244">
        <f>$H$18</f>
        <v>0.45</v>
      </c>
      <c r="X6" s="279">
        <f t="shared" si="11"/>
        <v>9.3863402081569344E-3</v>
      </c>
      <c r="Y6" s="280">
        <f t="shared" si="11"/>
        <v>4.2075951872638559E-2</v>
      </c>
      <c r="Z6" s="227"/>
      <c r="AA6" s="272">
        <f t="shared" si="4"/>
        <v>1.8029971989912732E-4</v>
      </c>
      <c r="AB6" s="273">
        <f t="shared" si="5"/>
        <v>0.99981970028010092</v>
      </c>
      <c r="AC6" s="273">
        <f>AA6*PRODUCT(AB3:AB5)*PRODUCT(AB7:AB17)</f>
        <v>1.0425962838251411E-4</v>
      </c>
      <c r="AD6" s="273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6.2609957362364158E-5</v>
      </c>
      <c r="AE6" s="211"/>
      <c r="AF6" s="225"/>
      <c r="AG6" s="274">
        <f t="shared" si="12"/>
        <v>4.2075951872638559E-2</v>
      </c>
      <c r="AH6" s="275">
        <f t="shared" si="6"/>
        <v>0.95792404812736143</v>
      </c>
      <c r="AI6" s="275">
        <f>AG6*PRODUCT(AH3:AH5)*PRODUCT(AH7:AH17)</f>
        <v>2.4008883242272749E-2</v>
      </c>
      <c r="AJ6" s="275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1.1532930600902701E-2</v>
      </c>
      <c r="AK6" s="211"/>
      <c r="AL6" s="228"/>
      <c r="AM6" s="211"/>
      <c r="AN6" s="216"/>
      <c r="AO6" s="230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I6" s="31">
        <v>0</v>
      </c>
      <c r="BJ6" s="31">
        <v>3</v>
      </c>
      <c r="BK6" s="107">
        <f t="shared" si="7"/>
        <v>3.5415103421534935E-2</v>
      </c>
      <c r="BM6" s="31">
        <f>BI14+1</f>
        <v>2</v>
      </c>
      <c r="BN6" s="31">
        <v>2</v>
      </c>
      <c r="BO6" s="107">
        <f>$H$27*H41</f>
        <v>7.3692410102684222E-2</v>
      </c>
      <c r="BQ6" s="31">
        <f>BM5+1</f>
        <v>2</v>
      </c>
      <c r="BR6" s="31">
        <v>1</v>
      </c>
      <c r="BS6" s="107">
        <f>$H$27*H40</f>
        <v>4.928550269887403E-2</v>
      </c>
    </row>
    <row r="7" spans="1:71" ht="15.75" x14ac:dyDescent="0.25">
      <c r="A7" s="5" t="s">
        <v>40</v>
      </c>
      <c r="B7" s="260">
        <v>23.25</v>
      </c>
      <c r="C7" s="261">
        <v>17</v>
      </c>
      <c r="E7" s="238"/>
      <c r="F7" s="238"/>
      <c r="G7" s="238"/>
      <c r="H7" s="238"/>
      <c r="I7" s="238"/>
      <c r="J7" s="236"/>
      <c r="K7" s="237">
        <v>9</v>
      </c>
      <c r="L7" s="237">
        <v>8</v>
      </c>
      <c r="M7" s="250">
        <v>0.02</v>
      </c>
      <c r="N7" s="250">
        <f t="shared" si="8"/>
        <v>0.02</v>
      </c>
      <c r="O7" s="237" t="s">
        <v>175</v>
      </c>
      <c r="P7" s="240">
        <f>COUNTIF(E9:I9,"IMP")+COUNTIF(F10:H10,"IMP")</f>
        <v>1</v>
      </c>
      <c r="Q7" s="242">
        <f>COUNTIF(E4:I4,"IMP")+COUNTIF(F5:H5,"IMP")</f>
        <v>2</v>
      </c>
      <c r="R7" s="249">
        <f t="shared" si="2"/>
        <v>0.02</v>
      </c>
      <c r="S7" s="249">
        <f t="shared" si="3"/>
        <v>2.4033613445378153E-2</v>
      </c>
      <c r="T7" s="254">
        <f t="shared" si="9"/>
        <v>4.0066604422028291E-4</v>
      </c>
      <c r="U7" s="256">
        <f t="shared" si="10"/>
        <v>5.2070712729039726E-3</v>
      </c>
      <c r="V7" s="246">
        <f>$G$18</f>
        <v>0.45</v>
      </c>
      <c r="W7" s="244">
        <f>$H$18</f>
        <v>0.45</v>
      </c>
      <c r="X7" s="279">
        <f t="shared" si="11"/>
        <v>1.8029971989912732E-4</v>
      </c>
      <c r="Y7" s="280">
        <f t="shared" si="11"/>
        <v>2.3431820728067876E-3</v>
      </c>
      <c r="Z7" s="227"/>
      <c r="AA7" s="272">
        <f t="shared" si="4"/>
        <v>0.21130968625214225</v>
      </c>
      <c r="AB7" s="273">
        <f t="shared" si="5"/>
        <v>0.78869031374785781</v>
      </c>
      <c r="AC7" s="273">
        <f>AA7*PRODUCT(AB3:AB6)*PRODUCT(AB8:AB17)</f>
        <v>0.15490153036749288</v>
      </c>
      <c r="AD7" s="273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5.1519455591079004E-2</v>
      </c>
      <c r="AE7" s="211"/>
      <c r="AF7" s="225"/>
      <c r="AG7" s="274">
        <f t="shared" si="12"/>
        <v>2.3431820728067876E-3</v>
      </c>
      <c r="AH7" s="275">
        <f t="shared" si="6"/>
        <v>0.99765681792719318</v>
      </c>
      <c r="AI7" s="275">
        <f>AG7*PRODUCT(AH3:AH6)*PRODUCT(AH8:AH17)</f>
        <v>1.2837898779699409E-3</v>
      </c>
      <c r="AJ7" s="275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6.1366734087424206E-4</v>
      </c>
      <c r="AK7" s="211"/>
      <c r="AL7" s="228"/>
      <c r="AM7" s="211"/>
      <c r="AN7" s="216"/>
      <c r="AO7" s="230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I7" s="31">
        <v>0</v>
      </c>
      <c r="BJ7" s="31">
        <v>4</v>
      </c>
      <c r="BK7" s="107">
        <f t="shared" si="7"/>
        <v>2.3748948233462172E-2</v>
      </c>
      <c r="BM7" s="31">
        <f>BI23+1</f>
        <v>3</v>
      </c>
      <c r="BN7" s="31">
        <v>3</v>
      </c>
      <c r="BO7" s="107">
        <f>$H$28*H42</f>
        <v>3.9181182006532284E-2</v>
      </c>
      <c r="BQ7" s="31">
        <f>BQ5+1</f>
        <v>3</v>
      </c>
      <c r="BR7" s="31">
        <v>0</v>
      </c>
      <c r="BS7" s="107">
        <f>$H$28*H39</f>
        <v>8.6560355066966962E-3</v>
      </c>
    </row>
    <row r="8" spans="1:71" ht="15.75" x14ac:dyDescent="0.25">
      <c r="A8" s="5" t="s">
        <v>44</v>
      </c>
      <c r="B8" s="260">
        <v>22.75</v>
      </c>
      <c r="C8" s="261">
        <v>15.5</v>
      </c>
      <c r="E8" s="241"/>
      <c r="F8" s="242"/>
      <c r="G8" s="271" t="s">
        <v>37</v>
      </c>
      <c r="H8" s="241"/>
      <c r="I8" s="241"/>
      <c r="J8" s="236"/>
      <c r="K8" s="237">
        <v>15</v>
      </c>
      <c r="L8" s="237">
        <v>8</v>
      </c>
      <c r="M8" s="250">
        <v>0.5</v>
      </c>
      <c r="N8" s="250">
        <f t="shared" si="8"/>
        <v>0.5</v>
      </c>
      <c r="O8" s="237" t="s">
        <v>176</v>
      </c>
      <c r="P8" s="240">
        <f>COUNTIF(E5:I6,"RAP")</f>
        <v>5</v>
      </c>
      <c r="Q8" s="242">
        <f>COUNTIF(E10:I11,"RAP")</f>
        <v>1</v>
      </c>
      <c r="R8" s="249">
        <f t="shared" si="2"/>
        <v>0.5</v>
      </c>
      <c r="S8" s="249">
        <f t="shared" si="3"/>
        <v>0.60084033613445376</v>
      </c>
      <c r="T8" s="254">
        <f t="shared" si="9"/>
        <v>0.37071874781077591</v>
      </c>
      <c r="U8" s="256">
        <f t="shared" si="10"/>
        <v>9.612924546515435E-4</v>
      </c>
      <c r="V8" s="246">
        <f>$G$17</f>
        <v>0.56999999999999995</v>
      </c>
      <c r="W8" s="244">
        <f>$H$17</f>
        <v>0.56999999999999995</v>
      </c>
      <c r="X8" s="279">
        <f t="shared" si="11"/>
        <v>0.21130968625214225</v>
      </c>
      <c r="Y8" s="280">
        <f t="shared" si="11"/>
        <v>5.4793669915137976E-4</v>
      </c>
      <c r="Z8" s="227"/>
      <c r="AA8" s="272">
        <f t="shared" si="4"/>
        <v>0.21130968625214225</v>
      </c>
      <c r="AB8" s="273">
        <f t="shared" si="5"/>
        <v>0.78869031374785781</v>
      </c>
      <c r="AC8" s="273">
        <f>AA8*PRODUCT(AB3:AB7)*PRODUCT(AB9:AB17)</f>
        <v>0.15490153036749285</v>
      </c>
      <c r="AD8" s="273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1.0017495681887065E-2</v>
      </c>
      <c r="AE8" s="211"/>
      <c r="AF8" s="225"/>
      <c r="AG8" s="274">
        <f t="shared" si="12"/>
        <v>5.4793669915137976E-4</v>
      </c>
      <c r="AH8" s="275">
        <f t="shared" si="6"/>
        <v>0.99945206330084857</v>
      </c>
      <c r="AI8" s="275">
        <f>AG8*PRODUCT(AH3:AH7)*PRODUCT(AH9:AH17)</f>
        <v>2.9966602444895683E-4</v>
      </c>
      <c r="AJ8" s="275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1.4307975488341251E-4</v>
      </c>
      <c r="AK8" s="211"/>
      <c r="AL8" s="228"/>
      <c r="AM8" s="211"/>
      <c r="AN8" s="216"/>
      <c r="AO8" s="230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I8" s="31">
        <v>0</v>
      </c>
      <c r="BJ8" s="31">
        <v>5</v>
      </c>
      <c r="BK8" s="107">
        <f t="shared" si="7"/>
        <v>1.2256098720260599E-2</v>
      </c>
      <c r="BM8" s="31">
        <f>BI31+1</f>
        <v>4</v>
      </c>
      <c r="BN8" s="31">
        <v>4</v>
      </c>
      <c r="BO8" s="107">
        <f>$H$29*H43</f>
        <v>1.0037611564883244E-2</v>
      </c>
      <c r="BQ8" s="31">
        <f>BQ6+1</f>
        <v>3</v>
      </c>
      <c r="BR8" s="31">
        <v>1</v>
      </c>
      <c r="BS8" s="107">
        <f>$H$28*H40</f>
        <v>2.7977440864542954E-2</v>
      </c>
    </row>
    <row r="9" spans="1:71" ht="15.75" x14ac:dyDescent="0.25">
      <c r="A9" s="5" t="s">
        <v>47</v>
      </c>
      <c r="B9" s="260">
        <v>23.5</v>
      </c>
      <c r="C9" s="261">
        <v>15.25</v>
      </c>
      <c r="E9" s="271" t="s">
        <v>1</v>
      </c>
      <c r="F9" s="271" t="s">
        <v>157</v>
      </c>
      <c r="G9" s="271" t="s">
        <v>144</v>
      </c>
      <c r="H9" s="271" t="s">
        <v>191</v>
      </c>
      <c r="I9" s="271" t="s">
        <v>37</v>
      </c>
      <c r="J9" s="236"/>
      <c r="K9" s="237">
        <v>16</v>
      </c>
      <c r="L9" s="237">
        <v>8</v>
      </c>
      <c r="M9" s="250">
        <v>0.5</v>
      </c>
      <c r="N9" s="250">
        <f t="shared" si="8"/>
        <v>0.5</v>
      </c>
      <c r="O9" s="237" t="s">
        <v>177</v>
      </c>
      <c r="P9" s="240">
        <f>COUNTIF(E5:I6,"RAP")</f>
        <v>5</v>
      </c>
      <c r="Q9" s="242">
        <f>COUNTIF(E10:I11,"RAP")</f>
        <v>1</v>
      </c>
      <c r="R9" s="249">
        <f t="shared" si="2"/>
        <v>0.5</v>
      </c>
      <c r="S9" s="249">
        <f t="shared" si="3"/>
        <v>0.60084033613445376</v>
      </c>
      <c r="T9" s="254">
        <f t="shared" si="9"/>
        <v>0.37071874781077591</v>
      </c>
      <c r="U9" s="256">
        <f t="shared" si="10"/>
        <v>9.612924546515435E-4</v>
      </c>
      <c r="V9" s="246">
        <f>$G$17</f>
        <v>0.56999999999999995</v>
      </c>
      <c r="W9" s="244">
        <f>$H$17</f>
        <v>0.56999999999999995</v>
      </c>
      <c r="X9" s="279">
        <f t="shared" si="11"/>
        <v>0.21130968625214225</v>
      </c>
      <c r="Y9" s="280">
        <f t="shared" si="11"/>
        <v>5.4793669915137976E-4</v>
      </c>
      <c r="Z9" s="227"/>
      <c r="AA9" s="272">
        <f t="shared" si="4"/>
        <v>2.1345643520566119E-2</v>
      </c>
      <c r="AB9" s="273">
        <f t="shared" si="5"/>
        <v>0.97865435647943388</v>
      </c>
      <c r="AC9" s="273">
        <f>AA9*PRODUCT(AB3:AB8)*PRODUCT(AB10:AB17)</f>
        <v>1.2610221902443363E-2</v>
      </c>
      <c r="AD9" s="273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5.4045986777679581E-4</v>
      </c>
      <c r="AE9" s="211"/>
      <c r="AF9" s="225"/>
      <c r="AG9" s="274">
        <f t="shared" si="12"/>
        <v>5.4793669915137976E-4</v>
      </c>
      <c r="AH9" s="275">
        <f t="shared" si="6"/>
        <v>0.99945206330084857</v>
      </c>
      <c r="AI9" s="275">
        <f>AG9*PRODUCT(AH3:AH8)*PRODUCT(AH10:AH17)</f>
        <v>2.9966602444895688E-4</v>
      </c>
      <c r="AJ9" s="275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1.4291546685168632E-4</v>
      </c>
      <c r="AK9" s="211"/>
      <c r="AL9" s="228"/>
      <c r="AM9" s="211"/>
      <c r="AN9" s="216"/>
      <c r="AO9" s="230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I9" s="31">
        <v>0</v>
      </c>
      <c r="BJ9" s="31">
        <v>6</v>
      </c>
      <c r="BK9" s="107">
        <f t="shared" si="7"/>
        <v>5.0204757985047336E-3</v>
      </c>
      <c r="BM9" s="31">
        <f>BI38+1</f>
        <v>5</v>
      </c>
      <c r="BN9" s="31">
        <v>5</v>
      </c>
      <c r="BO9" s="107">
        <f>$H$30*H44</f>
        <v>1.4083151560169264E-3</v>
      </c>
      <c r="BQ9" s="31">
        <f>BM6+1</f>
        <v>3</v>
      </c>
      <c r="BR9" s="31">
        <v>2</v>
      </c>
      <c r="BS9" s="107">
        <f>$H$28*H41</f>
        <v>4.1832281967585525E-2</v>
      </c>
    </row>
    <row r="10" spans="1:71" ht="15.75" x14ac:dyDescent="0.25">
      <c r="A10" s="6" t="s">
        <v>50</v>
      </c>
      <c r="B10" s="260">
        <v>16</v>
      </c>
      <c r="C10" s="261">
        <v>16</v>
      </c>
      <c r="E10" s="271" t="s">
        <v>37</v>
      </c>
      <c r="F10" s="271" t="s">
        <v>144</v>
      </c>
      <c r="G10" s="271" t="s">
        <v>144</v>
      </c>
      <c r="H10" s="271" t="s">
        <v>144</v>
      </c>
      <c r="I10" s="271" t="s">
        <v>1</v>
      </c>
      <c r="J10" s="236"/>
      <c r="K10" s="237">
        <v>18</v>
      </c>
      <c r="L10" s="237" t="s">
        <v>178</v>
      </c>
      <c r="M10" s="250">
        <v>0.15</v>
      </c>
      <c r="N10" s="250">
        <f t="shared" si="8"/>
        <v>0.15</v>
      </c>
      <c r="O10" s="237" t="s">
        <v>179</v>
      </c>
      <c r="P10" s="240">
        <v>1</v>
      </c>
      <c r="Q10" s="242">
        <v>1</v>
      </c>
      <c r="R10" s="249">
        <f t="shared" si="2"/>
        <v>0.15</v>
      </c>
      <c r="S10" s="249">
        <f t="shared" si="3"/>
        <v>0.18025210084033613</v>
      </c>
      <c r="T10" s="254">
        <f>S10*G13</f>
        <v>4.7434763379035821E-2</v>
      </c>
      <c r="U10" s="256">
        <f>S10*G14</f>
        <v>0.13281733746130031</v>
      </c>
      <c r="V10" s="246">
        <f>$G$18</f>
        <v>0.45</v>
      </c>
      <c r="W10" s="244">
        <f>$H$18</f>
        <v>0.45</v>
      </c>
      <c r="X10" s="279">
        <f t="shared" si="11"/>
        <v>2.1345643520566119E-2</v>
      </c>
      <c r="Y10" s="280">
        <f t="shared" si="11"/>
        <v>5.9767801857585144E-2</v>
      </c>
      <c r="Z10" s="227"/>
      <c r="AA10" s="272">
        <f t="shared" si="4"/>
        <v>0</v>
      </c>
      <c r="AB10" s="273">
        <f t="shared" si="5"/>
        <v>1</v>
      </c>
      <c r="AC10" s="273">
        <f>AA10*PRODUCT(AB3:AB9)*PRODUCT(AB11:AB17)</f>
        <v>0</v>
      </c>
      <c r="AD10" s="273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11"/>
      <c r="AF10" s="225"/>
      <c r="AG10" s="274">
        <f t="shared" si="12"/>
        <v>5.9767801857585144E-2</v>
      </c>
      <c r="AH10" s="275">
        <f t="shared" si="6"/>
        <v>0.94023219814241488</v>
      </c>
      <c r="AI10" s="275">
        <f>AG10*PRODUCT(AH3:AH9)*PRODUCT(AH11:AH17)</f>
        <v>3.4745714770227309E-2</v>
      </c>
      <c r="AJ10" s="275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1.4362097812371369E-2</v>
      </c>
      <c r="AK10" s="211"/>
      <c r="AL10" s="228"/>
      <c r="AM10" s="211"/>
      <c r="AN10" s="216"/>
      <c r="AO10" s="230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I10" s="31">
        <v>0</v>
      </c>
      <c r="BJ10" s="31">
        <v>7</v>
      </c>
      <c r="BK10" s="107">
        <f t="shared" si="7"/>
        <v>1.6309238645698214E-3</v>
      </c>
      <c r="BM10" s="31">
        <f>BI44+1</f>
        <v>6</v>
      </c>
      <c r="BN10" s="31">
        <v>6</v>
      </c>
      <c r="BO10" s="107">
        <f>$H$31*H45</f>
        <v>1.1512648524809321E-4</v>
      </c>
      <c r="BQ10" s="31">
        <f>BQ7+1</f>
        <v>4</v>
      </c>
      <c r="BR10" s="31">
        <v>0</v>
      </c>
      <c r="BS10" s="107">
        <f>$H$29*H39</f>
        <v>3.3068615662283948E-3</v>
      </c>
    </row>
    <row r="11" spans="1:71" ht="15.75" x14ac:dyDescent="0.25">
      <c r="A11" s="6" t="s">
        <v>53</v>
      </c>
      <c r="B11" s="260">
        <v>5.75</v>
      </c>
      <c r="C11" s="261">
        <v>13</v>
      </c>
      <c r="E11" s="241"/>
      <c r="F11" s="271" t="s">
        <v>37</v>
      </c>
      <c r="G11" s="271" t="s">
        <v>157</v>
      </c>
      <c r="H11" s="271" t="s">
        <v>144</v>
      </c>
      <c r="I11" s="241"/>
      <c r="J11" s="236"/>
      <c r="K11" s="237">
        <v>19</v>
      </c>
      <c r="L11" s="237" t="s">
        <v>178</v>
      </c>
      <c r="M11" s="250">
        <v>0.23</v>
      </c>
      <c r="N11" s="250">
        <f t="shared" si="8"/>
        <v>0.23</v>
      </c>
      <c r="O11" s="237" t="s">
        <v>180</v>
      </c>
      <c r="P11" s="240">
        <f>COUNTIF(E4:I6,"CAB")</f>
        <v>0</v>
      </c>
      <c r="Q11" s="242">
        <f>COUNTIF(E9:I11,"CAB")</f>
        <v>5</v>
      </c>
      <c r="R11" s="249">
        <f t="shared" si="2"/>
        <v>0.23</v>
      </c>
      <c r="S11" s="249">
        <f t="shared" si="3"/>
        <v>0.27638655462184875</v>
      </c>
      <c r="T11" s="254">
        <f>IF(P11&gt;0,S11*G13,0)</f>
        <v>0</v>
      </c>
      <c r="U11" s="256">
        <f>IF(Q11&gt;0,S11*G14,0)</f>
        <v>0.20365325077399382</v>
      </c>
      <c r="V11" s="246">
        <f>IF(P11-Q11&gt;2,0.9,IF(P11-Q11&gt;1,0.75,IF(P11-Q11=0,0.5,0.15)))</f>
        <v>0.15</v>
      </c>
      <c r="W11" s="244">
        <f>IF(Q11-P11&gt;2,0.9,IF(Q11-P11&gt;1,0.75,IF(Q11-P11=0,0.5,0.15)))</f>
        <v>0.9</v>
      </c>
      <c r="X11" s="279">
        <f t="shared" si="11"/>
        <v>0</v>
      </c>
      <c r="Y11" s="280">
        <f t="shared" si="11"/>
        <v>0.18328792569659444</v>
      </c>
      <c r="Z11" s="227"/>
      <c r="AA11" s="272">
        <f t="shared" si="4"/>
        <v>0</v>
      </c>
      <c r="AB11" s="273">
        <f t="shared" si="5"/>
        <v>1</v>
      </c>
      <c r="AC11" s="273">
        <f>AA11*PRODUCT(AB3:AB10)*PRODUCT(AB12:AB17)</f>
        <v>0</v>
      </c>
      <c r="AD11" s="273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11"/>
      <c r="AF11" s="225"/>
      <c r="AG11" s="274">
        <f t="shared" si="12"/>
        <v>0.18328792569659444</v>
      </c>
      <c r="AH11" s="275">
        <f t="shared" si="6"/>
        <v>0.81671207430340553</v>
      </c>
      <c r="AI11" s="275">
        <f>AG11*PRODUCT(AH3:AH10)*PRODUCT(AH12:AH17)</f>
        <v>0.12266875739988739</v>
      </c>
      <c r="AJ11" s="275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2.317544458059366E-2</v>
      </c>
      <c r="AK11" s="211"/>
      <c r="AL11" s="228"/>
      <c r="AM11" s="211"/>
      <c r="AN11" s="216"/>
      <c r="AO11" s="230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I11" s="31">
        <v>0</v>
      </c>
      <c r="BJ11" s="31">
        <v>8</v>
      </c>
      <c r="BK11" s="107">
        <f t="shared" si="7"/>
        <v>4.1152204475135897E-4</v>
      </c>
      <c r="BM11" s="31">
        <f>BI50+1</f>
        <v>7</v>
      </c>
      <c r="BN11" s="31">
        <v>7</v>
      </c>
      <c r="BO11" s="107">
        <f>$H$32*H46</f>
        <v>5.5733296914083595E-6</v>
      </c>
      <c r="BQ11" s="31">
        <f>BQ8+1</f>
        <v>4</v>
      </c>
      <c r="BR11" s="31">
        <v>1</v>
      </c>
      <c r="BS11" s="107">
        <f>$H$29*H40</f>
        <v>1.0688209844426946E-2</v>
      </c>
    </row>
    <row r="12" spans="1:71" ht="15.75" x14ac:dyDescent="0.25">
      <c r="A12" s="6" t="s">
        <v>57</v>
      </c>
      <c r="B12" s="260">
        <v>16</v>
      </c>
      <c r="C12" s="261">
        <v>15.5</v>
      </c>
      <c r="E12" s="238"/>
      <c r="F12" s="238"/>
      <c r="G12" s="238"/>
      <c r="H12" s="238"/>
      <c r="I12" s="238"/>
      <c r="J12" s="236"/>
      <c r="K12" s="237">
        <v>25</v>
      </c>
      <c r="L12" s="237">
        <v>5</v>
      </c>
      <c r="M12" s="250">
        <v>2.5000000000000001E-2</v>
      </c>
      <c r="N12" s="250">
        <f t="shared" si="8"/>
        <v>2.5000000000000001E-2</v>
      </c>
      <c r="O12" s="237" t="s">
        <v>42</v>
      </c>
      <c r="P12" s="240">
        <f>COUNTIF(F6:H6,"IMP")+COUNTIF(E5,"IMP")+COUNTIF(I5,"IMP")</f>
        <v>0</v>
      </c>
      <c r="Q12" s="242">
        <f>COUNTIF(F11:H11,"IMP")+COUNTIF(E10,"IMP")+COUNTIF(I10,"IMP")</f>
        <v>2</v>
      </c>
      <c r="R12" s="249">
        <f t="shared" si="2"/>
        <v>2.5000000000000001E-2</v>
      </c>
      <c r="S12" s="249">
        <f t="shared" si="3"/>
        <v>3.004201680672269E-2</v>
      </c>
      <c r="T12" s="254">
        <f t="shared" ref="T12" si="13">IF(S12=0,0,S12*(P12^2.7/(P12^2.7+Q12^2.7))*P12/L12)</f>
        <v>0</v>
      </c>
      <c r="U12" s="256">
        <f>IF(S12=0,0,S12*Q12^2.7/(P12^2.7+Q12^2.7)*Q12/L12)</f>
        <v>1.2016806722689077E-2</v>
      </c>
      <c r="V12" s="246">
        <f>$G$18</f>
        <v>0.45</v>
      </c>
      <c r="W12" s="244">
        <f>$H$18</f>
        <v>0.45</v>
      </c>
      <c r="X12" s="279">
        <f t="shared" si="11"/>
        <v>0</v>
      </c>
      <c r="Y12" s="280">
        <f t="shared" si="11"/>
        <v>5.4075630252100847E-3</v>
      </c>
      <c r="Z12" s="227"/>
      <c r="AA12" s="272">
        <f t="shared" si="4"/>
        <v>0</v>
      </c>
      <c r="AB12" s="273">
        <f t="shared" si="5"/>
        <v>1</v>
      </c>
      <c r="AC12" s="273">
        <f>AA12*PRODUCT(AB3:AB11)*PRODUCT(AB13:AB17)</f>
        <v>0</v>
      </c>
      <c r="AD12" s="273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11"/>
      <c r="AF12" s="225"/>
      <c r="AG12" s="274">
        <f t="shared" si="12"/>
        <v>5.4075630252100847E-3</v>
      </c>
      <c r="AH12" s="275">
        <f t="shared" si="6"/>
        <v>0.99459243697478994</v>
      </c>
      <c r="AI12" s="275">
        <f>AG12*PRODUCT(AH3:AH11)*PRODUCT(AH13:AH17)</f>
        <v>2.9718406810903728E-3</v>
      </c>
      <c r="AJ12" s="275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5.4530325729888036E-4</v>
      </c>
      <c r="AK12" s="211"/>
      <c r="AL12" s="228"/>
      <c r="AM12" s="211"/>
      <c r="AN12" s="216"/>
      <c r="AO12" s="230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I12" s="31">
        <v>0</v>
      </c>
      <c r="BJ12" s="31">
        <v>9</v>
      </c>
      <c r="BK12" s="107">
        <f t="shared" si="7"/>
        <v>7.8142326148467932E-5</v>
      </c>
      <c r="BM12" s="31">
        <f>BI54+1</f>
        <v>8</v>
      </c>
      <c r="BN12" s="31">
        <v>8</v>
      </c>
      <c r="BO12" s="107">
        <f>$H$33*H47</f>
        <v>1.5779286241264665E-7</v>
      </c>
      <c r="BQ12" s="31">
        <f>BQ9+1</f>
        <v>4</v>
      </c>
      <c r="BR12" s="31">
        <v>2</v>
      </c>
      <c r="BS12" s="107">
        <f>$H$29*H41</f>
        <v>1.5981168903387317E-2</v>
      </c>
    </row>
    <row r="13" spans="1:71" ht="15.75" x14ac:dyDescent="0.25">
      <c r="A13" s="7" t="s">
        <v>60</v>
      </c>
      <c r="B13" s="260">
        <v>14.5</v>
      </c>
      <c r="C13" s="261">
        <v>12.75</v>
      </c>
      <c r="E13" s="238"/>
      <c r="F13" s="238" t="s">
        <v>158</v>
      </c>
      <c r="G13" s="245">
        <f>B22</f>
        <v>0.26315789473684209</v>
      </c>
      <c r="H13" s="238"/>
      <c r="I13" s="238"/>
      <c r="J13" s="236"/>
      <c r="K13" s="237">
        <v>37</v>
      </c>
      <c r="L13" s="237">
        <v>2</v>
      </c>
      <c r="M13" s="250">
        <v>0.18</v>
      </c>
      <c r="N13" s="250">
        <f t="shared" si="8"/>
        <v>0.18</v>
      </c>
      <c r="O13" s="237" t="s">
        <v>181</v>
      </c>
      <c r="P13" s="240">
        <f>COUNTIF(E5:I6,"CAB")</f>
        <v>0</v>
      </c>
      <c r="Q13" s="242">
        <f>COUNTIF(E10:I11,"CAB")</f>
        <v>4</v>
      </c>
      <c r="R13" s="249">
        <f t="shared" si="2"/>
        <v>0.18</v>
      </c>
      <c r="S13" s="249">
        <f t="shared" si="3"/>
        <v>0.21630252100840333</v>
      </c>
      <c r="T13" s="254">
        <f>IF((Q13+P13)=0,0,S13*P13^2.7/(Q13^2.7+P13^2.7))</f>
        <v>0</v>
      </c>
      <c r="U13" s="256">
        <f>IF(P13+Q13=0,0,S13*Q13^2.7/(Q13^2.7+P13^2.7))</f>
        <v>0.21630252100840333</v>
      </c>
      <c r="V13" s="246">
        <f>$G$17</f>
        <v>0.56999999999999995</v>
      </c>
      <c r="W13" s="244">
        <f>$H$17</f>
        <v>0.56999999999999995</v>
      </c>
      <c r="X13" s="279">
        <f t="shared" si="11"/>
        <v>0</v>
      </c>
      <c r="Y13" s="280">
        <f t="shared" si="11"/>
        <v>0.12329243697478989</v>
      </c>
      <c r="Z13" s="227"/>
      <c r="AA13" s="272">
        <f t="shared" si="4"/>
        <v>4.1097478991596638E-2</v>
      </c>
      <c r="AB13" s="273">
        <f t="shared" si="5"/>
        <v>0.95890252100840334</v>
      </c>
      <c r="AC13" s="273">
        <f>AA13*PRODUCT(AB3:AB12)*PRODUCT(AB14:AB17)</f>
        <v>2.4778986100487087E-2</v>
      </c>
      <c r="AD13" s="273">
        <f>AA13*AA14*PRODUCT(AB3:AB12)*PRODUCT(AB15:AB17)+AA13*AA15*PRODUCT(AB3:AB12)*AB14*PRODUCT(AB16:AB17)+AA13*AA16*PRODUCT(AB3:AB12)*AB14*AB15*AB17+AA13*AA17*PRODUCT(AB3:AB12)*AB14*AB15*AB16</f>
        <v>0</v>
      </c>
      <c r="AE13" s="211"/>
      <c r="AF13" s="225"/>
      <c r="AG13" s="274">
        <f t="shared" si="12"/>
        <v>0.12329243697478989</v>
      </c>
      <c r="AH13" s="275">
        <f t="shared" si="6"/>
        <v>0.87670756302521013</v>
      </c>
      <c r="AI13" s="275">
        <f>AG13*PRODUCT(AH3:AH12)*PRODUCT(AH14:AH17)</f>
        <v>7.6868918315753321E-2</v>
      </c>
      <c r="AJ13" s="275">
        <f>AG13*AG14*PRODUCT(AH3:AH12)*PRODUCT(AH15:AH17)+AG13*AG15*PRODUCT(AH3:AH12)*AH14*PRODUCT(AH16:AH17)+AG13*AG16*PRODUCT(AH3:AH12)*AH14*AH15*AH17+AG13*AG17*PRODUCT(AH3:AH12)*AH14*AH15*AH16</f>
        <v>3.294515017299392E-3</v>
      </c>
      <c r="AK13" s="211"/>
      <c r="AL13" s="228"/>
      <c r="AM13" s="211"/>
      <c r="AN13" s="216"/>
      <c r="AO13" s="230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I13" s="31">
        <v>0</v>
      </c>
      <c r="BJ13" s="31">
        <v>10</v>
      </c>
      <c r="BK13" s="107">
        <f t="shared" si="7"/>
        <v>1.0706990242113657E-5</v>
      </c>
      <c r="BM13" s="31">
        <f>BI57+1</f>
        <v>9</v>
      </c>
      <c r="BN13" s="31">
        <v>9</v>
      </c>
      <c r="BO13" s="107">
        <f>$H$34*H48</f>
        <v>2.5345785540490285E-9</v>
      </c>
      <c r="BQ13" s="31">
        <f>BM7+1</f>
        <v>4</v>
      </c>
      <c r="BR13" s="31">
        <v>3</v>
      </c>
      <c r="BS13" s="107">
        <f>$H$29*H42</f>
        <v>1.496837031185495E-2</v>
      </c>
    </row>
    <row r="14" spans="1:71" ht="15.75" x14ac:dyDescent="0.25">
      <c r="A14" s="7" t="s">
        <v>63</v>
      </c>
      <c r="B14" s="260">
        <v>12</v>
      </c>
      <c r="C14" s="261">
        <v>11</v>
      </c>
      <c r="E14" s="238"/>
      <c r="F14" s="238" t="s">
        <v>159</v>
      </c>
      <c r="G14" s="243">
        <f>C22</f>
        <v>0.73684210526315796</v>
      </c>
      <c r="H14" s="238"/>
      <c r="I14" s="238"/>
      <c r="J14" s="236"/>
      <c r="K14" s="237">
        <v>38</v>
      </c>
      <c r="L14" s="237">
        <v>2</v>
      </c>
      <c r="M14" s="250">
        <v>0.12</v>
      </c>
      <c r="N14" s="250">
        <f t="shared" si="8"/>
        <v>0.12</v>
      </c>
      <c r="O14" s="237" t="s">
        <v>182</v>
      </c>
      <c r="P14" s="240">
        <f>COUNTA(E5,I5)</f>
        <v>2</v>
      </c>
      <c r="Q14" s="242">
        <f>COUNTA(E10,I10)</f>
        <v>2</v>
      </c>
      <c r="R14" s="249">
        <f t="shared" si="2"/>
        <v>0.12</v>
      </c>
      <c r="S14" s="249">
        <f t="shared" si="3"/>
        <v>0.14420168067226891</v>
      </c>
      <c r="T14" s="254">
        <f>S14*P14^2.7/(Q14^2.7+P14^2.7)</f>
        <v>7.2100840336134453E-2</v>
      </c>
      <c r="U14" s="256">
        <f>S14*Q14^2.7/(Q14^2.7+P14^2.7)</f>
        <v>7.2100840336134453E-2</v>
      </c>
      <c r="V14" s="246">
        <f>$G$17</f>
        <v>0.56999999999999995</v>
      </c>
      <c r="W14" s="244">
        <f>$H$17</f>
        <v>0.56999999999999995</v>
      </c>
      <c r="X14" s="279">
        <f t="shared" si="11"/>
        <v>4.1097478991596638E-2</v>
      </c>
      <c r="Y14" s="280">
        <f t="shared" si="11"/>
        <v>4.1097478991596638E-2</v>
      </c>
      <c r="Z14" s="227"/>
      <c r="AA14" s="272">
        <f t="shared" si="4"/>
        <v>0</v>
      </c>
      <c r="AB14" s="273">
        <f t="shared" si="5"/>
        <v>1</v>
      </c>
      <c r="AC14" s="273">
        <f>AA14*PRODUCT(AB3:AB13)*PRODUCT(AB15:AB17)</f>
        <v>0</v>
      </c>
      <c r="AD14" s="273">
        <f>AA14*AA15*PRODUCT(AB3:AB13)*PRODUCT(AB16:AB17)+AA14*AA16*PRODUCT(AB3:AB13)*AB15*AB17+AA14*AA17*PRODUCT(AB3:AB13)*AB15*AB16</f>
        <v>0</v>
      </c>
      <c r="AE14" s="211"/>
      <c r="AF14" s="225"/>
      <c r="AG14" s="274">
        <f t="shared" si="12"/>
        <v>4.1097478991596638E-2</v>
      </c>
      <c r="AH14" s="275">
        <f t="shared" si="6"/>
        <v>0.95890252100840334</v>
      </c>
      <c r="AI14" s="275">
        <f>AG14*PRODUCT(AH3:AH13)*PRODUCT(AH15:AH17)</f>
        <v>2.3426629427051524E-2</v>
      </c>
      <c r="AJ14" s="275">
        <f>AG14*AG15*PRODUCT(AH3:AH13)*PRODUCT(AH16:AH17)+AG14*AG16*PRODUCT(AH3:AH13)*AH15*AH17+AG14*AG17*PRODUCT(AH3:AH13)*AH15*AH16</f>
        <v>0</v>
      </c>
      <c r="AK14" s="211"/>
      <c r="AL14" s="228"/>
      <c r="AM14" s="211"/>
      <c r="AN14" s="216"/>
      <c r="AO14" s="230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I14" s="31">
        <v>1</v>
      </c>
      <c r="BJ14" s="31">
        <v>2</v>
      </c>
      <c r="BK14" s="107">
        <f t="shared" ref="BK14:BK22" si="14">$H$26*H41</f>
        <v>7.8250495228436759E-2</v>
      </c>
      <c r="BM14" s="31">
        <f>BQ39+1</f>
        <v>10</v>
      </c>
      <c r="BN14" s="31">
        <v>10</v>
      </c>
      <c r="BO14" s="107">
        <f>$H$35*H49</f>
        <v>2.1974626574231674E-11</v>
      </c>
      <c r="BQ14" s="31">
        <f>BQ10+1</f>
        <v>5</v>
      </c>
      <c r="BR14" s="31">
        <v>0</v>
      </c>
      <c r="BS14" s="107">
        <f>$H$30*H39</f>
        <v>8.9903709768249078E-4</v>
      </c>
    </row>
    <row r="15" spans="1:71" ht="15.75" x14ac:dyDescent="0.25">
      <c r="A15" s="179" t="s">
        <v>67</v>
      </c>
      <c r="B15" s="262">
        <v>7.5</v>
      </c>
      <c r="C15" s="263">
        <v>12</v>
      </c>
      <c r="E15" s="238"/>
      <c r="F15" s="238"/>
      <c r="G15" s="238"/>
      <c r="H15" s="238"/>
      <c r="I15" s="238"/>
      <c r="J15" s="236"/>
      <c r="K15" s="237">
        <v>39</v>
      </c>
      <c r="L15" s="237">
        <v>8</v>
      </c>
      <c r="M15" s="250">
        <v>0.6</v>
      </c>
      <c r="N15" s="250">
        <f t="shared" si="8"/>
        <v>0.6</v>
      </c>
      <c r="O15" s="237" t="s">
        <v>183</v>
      </c>
      <c r="P15" s="240">
        <f>COUNTIF(E5:I6,"TEC")</f>
        <v>0</v>
      </c>
      <c r="Q15" s="242">
        <f>COUNTIF(E10:I11,"TEC")</f>
        <v>0</v>
      </c>
      <c r="R15" s="249">
        <f>IF(P15&lt;&gt;0,IF(Q1&lt;&gt;0,M15,IF(Q15&lt;&gt;0,IF(P1&lt;&gt;0,M15,0),0)),IF(Q15&lt;&gt;0,IF(P1&lt;&gt;0,M15,0),0))</f>
        <v>0</v>
      </c>
      <c r="S15" s="249">
        <f t="shared" si="3"/>
        <v>0</v>
      </c>
      <c r="T15" s="254">
        <f>IF(P15&lt;&gt;0,IF(Q1&lt;&gt;0,IF(Q15&lt;&gt;0,IF(P1&lt;&gt;0,S15*P15^2.7/(P15^2.7+Q15^2.7)*P15/L15,S15*P15/L15),S15*P15/L15),0),0)</f>
        <v>0</v>
      </c>
      <c r="U15" s="256">
        <f>IF(Q15&lt;&gt;0,IF(P1&lt;&gt;0,IF(P15&lt;&gt;0,IF(Q1&lt;&gt;0,S15*Q15^2.7/(P15^2.7+Q15^2.7)*Q15/L15,S15*Q15/L15),S15*Q15/L15),0),0)</f>
        <v>0</v>
      </c>
      <c r="V15" s="246">
        <f>$G$17</f>
        <v>0.56999999999999995</v>
      </c>
      <c r="W15" s="244">
        <f>$H$17</f>
        <v>0.56999999999999995</v>
      </c>
      <c r="X15" s="279">
        <f t="shared" si="11"/>
        <v>0</v>
      </c>
      <c r="Y15" s="280">
        <f t="shared" si="11"/>
        <v>0</v>
      </c>
      <c r="Z15" s="227"/>
      <c r="AA15" s="272">
        <f>X16</f>
        <v>0</v>
      </c>
      <c r="AB15" s="273">
        <f t="shared" si="5"/>
        <v>1</v>
      </c>
      <c r="AC15" s="273">
        <f>AA15*PRODUCT(AB3:AB14)*PRODUCT(AB16:AB17)</f>
        <v>0</v>
      </c>
      <c r="AD15" s="273">
        <f>AA15*AA16*PRODUCT(AB3:AB14)*AB17+AA15*AA17*PRODUCT(AB3:AB14)*AB16</f>
        <v>0</v>
      </c>
      <c r="AE15" s="211"/>
      <c r="AF15" s="225"/>
      <c r="AG15" s="274">
        <f t="shared" si="12"/>
        <v>0</v>
      </c>
      <c r="AH15" s="275">
        <f t="shared" si="6"/>
        <v>1</v>
      </c>
      <c r="AI15" s="275">
        <f>AG15*PRODUCT(AH3:AH14)*PRODUCT(AH16:AH17)</f>
        <v>0</v>
      </c>
      <c r="AJ15" s="275">
        <f>AG15*AG16*PRODUCT(AH3:AH14)*AH17+AG15*AG17*PRODUCT(AH3:AH14)*AH16</f>
        <v>0</v>
      </c>
      <c r="AK15" s="211"/>
      <c r="AL15" s="228"/>
      <c r="AM15" s="211"/>
      <c r="AN15" s="216"/>
      <c r="AO15" s="230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I15" s="31">
        <v>1</v>
      </c>
      <c r="BJ15" s="31">
        <v>3</v>
      </c>
      <c r="BK15" s="107">
        <f t="shared" si="14"/>
        <v>7.3291409204555694E-2</v>
      </c>
      <c r="BQ15" s="31">
        <f>BQ11+1</f>
        <v>5</v>
      </c>
      <c r="BR15" s="31">
        <v>1</v>
      </c>
      <c r="BS15" s="107">
        <f>$H$30*H40</f>
        <v>2.9058056908365169E-3</v>
      </c>
    </row>
    <row r="16" spans="1:71" x14ac:dyDescent="0.25">
      <c r="A16" s="179" t="s">
        <v>70</v>
      </c>
      <c r="B16" s="52">
        <v>12</v>
      </c>
      <c r="C16" s="54">
        <v>12</v>
      </c>
      <c r="E16" s="238"/>
      <c r="F16" s="238" t="s">
        <v>8</v>
      </c>
      <c r="G16" s="268">
        <v>0.7</v>
      </c>
      <c r="H16" s="269">
        <v>0.7</v>
      </c>
      <c r="I16" s="238"/>
      <c r="J16" s="236"/>
      <c r="K16" s="236"/>
      <c r="L16" s="236"/>
      <c r="M16" s="236"/>
      <c r="N16" s="236"/>
      <c r="O16" s="236"/>
      <c r="P16" s="238"/>
      <c r="Q16" s="238"/>
      <c r="V16" s="158"/>
      <c r="W16" s="158"/>
      <c r="X16" s="158"/>
      <c r="Y16" s="158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11"/>
      <c r="AN16" s="216"/>
      <c r="AO16" s="230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I16" s="31">
        <v>1</v>
      </c>
      <c r="BJ16" s="31">
        <v>4</v>
      </c>
      <c r="BK16" s="107">
        <f t="shared" si="14"/>
        <v>4.9148349573873595E-2</v>
      </c>
      <c r="BQ16" s="31">
        <f>BQ12+1</f>
        <v>5</v>
      </c>
      <c r="BR16" s="31">
        <v>2</v>
      </c>
      <c r="BS16" s="107">
        <f>$H$30*H41</f>
        <v>4.344803500456745E-3</v>
      </c>
    </row>
    <row r="17" spans="1:71" x14ac:dyDescent="0.25">
      <c r="A17" s="178" t="s">
        <v>74</v>
      </c>
      <c r="B17" s="264" t="s">
        <v>193</v>
      </c>
      <c r="C17" s="265" t="s">
        <v>75</v>
      </c>
      <c r="E17" s="238"/>
      <c r="F17" s="238" t="s">
        <v>160</v>
      </c>
      <c r="G17" s="268">
        <v>0.56999999999999995</v>
      </c>
      <c r="H17" s="269">
        <v>0.56999999999999995</v>
      </c>
      <c r="I17" s="238"/>
      <c r="J17" s="236"/>
      <c r="K17" s="237"/>
      <c r="L17" s="237"/>
      <c r="M17" s="237"/>
      <c r="N17" s="237"/>
      <c r="O17" s="237"/>
      <c r="P17" s="237"/>
      <c r="Q17" s="238"/>
      <c r="V17" s="158"/>
      <c r="W17" s="158"/>
      <c r="X17" s="158"/>
      <c r="Y17" s="158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8"/>
      <c r="AM17" s="211"/>
      <c r="AN17" s="216"/>
      <c r="AO17" s="230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I17" s="31">
        <v>1</v>
      </c>
      <c r="BJ17" s="31">
        <v>5</v>
      </c>
      <c r="BK17" s="107">
        <f t="shared" si="14"/>
        <v>2.5363945316388373E-2</v>
      </c>
      <c r="BQ17" s="31">
        <f>BQ13+1</f>
        <v>5</v>
      </c>
      <c r="BR17" s="31">
        <v>3</v>
      </c>
      <c r="BS17" s="107">
        <f>$H$30*H42</f>
        <v>4.0694537502382376E-3</v>
      </c>
    </row>
    <row r="18" spans="1:71" x14ac:dyDescent="0.25">
      <c r="A18" s="178" t="s">
        <v>78</v>
      </c>
      <c r="B18" s="264">
        <v>20</v>
      </c>
      <c r="C18" s="265">
        <v>20</v>
      </c>
      <c r="E18" s="238"/>
      <c r="F18" s="237" t="s">
        <v>3</v>
      </c>
      <c r="G18" s="268">
        <v>0.45</v>
      </c>
      <c r="H18" s="269">
        <v>0.45</v>
      </c>
      <c r="I18" s="238"/>
      <c r="J18" s="236"/>
      <c r="K18" s="237"/>
      <c r="L18" s="237"/>
      <c r="M18" s="237"/>
      <c r="N18" s="237"/>
      <c r="O18" s="237"/>
      <c r="P18" s="251"/>
      <c r="Q18" s="238"/>
      <c r="V18" s="158"/>
      <c r="W18" s="158"/>
      <c r="X18" s="158"/>
      <c r="Y18" s="158"/>
      <c r="Z18" s="227"/>
      <c r="AB18" s="173">
        <f>PRODUCT(AB3:AB17)</f>
        <v>0.57815303572872878</v>
      </c>
      <c r="AC18" s="174">
        <f>SUM(AC3:AC17)</f>
        <v>0.35277468933459066</v>
      </c>
      <c r="AD18" s="174">
        <f>SUM(AD3:AD17)</f>
        <v>6.5430752389901564E-2</v>
      </c>
      <c r="AE18" s="174">
        <f>1-AB18-AC18-AD18</f>
        <v>3.6415225467789913E-3</v>
      </c>
      <c r="AF18" s="225"/>
      <c r="AG18" s="158"/>
      <c r="AH18" s="175">
        <f>PRODUCT(AH3:AH17)</f>
        <v>0.54659931868138734</v>
      </c>
      <c r="AI18" s="174">
        <f>SUM(AI3:AI17)</f>
        <v>0.32142224976749934</v>
      </c>
      <c r="AJ18" s="174">
        <f>SUM(AJ3:AJ17)</f>
        <v>7.2080441514478719E-2</v>
      </c>
      <c r="AK18" s="174">
        <f>1-AH18-AI18-AJ18</f>
        <v>5.989799003663461E-2</v>
      </c>
      <c r="AL18" s="228"/>
      <c r="AM18" s="211"/>
      <c r="AN18" s="216"/>
      <c r="AO18" s="230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I18" s="31">
        <v>1</v>
      </c>
      <c r="BJ18" s="31">
        <v>6</v>
      </c>
      <c r="BK18" s="107">
        <f t="shared" si="14"/>
        <v>1.0389853779899851E-2</v>
      </c>
      <c r="BQ18" s="31">
        <f>BM8+1</f>
        <v>5</v>
      </c>
      <c r="BR18" s="31">
        <v>4</v>
      </c>
      <c r="BS18" s="107">
        <f>$H$30*H43</f>
        <v>2.7289274099397127E-3</v>
      </c>
    </row>
    <row r="19" spans="1:71" ht="9" customHeight="1" x14ac:dyDescent="0.25">
      <c r="E19" s="211"/>
      <c r="F19" s="211"/>
      <c r="G19" s="211"/>
      <c r="H19" s="212"/>
      <c r="I19" s="211"/>
      <c r="J19" s="211"/>
      <c r="K19" s="211"/>
      <c r="L19" s="212"/>
      <c r="M19" s="212"/>
      <c r="N19" s="211"/>
      <c r="O19" s="211"/>
      <c r="P19" s="221"/>
      <c r="Q19" s="222"/>
      <c r="R19" s="223"/>
      <c r="S19" s="224"/>
      <c r="T19" s="225"/>
      <c r="U19" s="225"/>
      <c r="V19" s="225"/>
      <c r="W19" s="231"/>
      <c r="X19" s="211"/>
      <c r="Y19" s="226"/>
      <c r="Z19" s="227"/>
      <c r="AA19" s="227"/>
      <c r="AB19" s="227"/>
      <c r="AC19" s="224"/>
      <c r="AD19" s="225"/>
      <c r="AE19" s="225"/>
      <c r="AF19" s="225"/>
      <c r="AG19" s="231"/>
      <c r="AH19" s="228"/>
      <c r="AI19" s="211"/>
      <c r="AJ19" s="229"/>
      <c r="AK19" s="211"/>
      <c r="AL19" s="228"/>
      <c r="AM19" s="211"/>
      <c r="AN19" s="216"/>
      <c r="AO19" s="230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I19" s="31">
        <v>1</v>
      </c>
      <c r="BJ19" s="31">
        <v>7</v>
      </c>
      <c r="BK19" s="107">
        <f t="shared" si="14"/>
        <v>3.3751901531078867E-3</v>
      </c>
      <c r="BQ19" s="31">
        <f>BQ15+1</f>
        <v>6</v>
      </c>
      <c r="BR19" s="31">
        <v>1</v>
      </c>
      <c r="BS19" s="107">
        <f>$H$31*H40</f>
        <v>5.7989496174650098E-4</v>
      </c>
    </row>
    <row r="20" spans="1:71" x14ac:dyDescent="0.25">
      <c r="A20" s="180" t="s">
        <v>85</v>
      </c>
      <c r="B20" s="31">
        <f>IF(B17="Pres",IF(C17="Pres",2,1),IF(C17="Pres",1,0))</f>
        <v>0</v>
      </c>
      <c r="D20" s="196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32"/>
      <c r="Q20" s="232"/>
      <c r="R20" s="232"/>
      <c r="S20" s="211"/>
      <c r="T20" s="233"/>
      <c r="U20" s="234"/>
      <c r="V20" s="234"/>
      <c r="W20" s="234"/>
      <c r="X20" s="211"/>
      <c r="Y20" s="232"/>
      <c r="Z20" s="232"/>
      <c r="AA20" s="232"/>
      <c r="AB20" s="232"/>
      <c r="AC20" s="212"/>
      <c r="AD20" s="235"/>
      <c r="AE20" s="234"/>
      <c r="AF20" s="234"/>
      <c r="AG20" s="234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I20" s="31">
        <v>1</v>
      </c>
      <c r="BJ20" s="31">
        <v>8</v>
      </c>
      <c r="BK20" s="107">
        <f t="shared" si="14"/>
        <v>8.5164315968726636E-4</v>
      </c>
      <c r="BQ20" s="31">
        <f>BQ16+1</f>
        <v>6</v>
      </c>
      <c r="BR20" s="31">
        <v>2</v>
      </c>
      <c r="BS20" s="107">
        <f>$H$31*H41</f>
        <v>8.6706749444355013E-4</v>
      </c>
    </row>
    <row r="21" spans="1:71" x14ac:dyDescent="0.25">
      <c r="A21" s="180" t="s">
        <v>86</v>
      </c>
      <c r="B21" s="181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1.617152188933236E-4</v>
      </c>
      <c r="BQ21" s="31">
        <f>BQ17+1</f>
        <v>6</v>
      </c>
      <c r="BR21" s="31">
        <v>3</v>
      </c>
      <c r="BS21" s="107">
        <f>$H$31*H42</f>
        <v>8.1211752536151439E-4</v>
      </c>
    </row>
    <row r="22" spans="1:71" x14ac:dyDescent="0.25">
      <c r="A22" s="26" t="s">
        <v>87</v>
      </c>
      <c r="B22" s="197">
        <f>(B6)/((B6)+(C6))</f>
        <v>0.26315789473684209</v>
      </c>
      <c r="C22" s="198">
        <f>1-B22</f>
        <v>0.73684210526315796</v>
      </c>
      <c r="V22" s="199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4"/>
        <v>2.2158071765131825E-5</v>
      </c>
      <c r="BQ22" s="31">
        <f>BQ18+1</f>
        <v>6</v>
      </c>
      <c r="BR22" s="31">
        <v>4</v>
      </c>
      <c r="BS22" s="107">
        <f>$H$31*H43</f>
        <v>5.4459637854876791E-4</v>
      </c>
    </row>
    <row r="23" spans="1:71" ht="15.75" thickBot="1" x14ac:dyDescent="0.3">
      <c r="A23" s="40" t="s">
        <v>88</v>
      </c>
      <c r="B23" s="56">
        <f>((B22^2.8)/((B22^2.8)+(C22^2.8)))*B21</f>
        <v>0.2650182730114054</v>
      </c>
      <c r="C23" s="57">
        <f>B21-B23</f>
        <v>4.734981726988595</v>
      </c>
      <c r="D23" s="149">
        <f>SUM(D25:D30)</f>
        <v>1</v>
      </c>
      <c r="E23" s="149">
        <f>SUM(E25:E30)</f>
        <v>1</v>
      </c>
      <c r="H23" s="257">
        <f>SUM(H25:H35)</f>
        <v>0.99999998544595337</v>
      </c>
      <c r="I23" s="81"/>
      <c r="J23" s="257">
        <f>SUM(J25:J35)</f>
        <v>1</v>
      </c>
      <c r="K23" s="257"/>
      <c r="L23" s="257">
        <f>SUM(L25:L35)</f>
        <v>1</v>
      </c>
      <c r="M23" s="81"/>
      <c r="N23" s="257">
        <f>SUM(N25:N35)</f>
        <v>1</v>
      </c>
      <c r="O23" s="81"/>
      <c r="P23" s="257">
        <f>SUM(P25:P35)</f>
        <v>1</v>
      </c>
      <c r="Q23" s="81"/>
      <c r="R23" s="257">
        <f>SUM(R25:R35)</f>
        <v>1.0000000000000002</v>
      </c>
      <c r="S23" s="81"/>
      <c r="T23" s="257">
        <f>SUM(T25:T35)</f>
        <v>1</v>
      </c>
      <c r="V23" s="199">
        <f>SUM(V25:V34)</f>
        <v>0.99985064661010103</v>
      </c>
      <c r="Y23" s="196">
        <f>SUM(Y25:Y35)</f>
        <v>5.9635715665960322E-3</v>
      </c>
      <c r="Z23" s="81"/>
      <c r="AA23" s="196">
        <f>SUM(AA25:AA35)</f>
        <v>4.1871675000873847E-2</v>
      </c>
      <c r="AB23" s="81"/>
      <c r="AC23" s="196">
        <f>SUM(AC25:AC35)</f>
        <v>0.1291173049130491</v>
      </c>
      <c r="AD23" s="81"/>
      <c r="AE23" s="196">
        <f>SUM(AE25:AE35)</f>
        <v>0.22945086673756687</v>
      </c>
      <c r="AF23" s="81"/>
      <c r="AG23" s="196">
        <f>SUM(AG25:AG35)</f>
        <v>0.25929066460366196</v>
      </c>
      <c r="AH23" s="81"/>
      <c r="AI23" s="196">
        <f>SUM(AI25:AI35)</f>
        <v>0.19421496668391716</v>
      </c>
      <c r="AJ23" s="81"/>
      <c r="AK23" s="196">
        <f>SUM(AK25:AK35)</f>
        <v>9.7842151408299688E-2</v>
      </c>
      <c r="AL23" s="81"/>
      <c r="AM23" s="196">
        <f>SUM(AM25:AM35)</f>
        <v>3.3232850608522137E-2</v>
      </c>
      <c r="AN23" s="81"/>
      <c r="AO23" s="196">
        <f>SUM(AO25:AO35)</f>
        <v>7.6481483714469561E-3</v>
      </c>
      <c r="AP23" s="81"/>
      <c r="AQ23" s="196">
        <f>SUM(AQ25:AQ35)</f>
        <v>1.2184467161673862E-3</v>
      </c>
      <c r="AR23" s="81"/>
      <c r="AS23" s="196">
        <f>SUM(AS25:AS35)</f>
        <v>1.4935338989896516E-4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6.9022190445422196E-2</v>
      </c>
      <c r="BQ23" s="31">
        <f>BM9+1</f>
        <v>6</v>
      </c>
      <c r="BR23" s="31">
        <v>5</v>
      </c>
      <c r="BS23" s="107">
        <f>$H$31*H44</f>
        <v>2.8104937164272355E-4</v>
      </c>
    </row>
    <row r="24" spans="1:71" ht="15.75" thickBot="1" x14ac:dyDescent="0.3">
      <c r="A24" s="26" t="s">
        <v>89</v>
      </c>
      <c r="B24" s="64">
        <f>B23/B21</f>
        <v>5.3003654602281083E-2</v>
      </c>
      <c r="C24" s="65">
        <f>C23/B21</f>
        <v>0.94699634539771904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4.6285462118733911E-2</v>
      </c>
      <c r="BQ24" s="31">
        <f>BI49+1</f>
        <v>7</v>
      </c>
      <c r="BR24" s="31">
        <v>0</v>
      </c>
      <c r="BS24" s="107">
        <f t="shared" ref="BS24:BS30" si="17">$H$32*H39</f>
        <v>2.6736900328859628E-5</v>
      </c>
    </row>
    <row r="25" spans="1:71" x14ac:dyDescent="0.25">
      <c r="A25" s="26" t="s">
        <v>114</v>
      </c>
      <c r="B25" s="200">
        <f>1/(1+EXP(-3.1416*4*((B11/(B11+C8))-(3.1416/6))))</f>
        <v>3.9946535022453711E-2</v>
      </c>
      <c r="C25" s="198">
        <f>1/(1+EXP(-3.1416*4*((C11/(C11+B8))-(3.1416/6))))</f>
        <v>0.11813957403517025</v>
      </c>
      <c r="D25" s="195">
        <f>IF(B17="AOW",0.36-0.08,IF(B17="AIM",0.36+0.08,IF(B17="TL",(0.361)-(0.36*B32),0.36)))</f>
        <v>0.36</v>
      </c>
      <c r="E25" s="195">
        <f>IF(C17="AOW",0.36-0.08,IF(C17="AIM",0.36+0.08,IF(C17="TL",(0.361)-(0.36*C32),0.36)))</f>
        <v>0.36</v>
      </c>
      <c r="G25" s="124">
        <v>0</v>
      </c>
      <c r="H25" s="125">
        <f>L25*J25</f>
        <v>0.14949663600606161</v>
      </c>
      <c r="I25" s="97">
        <v>0</v>
      </c>
      <c r="J25" s="98">
        <f t="shared" ref="J25:J35" si="18">Y25+AA25+AC25+AE25+AG25+AI25+AK25+AM25+AO25+AQ25+AS25</f>
        <v>0.25857623633789223</v>
      </c>
      <c r="K25" s="97">
        <v>0</v>
      </c>
      <c r="L25" s="98">
        <f>AB18</f>
        <v>0.57815303572872878</v>
      </c>
      <c r="M25" s="85">
        <v>0</v>
      </c>
      <c r="N25" s="201">
        <f>(1-$B$24)^$B$21</f>
        <v>0.76162556795415715</v>
      </c>
      <c r="O25" s="72">
        <v>0</v>
      </c>
      <c r="P25" s="201">
        <f t="shared" ref="P25:P30" si="19">N25</f>
        <v>0.76162556795415715</v>
      </c>
      <c r="Q25" s="28">
        <v>0</v>
      </c>
      <c r="R25" s="202">
        <f>P25*N25</f>
        <v>0.58007350576149241</v>
      </c>
      <c r="S25" s="72">
        <v>0</v>
      </c>
      <c r="T25" s="203">
        <f>(1-$B$33)^(INT(C23*2*(1-C31)))</f>
        <v>1.0280717025280002E-2</v>
      </c>
      <c r="U25" s="138">
        <v>0</v>
      </c>
      <c r="V25" s="86">
        <f>R25*T25</f>
        <v>5.9635715665960322E-3</v>
      </c>
      <c r="W25" s="134">
        <f>B31</f>
        <v>0.32313703436701702</v>
      </c>
      <c r="X25" s="28">
        <v>0</v>
      </c>
      <c r="Y25" s="204">
        <f>V25</f>
        <v>5.9635715665960322E-3</v>
      </c>
      <c r="Z25" s="28">
        <v>0</v>
      </c>
      <c r="AA25" s="204">
        <f>((1-W25)^Z26)*V26</f>
        <v>2.8341386117111907E-2</v>
      </c>
      <c r="AB25" s="28">
        <v>0</v>
      </c>
      <c r="AC25" s="204">
        <f>(((1-$W$25)^AB27))*V27</f>
        <v>5.9154250658076869E-2</v>
      </c>
      <c r="AD25" s="28">
        <v>0</v>
      </c>
      <c r="AE25" s="204">
        <f>(((1-$W$25)^AB28))*V28</f>
        <v>7.1152794235292721E-2</v>
      </c>
      <c r="AF25" s="28">
        <v>0</v>
      </c>
      <c r="AG25" s="204">
        <f>(((1-$W$25)^AB29))*V29</f>
        <v>5.4423928911120599E-2</v>
      </c>
      <c r="AH25" s="28">
        <v>0</v>
      </c>
      <c r="AI25" s="204">
        <f>(((1-$W$25)^AB30))*V30</f>
        <v>2.7592208105362413E-2</v>
      </c>
      <c r="AJ25" s="28">
        <v>0</v>
      </c>
      <c r="AK25" s="204">
        <f>(((1-$W$25)^AB31))*V31</f>
        <v>9.4087192209978566E-3</v>
      </c>
      <c r="AL25" s="28">
        <v>0</v>
      </c>
      <c r="AM25" s="204">
        <f>(((1-$W$25)^AB32))*V32</f>
        <v>2.1630813975445661E-3</v>
      </c>
      <c r="AN25" s="28">
        <v>0</v>
      </c>
      <c r="AO25" s="204">
        <f>(((1-$W$25)^AB33))*V33</f>
        <v>3.3694756644276908E-4</v>
      </c>
      <c r="AP25" s="28">
        <v>0</v>
      </c>
      <c r="AQ25" s="204">
        <f>(((1-$W$25)^AB34))*V34</f>
        <v>3.6334008532896606E-5</v>
      </c>
      <c r="AR25" s="28">
        <v>0</v>
      </c>
      <c r="AS25" s="204">
        <f>(((1-$W$25)^AB35))*V35</f>
        <v>3.0145508135689309E-6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2.3886497518268667E-2</v>
      </c>
      <c r="BQ25" s="31">
        <f>BQ19+1</f>
        <v>7</v>
      </c>
      <c r="BR25" s="31">
        <v>1</v>
      </c>
      <c r="BS25" s="107">
        <f t="shared" si="17"/>
        <v>8.6417164910326425E-5</v>
      </c>
    </row>
    <row r="26" spans="1:71" x14ac:dyDescent="0.25">
      <c r="A26" s="40" t="s">
        <v>115</v>
      </c>
      <c r="B26" s="197">
        <f>1/(1+EXP(-3.1416*4*((B10/(B10+C9))-(3.1416/6))))</f>
        <v>0.46362183372383559</v>
      </c>
      <c r="C26" s="198">
        <f>1/(1+EXP(-3.1416*4*((C10/(C10+B9))-(3.1416/6))))</f>
        <v>0.18398482079552167</v>
      </c>
      <c r="D26" s="195">
        <f>IF(B17="AOW",0.257+0.04,IF(B17="AIM",0.257-0.04,IF(B17="TL",(0.257)-(0.257*B32),0.257)))</f>
        <v>0.25700000000000001</v>
      </c>
      <c r="E26" s="195">
        <f>IF(C17="AOW",0.257+0.04,IF(C17="AIM",0.257-0.04,IF(C17="TL",(0.257)-(0.257*C32),0.257)))</f>
        <v>0.25700000000000001</v>
      </c>
      <c r="G26" s="87">
        <v>1</v>
      </c>
      <c r="H26" s="126">
        <f>L25*J26+L26*J25</f>
        <v>0.30938266631073114</v>
      </c>
      <c r="I26" s="138">
        <v>1</v>
      </c>
      <c r="J26" s="86">
        <f t="shared" si="18"/>
        <v>0.37734561852181731</v>
      </c>
      <c r="K26" s="138">
        <v>1</v>
      </c>
      <c r="L26" s="86">
        <f>AC18</f>
        <v>0.35277468933459066</v>
      </c>
      <c r="M26" s="85">
        <v>1</v>
      </c>
      <c r="N26" s="201">
        <f>(($B$24)^M26)*((1-($B$24))^($B$21-M26))*HLOOKUP($B$21,$AV$24:$BF$34,M26+1)</f>
        <v>0.21314199751823848</v>
      </c>
      <c r="O26" s="72">
        <v>1</v>
      </c>
      <c r="P26" s="201">
        <f t="shared" si="19"/>
        <v>0.21314199751823848</v>
      </c>
      <c r="Q26" s="28">
        <v>1</v>
      </c>
      <c r="R26" s="202">
        <f>N26*P25+P26*N25</f>
        <v>0.32466878982942388</v>
      </c>
      <c r="S26" s="72">
        <v>1</v>
      </c>
      <c r="T26" s="203">
        <f t="shared" ref="T26:T35" si="20">(($B$33)^S26)*((1-($B$33))^(INT($C$23*2*(1-$C$31))-S26))*HLOOKUP(INT($C$23*2*(1-$C$31)),$AV$24:$BF$34,S26+1)</f>
        <v>6.6429248471040009E-2</v>
      </c>
      <c r="U26" s="138">
        <v>1</v>
      </c>
      <c r="V26" s="86">
        <f>R26*T25+T26*R25</f>
        <v>4.1871675000873847E-2</v>
      </c>
      <c r="W26" s="205"/>
      <c r="X26" s="28">
        <v>1</v>
      </c>
      <c r="Y26" s="202"/>
      <c r="Z26" s="28">
        <v>1</v>
      </c>
      <c r="AA26" s="204">
        <f>(1-((1-W25)^Z26))*V26</f>
        <v>1.353028888376194E-2</v>
      </c>
      <c r="AB26" s="28">
        <v>1</v>
      </c>
      <c r="AC26" s="204">
        <f>((($W$25)^M26)*((1-($W$25))^($U$27-M26))*HLOOKUP($U$27,$AV$24:$BF$34,M26+1))*V27</f>
        <v>5.6480942519815329E-2</v>
      </c>
      <c r="AD26" s="28">
        <v>1</v>
      </c>
      <c r="AE26" s="204">
        <f>((($W$25)^M26)*((1-($W$25))^($U$28-M26))*HLOOKUP($U$28,$AV$24:$BF$34,M26+1))*V28</f>
        <v>0.10190586906147617</v>
      </c>
      <c r="AF26" s="28">
        <v>1</v>
      </c>
      <c r="AG26" s="204">
        <f>((($W$25)^M26)*((1-($W$25))^($U$29-M26))*HLOOKUP($U$29,$AV$24:$BF$34,M26+1))*V29</f>
        <v>0.1039287884246678</v>
      </c>
      <c r="AH26" s="28">
        <v>1</v>
      </c>
      <c r="AI26" s="204">
        <f>((($W$25)^M26)*((1-($W$25))^($U$30-M26))*HLOOKUP($U$30,$AV$24:$BF$34,M26+1))*V30</f>
        <v>6.5863141813840634E-2</v>
      </c>
      <c r="AJ26" s="28">
        <v>1</v>
      </c>
      <c r="AK26" s="204">
        <f>((($W$25)^M26)*((1-($W$25))^($U$31-M26))*HLOOKUP($U$31,$AV$24:$BF$34,M26+1))*V31</f>
        <v>2.695055673570786E-2</v>
      </c>
      <c r="AL26" s="28">
        <v>1</v>
      </c>
      <c r="AM26" s="204">
        <f>((($W$25)^Q26)*((1-($W$25))^($U$32-Q26))*HLOOKUP($U$32,$AV$24:$BF$34,Q26+1))*V32</f>
        <v>7.2286447977006479E-3</v>
      </c>
      <c r="AN26" s="28">
        <v>1</v>
      </c>
      <c r="AO26" s="204">
        <f>((($W$25)^Q26)*((1-($W$25))^($U$33-Q26))*HLOOKUP($U$33,$AV$24:$BF$34,Q26+1))*V33</f>
        <v>1.2868807174956382E-3</v>
      </c>
      <c r="AP26" s="28">
        <v>1</v>
      </c>
      <c r="AQ26" s="204">
        <f>((($W$25)^Q26)*((1-($W$25))^($U$34-Q26))*HLOOKUP($U$34,$AV$24:$BF$34,Q26+1))*V34</f>
        <v>1.5611398354031293E-4</v>
      </c>
      <c r="AR26" s="28">
        <v>1</v>
      </c>
      <c r="AS26" s="204">
        <f>((($W$25)^Q26)*((1-($W$25))^($U$35-Q26))*HLOOKUP($U$35,$AV$24:$BF$34,Q26+1))*V35</f>
        <v>1.4391583810976864E-5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9.7846456232657808E-3</v>
      </c>
      <c r="BQ26" s="31">
        <f>BQ20+1</f>
        <v>7</v>
      </c>
      <c r="BR26" s="31">
        <v>2</v>
      </c>
      <c r="BS26" s="107">
        <f t="shared" si="17"/>
        <v>1.2921221876120901E-4</v>
      </c>
    </row>
    <row r="27" spans="1:71" x14ac:dyDescent="0.25">
      <c r="A27" s="26" t="s">
        <v>116</v>
      </c>
      <c r="B27" s="197">
        <f>1/(1+EXP(-3.1416*4*((B12/(B12+C7))-(3.1416/6))))</f>
        <v>0.38060831534430095</v>
      </c>
      <c r="C27" s="198">
        <f>1/(1+EXP(-3.1416*4*((C12/(C12+B7))-(3.1416/6))))</f>
        <v>0.17462355450482875</v>
      </c>
      <c r="D27" s="195">
        <f>D26</f>
        <v>0.25700000000000001</v>
      </c>
      <c r="E27" s="195">
        <f>E26</f>
        <v>0.25700000000000001</v>
      </c>
      <c r="G27" s="87">
        <v>2</v>
      </c>
      <c r="H27" s="126">
        <f>L25*J27+J26*L26+J25*L27</f>
        <v>0.29136115059559314</v>
      </c>
      <c r="I27" s="138">
        <v>2</v>
      </c>
      <c r="J27" s="86">
        <f t="shared" si="18"/>
        <v>0.24444104038634262</v>
      </c>
      <c r="K27" s="138">
        <v>2</v>
      </c>
      <c r="L27" s="86">
        <f>AD18</f>
        <v>6.5430752389901564E-2</v>
      </c>
      <c r="M27" s="85">
        <v>2</v>
      </c>
      <c r="N27" s="201">
        <f>(($B$24)^M27)*((1-($B$24))^($B$21-M27))*HLOOKUP($B$21,$AV$24:$BF$34,M27+1)</f>
        <v>2.3859236358409239E-2</v>
      </c>
      <c r="O27" s="72">
        <v>2</v>
      </c>
      <c r="P27" s="201">
        <f t="shared" si="19"/>
        <v>2.3859236358409239E-2</v>
      </c>
      <c r="Q27" s="28">
        <v>2</v>
      </c>
      <c r="R27" s="202">
        <f>P25*N27+P26*N26+P27*N25</f>
        <v>8.1773119990916604E-2</v>
      </c>
      <c r="S27" s="72">
        <v>2</v>
      </c>
      <c r="T27" s="203">
        <f t="shared" si="20"/>
        <v>0.18395791884288007</v>
      </c>
      <c r="U27" s="138">
        <v>2</v>
      </c>
      <c r="V27" s="86">
        <f>R27*T25+T26*R26+R25*T27</f>
        <v>0.1291173049130491</v>
      </c>
      <c r="W27" s="205"/>
      <c r="X27" s="28">
        <v>2</v>
      </c>
      <c r="Y27" s="202"/>
      <c r="Z27" s="28">
        <v>2</v>
      </c>
      <c r="AA27" s="204"/>
      <c r="AB27" s="28">
        <v>2</v>
      </c>
      <c r="AC27" s="204">
        <f>((($W$25)^M27)*((1-($W$25))^($U$27-M27))*HLOOKUP($U$27,$AV$24:$BF$34,M27+1))*V27</f>
        <v>1.3482111735156897E-2</v>
      </c>
      <c r="AD27" s="28">
        <v>2</v>
      </c>
      <c r="AE27" s="204">
        <f>((($W$25)^M27)*((1-($W$25))^($U$28-M27))*HLOOKUP($U$28,$AV$24:$BF$34,M27+1))*V28</f>
        <v>4.8650261552313147E-2</v>
      </c>
      <c r="AF27" s="28">
        <v>2</v>
      </c>
      <c r="AG27" s="204">
        <f>((($W$25)^M27)*((1-($W$25))^($U$29-M27))*HLOOKUP($U$29,$AV$24:$BF$34,M27+1))*V29</f>
        <v>7.4424016784915017E-2</v>
      </c>
      <c r="AH27" s="28">
        <v>2</v>
      </c>
      <c r="AI27" s="204">
        <f>((($W$25)^M27)*((1-($W$25))^($U$30-M27))*HLOOKUP($U$30,$AV$24:$BF$34,M27+1))*V30</f>
        <v>6.2886644418241003E-2</v>
      </c>
      <c r="AJ27" s="28">
        <v>2</v>
      </c>
      <c r="AK27" s="204">
        <f>((($W$25)^M27)*((1-($W$25))^($U$31-M27))*HLOOKUP($U$31,$AV$24:$BF$34,M27+1))*V31</f>
        <v>3.2165753706041973E-2</v>
      </c>
      <c r="AL27" s="28">
        <v>2</v>
      </c>
      <c r="AM27" s="204">
        <f>((($W$25)^Q27)*((1-($W$25))^($U$32-Q27))*HLOOKUP($U$32,$AV$24:$BF$34,Q27+1))*V32</f>
        <v>1.0352950128851292E-2</v>
      </c>
      <c r="AN27" s="28">
        <v>2</v>
      </c>
      <c r="AO27" s="204">
        <f>((($W$25)^Q27)*((1-($W$25))^($U$33-Q27))*HLOOKUP($U$33,$AV$24:$BF$34,Q27+1))*V33</f>
        <v>2.1502666553246215E-3</v>
      </c>
      <c r="AP27" s="28">
        <v>2</v>
      </c>
      <c r="AQ27" s="204">
        <f>((($W$25)^Q27)*((1-($W$25))^($U$34-Q27))*HLOOKUP($U$34,$AV$24:$BF$34,Q27+1))*V34</f>
        <v>2.9811771200843982E-4</v>
      </c>
      <c r="AR27" s="28">
        <v>2</v>
      </c>
      <c r="AS27" s="204">
        <f>((($W$25)^Q27)*((1-($W$25))^($U$35-Q27))*HLOOKUP($U$35,$AV$24:$BF$34,Q27+1))*V35</f>
        <v>3.091769349026962E-5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3.1785855950337712E-3</v>
      </c>
      <c r="BQ27" s="31">
        <f>BQ21+1</f>
        <v>7</v>
      </c>
      <c r="BR27" s="31">
        <v>3</v>
      </c>
      <c r="BS27" s="107">
        <f t="shared" si="17"/>
        <v>1.210234589801653E-4</v>
      </c>
    </row>
    <row r="28" spans="1:71" x14ac:dyDescent="0.25">
      <c r="A28" s="26" t="s">
        <v>117</v>
      </c>
      <c r="B28" s="266">
        <v>0.9</v>
      </c>
      <c r="C28" s="267">
        <v>0.9</v>
      </c>
      <c r="D28" s="195">
        <v>8.5000000000000006E-2</v>
      </c>
      <c r="E28" s="195">
        <v>8.5000000000000006E-2</v>
      </c>
      <c r="G28" s="87">
        <v>3</v>
      </c>
      <c r="H28" s="126">
        <f>J28*L25+J27*L26+L28*J25+L27*J26</f>
        <v>0.1653942623009835</v>
      </c>
      <c r="I28" s="138">
        <v>3</v>
      </c>
      <c r="J28" s="86">
        <f t="shared" si="18"/>
        <v>9.2587996576018738E-2</v>
      </c>
      <c r="K28" s="138">
        <v>3</v>
      </c>
      <c r="L28" s="86">
        <f>AE18</f>
        <v>3.6415225467789913E-3</v>
      </c>
      <c r="M28" s="85">
        <v>3</v>
      </c>
      <c r="N28" s="201">
        <f>(($B$24)^M28)*((1-($B$24))^($B$21-M28))*HLOOKUP($B$21,$AV$24:$BF$34,M28+1)</f>
        <v>1.3354082401280999E-3</v>
      </c>
      <c r="O28" s="72">
        <v>3</v>
      </c>
      <c r="P28" s="201">
        <f t="shared" si="19"/>
        <v>1.3354082401280999E-3</v>
      </c>
      <c r="Q28" s="28">
        <v>3</v>
      </c>
      <c r="R28" s="202">
        <f>P25*N28+P26*N27+P27*N26+P28*N25</f>
        <v>1.2204972712058705E-2</v>
      </c>
      <c r="S28" s="72">
        <v>3</v>
      </c>
      <c r="T28" s="203">
        <f t="shared" si="20"/>
        <v>0.28301218283520002</v>
      </c>
      <c r="U28" s="138">
        <v>3</v>
      </c>
      <c r="V28" s="86">
        <f>R28*T25+R27*T26+R26*T27+R25*T28</f>
        <v>0.22945086673756687</v>
      </c>
      <c r="W28" s="205"/>
      <c r="X28" s="28">
        <v>3</v>
      </c>
      <c r="Y28" s="202"/>
      <c r="Z28" s="28">
        <v>3</v>
      </c>
      <c r="AA28" s="204"/>
      <c r="AB28" s="28">
        <v>3</v>
      </c>
      <c r="AC28" s="204"/>
      <c r="AD28" s="28">
        <v>3</v>
      </c>
      <c r="AE28" s="204">
        <f>((($W$25)^M28)*((1-($W$25))^($U$28-M28))*HLOOKUP($U$28,$AV$24:$BF$34,M28+1))*V28</f>
        <v>7.7419418884848313E-3</v>
      </c>
      <c r="AF28" s="28">
        <v>3</v>
      </c>
      <c r="AG28" s="204">
        <f>((($W$25)^M28)*((1-($W$25))^($U$29-M28))*HLOOKUP($U$29,$AV$24:$BF$34,M28+1))*V29</f>
        <v>2.3686878330011204E-2</v>
      </c>
      <c r="AH28" s="28">
        <v>3</v>
      </c>
      <c r="AI28" s="204">
        <f>((($W$25)^M28)*((1-($W$25))^($U$30-M28))*HLOOKUP($U$30,$AV$24:$BF$34,M28+1))*V30</f>
        <v>3.0022330679002202E-2</v>
      </c>
      <c r="AJ28" s="28">
        <v>3</v>
      </c>
      <c r="AK28" s="204">
        <f>((($W$25)^M28)*((1-($W$25))^($U$31-M28))*HLOOKUP($U$31,$AV$24:$BF$34,M28+1))*V31</f>
        <v>2.0474742625892606E-2</v>
      </c>
      <c r="AL28" s="28">
        <v>3</v>
      </c>
      <c r="AM28" s="204">
        <f>((($W$25)^Q28)*((1-($W$25))^($U$32-Q28))*HLOOKUP($U$32,$AV$24:$BF$34,Q28+1))*V32</f>
        <v>8.2375649908646102E-3</v>
      </c>
      <c r="AN28" s="28">
        <v>3</v>
      </c>
      <c r="AO28" s="204">
        <f>((($W$25)^Q28)*((1-($W$25))^($U$33-Q28))*HLOOKUP($U$33,$AV$24:$BF$34,Q28+1))*V33</f>
        <v>2.0530914686700194E-3</v>
      </c>
      <c r="AP28" s="28">
        <v>3</v>
      </c>
      <c r="AQ28" s="204">
        <f>((($W$25)^Q28)*((1-($W$25))^($U$34-Q28))*HLOOKUP($U$34,$AV$24:$BF$34,Q28+1))*V34</f>
        <v>3.3208598475281209E-4</v>
      </c>
      <c r="AR28" s="28">
        <v>3</v>
      </c>
      <c r="AS28" s="204">
        <f>((($W$25)^Q28)*((1-($W$25))^($U$35-Q28))*HLOOKUP($U$35,$AV$24:$BF$34,Q28+1))*V35</f>
        <v>3.9360608340453583E-5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8.0203501334535378E-4</v>
      </c>
      <c r="BQ28" s="31">
        <f>BQ22+1</f>
        <v>7</v>
      </c>
      <c r="BR28" s="31">
        <v>4</v>
      </c>
      <c r="BS28" s="107">
        <f t="shared" si="17"/>
        <v>8.1156895919348631E-5</v>
      </c>
    </row>
    <row r="29" spans="1:71" x14ac:dyDescent="0.25">
      <c r="A29" s="26" t="s">
        <v>118</v>
      </c>
      <c r="B29" s="197">
        <f>1/(1+EXP(-3.1416*4*((B14/(B14+C13))-(3.1416/6))))</f>
        <v>0.38060831534430095</v>
      </c>
      <c r="C29" s="198">
        <f>1/(1+EXP(-3.1416*4*((C14/(C14+B13))-(3.1416/6))))</f>
        <v>0.23885503003736611</v>
      </c>
      <c r="D29" s="195">
        <v>0.04</v>
      </c>
      <c r="E29" s="195">
        <v>0.04</v>
      </c>
      <c r="G29" s="87">
        <v>4</v>
      </c>
      <c r="H29" s="126">
        <f>J29*L25+J28*L26+J27*L27+J26*L28</f>
        <v>6.3185499742311149E-2</v>
      </c>
      <c r="I29" s="138">
        <v>4</v>
      </c>
      <c r="J29" s="86">
        <f t="shared" si="18"/>
        <v>2.2753014229682358E-2</v>
      </c>
      <c r="K29" s="138">
        <v>4</v>
      </c>
      <c r="L29" s="86"/>
      <c r="M29" s="85">
        <v>4</v>
      </c>
      <c r="N29" s="201">
        <f>(($B$24)^M29)*((1-($B$24))^($B$21-M29))*HLOOKUP($B$21,$AV$24:$BF$34,M29+1)</f>
        <v>3.7371589371373474E-5</v>
      </c>
      <c r="O29" s="72">
        <v>4</v>
      </c>
      <c r="P29" s="201">
        <f t="shared" si="19"/>
        <v>3.7371589371373474E-5</v>
      </c>
      <c r="Q29" s="28">
        <v>4</v>
      </c>
      <c r="R29" s="202">
        <f>P25*N29+P26*N28+P27*N27+P28*N26+P29*N25</f>
        <v>1.1954526351735182E-3</v>
      </c>
      <c r="S29" s="72">
        <v>4</v>
      </c>
      <c r="T29" s="203">
        <f t="shared" si="20"/>
        <v>0.26124201492480004</v>
      </c>
      <c r="U29" s="138">
        <v>4</v>
      </c>
      <c r="V29" s="86">
        <f>T29*R25+T28*R26+T27*R27+T26*R28+T25*R29</f>
        <v>0.25929066460366196</v>
      </c>
      <c r="W29" s="205"/>
      <c r="X29" s="28">
        <v>4</v>
      </c>
      <c r="Y29" s="202"/>
      <c r="Z29" s="28">
        <v>4</v>
      </c>
      <c r="AA29" s="204"/>
      <c r="AB29" s="28">
        <v>4</v>
      </c>
      <c r="AC29" s="204"/>
      <c r="AD29" s="28">
        <v>4</v>
      </c>
      <c r="AE29" s="204"/>
      <c r="AF29" s="28">
        <v>4</v>
      </c>
      <c r="AG29" s="204">
        <f>((($W$25)^M29)*((1-($W$25))^($U$29-M29))*HLOOKUP($U$29,$AV$24:$BF$34,M29+1))*V29</f>
        <v>2.8270521529473389E-3</v>
      </c>
      <c r="AH29" s="28">
        <v>4</v>
      </c>
      <c r="AI29" s="204">
        <f>((($W$25)^M29)*((1-($W$25))^($U$30-M29))*HLOOKUP($U$30,$AV$24:$BF$34,M29+1))*V30</f>
        <v>7.1663892050337543E-3</v>
      </c>
      <c r="AJ29" s="28">
        <v>4</v>
      </c>
      <c r="AK29" s="204">
        <f>((($W$25)^M29)*((1-($W$25))^($U$31-M29))*HLOOKUP($U$31,$AV$24:$BF$34,M29+1))*V31</f>
        <v>7.3310418217795983E-3</v>
      </c>
      <c r="AL29" s="28">
        <v>4</v>
      </c>
      <c r="AM29" s="204">
        <f>((($W$25)^Q29)*((1-($W$25))^($U$32-Q29))*HLOOKUP($U$32,$AV$24:$BF$34,Q29+1))*V32</f>
        <v>3.9326458333619361E-3</v>
      </c>
      <c r="AN29" s="28">
        <v>4</v>
      </c>
      <c r="AO29" s="204">
        <f>((($W$25)^Q29)*((1-($W$25))^($U$33-Q29))*HLOOKUP($U$33,$AV$24:$BF$34,Q29+1))*V33</f>
        <v>1.2251923988961205E-3</v>
      </c>
      <c r="AP29" s="28">
        <v>4</v>
      </c>
      <c r="AQ29" s="204">
        <f>((($W$25)^Q29)*((1-($W$25))^($U$34-Q29))*HLOOKUP($U$34,$AV$24:$BF$34,Q29+1))*V34</f>
        <v>2.3780872728246006E-4</v>
      </c>
      <c r="AR29" s="28">
        <v>4</v>
      </c>
      <c r="AS29" s="204">
        <f>((($W$25)^Q29)*((1-($W$25))^($U$35-Q29))*HLOOKUP($U$35,$AV$24:$BF$34,Q29+1))*V35</f>
        <v>3.2884090381149246E-5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1.5229532024995244E-4</v>
      </c>
      <c r="BQ29" s="31">
        <f>BQ23+1</f>
        <v>7</v>
      </c>
      <c r="BR29" s="31">
        <v>5</v>
      </c>
      <c r="BS29" s="107">
        <f t="shared" si="17"/>
        <v>4.1882567532652658E-5</v>
      </c>
    </row>
    <row r="30" spans="1:71" x14ac:dyDescent="0.25">
      <c r="A30" s="26" t="s">
        <v>119</v>
      </c>
      <c r="B30" s="266">
        <v>0.15</v>
      </c>
      <c r="C30" s="267">
        <v>0.15</v>
      </c>
      <c r="D30" s="195">
        <f>IF(B17="TL",0.875*B32,0.001)</f>
        <v>1E-3</v>
      </c>
      <c r="E30" s="195">
        <f>IF(C17="TL",0.875*C32,0.001)</f>
        <v>1E-3</v>
      </c>
      <c r="G30" s="87">
        <v>5</v>
      </c>
      <c r="H30" s="126">
        <f>J30*L25+J29*L26+J28*L27+J27*L28</f>
        <v>1.717825411383482E-2</v>
      </c>
      <c r="I30" s="138">
        <v>5</v>
      </c>
      <c r="J30" s="86">
        <f t="shared" si="18"/>
        <v>3.8109749723763374E-3</v>
      </c>
      <c r="K30" s="138">
        <v>5</v>
      </c>
      <c r="L30" s="86"/>
      <c r="M30" s="85">
        <v>5</v>
      </c>
      <c r="N30" s="201">
        <f>(($B$24)^M30)*((1-($B$24))^($B$21-M30))*HLOOKUP($B$21,$AV$24:$BF$34,M30+1)</f>
        <v>4.1833969573486586E-7</v>
      </c>
      <c r="O30" s="72">
        <v>5</v>
      </c>
      <c r="P30" s="201">
        <f t="shared" si="19"/>
        <v>4.1833969573486586E-7</v>
      </c>
      <c r="Q30" s="28">
        <v>5</v>
      </c>
      <c r="R30" s="202">
        <f>P25*N30+P26*N29+P27*N28+P28*N27+P29*N26+P30*N25</f>
        <v>8.0291788507182813E-5</v>
      </c>
      <c r="S30" s="72">
        <v>5</v>
      </c>
      <c r="T30" s="203">
        <f t="shared" si="20"/>
        <v>0.14468788518912001</v>
      </c>
      <c r="U30" s="138">
        <v>5</v>
      </c>
      <c r="V30" s="86">
        <f>T30*R25+T29*R26+T28*R27+T27*R28+T26*R29+T25*R30</f>
        <v>0.19421496668391716</v>
      </c>
      <c r="W30" s="205"/>
      <c r="X30" s="28">
        <v>5</v>
      </c>
      <c r="Y30" s="202"/>
      <c r="Z30" s="28">
        <v>5</v>
      </c>
      <c r="AA30" s="204"/>
      <c r="AB30" s="28">
        <v>5</v>
      </c>
      <c r="AC30" s="204"/>
      <c r="AD30" s="28">
        <v>5</v>
      </c>
      <c r="AE30" s="204"/>
      <c r="AF30" s="28">
        <v>5</v>
      </c>
      <c r="AG30" s="204"/>
      <c r="AH30" s="28">
        <v>5</v>
      </c>
      <c r="AI30" s="204">
        <f>((($W$25)^M30)*((1-($W$25))^($U$30-M30))*HLOOKUP($U$30,$AV$24:$BF$34,M30+1))*V30</f>
        <v>6.8425246243715258E-4</v>
      </c>
      <c r="AJ30" s="28">
        <v>5</v>
      </c>
      <c r="AK30" s="204">
        <f>((($W$25)^M30)*((1-($W$25))^($U$31-M30))*HLOOKUP($U$31,$AV$24:$BF$34,M30+1))*V31</f>
        <v>1.3999472468670679E-3</v>
      </c>
      <c r="AL30" s="28">
        <v>5</v>
      </c>
      <c r="AM30" s="204">
        <f>((($W$25)^Q30)*((1-($W$25))^($U$32-Q30))*HLOOKUP($U$32,$AV$24:$BF$34,Q30+1))*V32</f>
        <v>1.1264763265219997E-3</v>
      </c>
      <c r="AN30" s="28">
        <v>5</v>
      </c>
      <c r="AO30" s="204">
        <f>((($W$25)^Q30)*((1-($W$25))^($U$33-Q30))*HLOOKUP($U$33,$AV$24:$BF$34,Q30+1))*V33</f>
        <v>4.6792932503029138E-4</v>
      </c>
      <c r="AP30" s="28">
        <v>5</v>
      </c>
      <c r="AQ30" s="204">
        <f>((($W$25)^Q30)*((1-($W$25))^($U$34-Q30))*HLOOKUP($U$34,$AV$24:$BF$34,Q30+1))*V34</f>
        <v>1.1353081906141193E-4</v>
      </c>
      <c r="AR30" s="28">
        <v>5</v>
      </c>
      <c r="AS30" s="204">
        <f>((($W$25)^Q30)*((1-($W$25))^($U$35-Q30))*HLOOKUP($U$35,$AV$24:$BF$34,Q30+1))*V35</f>
        <v>1.8838792458413189E-5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2.0867365846489908E-5</v>
      </c>
      <c r="BQ30" s="31">
        <f>BM10+1</f>
        <v>7</v>
      </c>
      <c r="BR30" s="31">
        <v>6</v>
      </c>
      <c r="BS30" s="107">
        <f t="shared" si="17"/>
        <v>1.7156390583679291E-5</v>
      </c>
    </row>
    <row r="31" spans="1:71" x14ac:dyDescent="0.25">
      <c r="A31" s="179" t="s">
        <v>120</v>
      </c>
      <c r="B31" s="60">
        <f>(B25*D25)+(B26*D26)+(B27*D27)+(B28*D28)+(B29*D29)+(B30*D30)/(B25+B26+B27+B28+B29+B30)</f>
        <v>0.32313703436701702</v>
      </c>
      <c r="C31" s="61">
        <f>(C25*E25)+(C26*E26)+(C27*E27)+(C28*E28)+(C29*E29)+(C30*E30)/(C25+C26+C27+C28+C29+C30)</f>
        <v>0.2208317571181278</v>
      </c>
      <c r="G31" s="87">
        <v>6</v>
      </c>
      <c r="H31" s="126">
        <f>J31*L25+J30*L26+J29*L27+J28*L28</f>
        <v>3.4281655664822512E-3</v>
      </c>
      <c r="I31" s="138">
        <v>6</v>
      </c>
      <c r="J31" s="86">
        <f t="shared" si="18"/>
        <v>4.4597523722481535E-4</v>
      </c>
      <c r="K31" s="138">
        <v>6</v>
      </c>
      <c r="L31" s="86"/>
      <c r="M31" s="85"/>
      <c r="N31" s="202"/>
      <c r="O31" s="202"/>
      <c r="P31" s="202"/>
      <c r="Q31" s="28">
        <v>6</v>
      </c>
      <c r="R31" s="202">
        <f>P26*N30+P27*N29+P28*N28+P29*N27+P30*N26</f>
        <v>3.7449618523842601E-6</v>
      </c>
      <c r="S31" s="72">
        <v>6</v>
      </c>
      <c r="T31" s="203">
        <f t="shared" si="20"/>
        <v>4.4519349288960001E-2</v>
      </c>
      <c r="U31" s="138">
        <v>6</v>
      </c>
      <c r="V31" s="86">
        <f>T31*R25+T30*R26+T29*R27+T28*R28+T27*R29+T26*R30+T25*R31</f>
        <v>9.7842151408299688E-2</v>
      </c>
      <c r="W31" s="205"/>
      <c r="X31" s="28">
        <v>6</v>
      </c>
      <c r="Y31" s="202"/>
      <c r="Z31" s="28">
        <v>6</v>
      </c>
      <c r="AA31" s="204"/>
      <c r="AB31" s="28">
        <v>6</v>
      </c>
      <c r="AC31" s="204"/>
      <c r="AD31" s="28">
        <v>6</v>
      </c>
      <c r="AE31" s="204"/>
      <c r="AF31" s="28">
        <v>6</v>
      </c>
      <c r="AG31" s="204"/>
      <c r="AH31" s="28">
        <v>6</v>
      </c>
      <c r="AI31" s="204"/>
      <c r="AJ31" s="28">
        <v>6</v>
      </c>
      <c r="AK31" s="204">
        <f>((($W$25)^Q31)*((1-($W$25))^($U$31-Q31))*HLOOKUP($U$31,$AV$24:$BF$34,Q31+1))*V31</f>
        <v>1.1139005101272519E-4</v>
      </c>
      <c r="AL31" s="28">
        <v>6</v>
      </c>
      <c r="AM31" s="204">
        <f>((($W$25)^Q31)*((1-($W$25))^($U$32-Q31))*HLOOKUP($U$32,$AV$24:$BF$34,Q31+1))*V32</f>
        <v>1.7926140539469576E-4</v>
      </c>
      <c r="AN31" s="28">
        <v>6</v>
      </c>
      <c r="AO31" s="204">
        <f>((($W$25)^Q31)*((1-($W$25))^($U$33-Q31))*HLOOKUP($U$33,$AV$24:$BF$34,Q31+1))*V33</f>
        <v>1.1169564746554381E-4</v>
      </c>
      <c r="AP31" s="28">
        <v>6</v>
      </c>
      <c r="AQ31" s="204">
        <f>((($W$25)^Q31)*((1-($W$25))^($U$34-Q31))*HLOOKUP($U$34,$AV$24:$BF$34,Q31+1))*V34</f>
        <v>3.6133372182610456E-5</v>
      </c>
      <c r="AR31" s="28">
        <v>6</v>
      </c>
      <c r="AS31" s="204">
        <f>((($W$25)^Q31)*((1-($W$25))^($U$35-Q31))*HLOOKUP($U$35,$AV$24:$BF$34,Q31+1))*V35</f>
        <v>7.4947611692401379E-6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2.6274435856459378E-2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3.0000207581304839E-6</v>
      </c>
    </row>
    <row r="32" spans="1:71" x14ac:dyDescent="0.25">
      <c r="A32" s="26" t="s">
        <v>121</v>
      </c>
      <c r="B32" s="206">
        <f>IF(B17&lt;&gt;"TL",0.001,IF(B18&lt;5,0.1,IF(B18&lt;10,0.2,IF(B18&lt;14,0.3,0.35))))</f>
        <v>1E-3</v>
      </c>
      <c r="C32" s="207">
        <f>IF(C17&lt;&gt;"TL",0.001,IF(C18&lt;5,0.1,IF(C18&lt;10,0.2,IF(C18&lt;14,0.3,0.35))))</f>
        <v>1E-3</v>
      </c>
      <c r="G32" s="87">
        <v>7</v>
      </c>
      <c r="H32" s="126">
        <f>J32*L25+J31*L26+J30*L27+J29*L28</f>
        <v>5.1087243145958724E-4</v>
      </c>
      <c r="I32" s="138">
        <v>7</v>
      </c>
      <c r="J32" s="86">
        <f t="shared" si="18"/>
        <v>3.6898676080726489E-5</v>
      </c>
      <c r="K32" s="138">
        <v>7</v>
      </c>
      <c r="L32" s="86"/>
      <c r="M32" s="85"/>
      <c r="N32" s="202"/>
      <c r="O32" s="202"/>
      <c r="P32" s="202"/>
      <c r="Q32" s="28">
        <v>7</v>
      </c>
      <c r="R32" s="202">
        <f>P27*N30+P28*N29+P29*N28+P30*N27</f>
        <v>1.1977518814371803E-7</v>
      </c>
      <c r="S32" s="72">
        <v>7</v>
      </c>
      <c r="T32" s="203">
        <f t="shared" si="20"/>
        <v>5.8706834227199994E-3</v>
      </c>
      <c r="U32" s="138">
        <v>7</v>
      </c>
      <c r="V32" s="86">
        <f>T32*R25+T31*R26+T30*R27+T29*R28+T28*R29+T27*R30+T26*R31+T25*R32</f>
        <v>3.3232850608522144E-2</v>
      </c>
      <c r="W32" s="205"/>
      <c r="X32" s="28">
        <v>7</v>
      </c>
      <c r="Y32" s="202"/>
      <c r="Z32" s="28">
        <v>7</v>
      </c>
      <c r="AA32" s="204"/>
      <c r="AB32" s="28">
        <v>7</v>
      </c>
      <c r="AC32" s="204"/>
      <c r="AD32" s="28">
        <v>7</v>
      </c>
      <c r="AE32" s="204"/>
      <c r="AF32" s="28">
        <v>7</v>
      </c>
      <c r="AG32" s="204"/>
      <c r="AH32" s="28">
        <v>7</v>
      </c>
      <c r="AI32" s="204"/>
      <c r="AJ32" s="28">
        <v>7</v>
      </c>
      <c r="AK32" s="204"/>
      <c r="AL32" s="28">
        <v>7</v>
      </c>
      <c r="AM32" s="204">
        <f>((($W$25)^Q32)*((1-($W$25))^($U$32-Q32))*HLOOKUP($U$32,$AV$24:$BF$34,Q32+1))*V32</f>
        <v>1.2225728282393135E-5</v>
      </c>
      <c r="AN32" s="28">
        <v>7</v>
      </c>
      <c r="AO32" s="204">
        <f>((($W$25)^Q32)*((1-($W$25))^($U$33-Q32))*HLOOKUP($U$33,$AV$24:$BF$34,Q32+1))*V33</f>
        <v>1.5235411473351288E-5</v>
      </c>
      <c r="AP32" s="28">
        <v>7</v>
      </c>
      <c r="AQ32" s="204">
        <f>((($W$25)^Q32)*((1-($W$25))^($U$34-Q32))*HLOOKUP($U$34,$AV$24:$BF$34,Q32+1))*V34</f>
        <v>7.3929486817062957E-6</v>
      </c>
      <c r="AR32" s="28">
        <v>7</v>
      </c>
      <c r="AS32" s="204">
        <f>((($W$25)^Q32)*((1-($W$25))^($U$35-Q32))*HLOOKUP($U$35,$AV$24:$BF$34,Q32+1))*V35</f>
        <v>2.0445876432757732E-6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1.3559424885275263E-2</v>
      </c>
      <c r="BQ32" s="31">
        <f t="shared" si="24"/>
        <v>8</v>
      </c>
      <c r="BR32" s="31">
        <v>1</v>
      </c>
      <c r="BS32" s="107">
        <f t="shared" si="25"/>
        <v>9.6964601506154498E-6</v>
      </c>
    </row>
    <row r="33" spans="1:71" x14ac:dyDescent="0.25">
      <c r="A33" s="26" t="s">
        <v>122</v>
      </c>
      <c r="B33" s="283">
        <v>0.48</v>
      </c>
      <c r="C33" s="284">
        <f>IF(C17&lt;&gt;"CA",0.005,IF((C18-C16)&lt;0,0.1,0.1+0.055*(C18-C16)))</f>
        <v>5.0000000000000001E-3</v>
      </c>
      <c r="G33" s="87">
        <v>8</v>
      </c>
      <c r="H33" s="126">
        <f>J33*L25+J32*L26+J31*L27+J30*L28</f>
        <v>5.732257218616499E-5</v>
      </c>
      <c r="I33" s="138">
        <v>8</v>
      </c>
      <c r="J33" s="86">
        <f t="shared" si="18"/>
        <v>2.1575716321429439E-6</v>
      </c>
      <c r="K33" s="138">
        <v>8</v>
      </c>
      <c r="L33" s="86"/>
      <c r="M33" s="85"/>
      <c r="N33" s="202"/>
      <c r="O33" s="202"/>
      <c r="P33" s="202"/>
      <c r="Q33" s="28">
        <v>8</v>
      </c>
      <c r="R33" s="202">
        <f>P28*N30+P29*N29+P30*N28</f>
        <v>2.5139442458565984E-9</v>
      </c>
      <c r="S33" s="72">
        <v>8</v>
      </c>
      <c r="T33" s="203">
        <f t="shared" si="20"/>
        <v>0</v>
      </c>
      <c r="U33" s="138">
        <v>8</v>
      </c>
      <c r="V33" s="86">
        <f>T33*R25+T32*R26+T31*R27+T30*R28+T29*R29+T28*R30+T27*R31+T26*R32+T25*R33</f>
        <v>7.6481483714469552E-3</v>
      </c>
      <c r="W33" s="205"/>
      <c r="X33" s="28">
        <v>8</v>
      </c>
      <c r="Y33" s="202"/>
      <c r="Z33" s="28">
        <v>8</v>
      </c>
      <c r="AA33" s="204"/>
      <c r="AB33" s="28">
        <v>8</v>
      </c>
      <c r="AC33" s="204"/>
      <c r="AD33" s="28">
        <v>8</v>
      </c>
      <c r="AE33" s="204"/>
      <c r="AF33" s="28">
        <v>8</v>
      </c>
      <c r="AG33" s="204"/>
      <c r="AH33" s="28">
        <v>8</v>
      </c>
      <c r="AI33" s="204"/>
      <c r="AJ33" s="28">
        <v>8</v>
      </c>
      <c r="AK33" s="204"/>
      <c r="AL33" s="28">
        <v>8</v>
      </c>
      <c r="AM33" s="204"/>
      <c r="AN33" s="28">
        <v>8</v>
      </c>
      <c r="AO33" s="204">
        <f>((($W$25)^Q33)*((1-($W$25))^($U$33-Q33))*HLOOKUP($U$33,$AV$24:$BF$34,Q33+1))*V33</f>
        <v>9.091806485999706E-7</v>
      </c>
      <c r="AP33" s="28">
        <v>8</v>
      </c>
      <c r="AQ33" s="204">
        <f>((($W$25)^Q33)*((1-($W$25))^($U$34-Q33))*HLOOKUP($U$34,$AV$24:$BF$34,Q33+1))*V34</f>
        <v>8.8235567372195355E-7</v>
      </c>
      <c r="AR33" s="28">
        <v>8</v>
      </c>
      <c r="AS33" s="204">
        <f>((($W$25)^Q33)*((1-($W$25))^($U$35-Q33))*HLOOKUP($U$35,$AV$24:$BF$34,Q33+1))*V35</f>
        <v>3.6603530982101976E-7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5.5543583673679656E-3</v>
      </c>
      <c r="BQ33" s="31">
        <f t="shared" si="24"/>
        <v>8</v>
      </c>
      <c r="BR33" s="31">
        <v>2</v>
      </c>
      <c r="BS33" s="107">
        <f t="shared" si="25"/>
        <v>1.4498290142829641E-5</v>
      </c>
    </row>
    <row r="34" spans="1:71" x14ac:dyDescent="0.25">
      <c r="A34" s="40" t="s">
        <v>123</v>
      </c>
      <c r="B34" s="56">
        <f>B23*2</f>
        <v>0.53003654602281081</v>
      </c>
      <c r="C34" s="57">
        <f>C23*2</f>
        <v>9.46996345397719</v>
      </c>
      <c r="G34" s="87">
        <v>9</v>
      </c>
      <c r="H34" s="126">
        <f>J34*L25+J33*L26+J32*L27+J31*L28</f>
        <v>4.8489850021039658E-6</v>
      </c>
      <c r="I34" s="138">
        <v>9</v>
      </c>
      <c r="J34" s="86">
        <f t="shared" si="18"/>
        <v>8.5637049337176877E-8</v>
      </c>
      <c r="K34" s="138">
        <v>9</v>
      </c>
      <c r="L34" s="86"/>
      <c r="M34" s="85"/>
      <c r="N34" s="202"/>
      <c r="O34" s="202"/>
      <c r="P34" s="202"/>
      <c r="Q34" s="28">
        <v>9</v>
      </c>
      <c r="R34" s="202">
        <f>P29*N30+P30*N29</f>
        <v>3.1268038653497451E-11</v>
      </c>
      <c r="S34" s="72">
        <v>9</v>
      </c>
      <c r="T34" s="203">
        <f t="shared" si="20"/>
        <v>0</v>
      </c>
      <c r="U34" s="138">
        <v>9</v>
      </c>
      <c r="V34" s="86">
        <f>T34*R25+T33*R26+T32*R27+T31*R28+T30*R29+T29*R30+T28*R31+T27*R32+T26*R33+T25*R34</f>
        <v>1.2184467161673862E-3</v>
      </c>
      <c r="W34" s="205"/>
      <c r="X34" s="28">
        <v>9</v>
      </c>
      <c r="Y34" s="202"/>
      <c r="Z34" s="28">
        <v>9</v>
      </c>
      <c r="AA34" s="204"/>
      <c r="AB34" s="28">
        <v>9</v>
      </c>
      <c r="AC34" s="204"/>
      <c r="AD34" s="28">
        <v>9</v>
      </c>
      <c r="AE34" s="204"/>
      <c r="AF34" s="28">
        <v>9</v>
      </c>
      <c r="AG34" s="204"/>
      <c r="AH34" s="28">
        <v>9</v>
      </c>
      <c r="AI34" s="204"/>
      <c r="AJ34" s="28">
        <v>9</v>
      </c>
      <c r="AK34" s="204"/>
      <c r="AL34" s="28">
        <v>9</v>
      </c>
      <c r="AM34" s="204"/>
      <c r="AN34" s="28">
        <v>9</v>
      </c>
      <c r="AO34" s="204"/>
      <c r="AP34" s="28">
        <v>9</v>
      </c>
      <c r="AQ34" s="204">
        <f>((($W$25)^Q34)*((1-($W$25))^($U$34-Q34))*HLOOKUP($U$34,$AV$24:$BF$34,Q34+1))*V34</f>
        <v>4.6804451013997684E-8</v>
      </c>
      <c r="AR34" s="28">
        <v>9</v>
      </c>
      <c r="AS34" s="204">
        <f>((($W$25)^Q34)*((1-($W$25))^($U$35-Q34))*HLOOKUP($U$35,$AV$24:$BF$34,Q34+1))*V35</f>
        <v>3.8832598323179186E-8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1.8043579886216129E-3</v>
      </c>
      <c r="BQ34" s="31">
        <f t="shared" si="24"/>
        <v>8</v>
      </c>
      <c r="BR34" s="31">
        <v>3</v>
      </c>
      <c r="BS34" s="107">
        <f t="shared" si="25"/>
        <v>1.3579468251574046E-5</v>
      </c>
    </row>
    <row r="35" spans="1:71" ht="15.75" thickBot="1" x14ac:dyDescent="0.3">
      <c r="G35" s="88">
        <v>10</v>
      </c>
      <c r="H35" s="127">
        <f>J35*L25+J34*L26+J33*L27+J32*L28</f>
        <v>3.068213079540947E-7</v>
      </c>
      <c r="I35" s="94">
        <v>10</v>
      </c>
      <c r="J35" s="89">
        <f t="shared" si="18"/>
        <v>1.8538834736190587E-9</v>
      </c>
      <c r="K35" s="94">
        <v>10</v>
      </c>
      <c r="L35" s="89"/>
      <c r="M35" s="85"/>
      <c r="N35" s="202"/>
      <c r="O35" s="202"/>
      <c r="P35" s="202"/>
      <c r="Q35" s="28">
        <v>10</v>
      </c>
      <c r="R35" s="202">
        <f>P30*N30</f>
        <v>1.7500810102754014E-13</v>
      </c>
      <c r="S35" s="72">
        <v>10</v>
      </c>
      <c r="T35" s="203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1.4935338989896518E-4</v>
      </c>
      <c r="W35" s="205"/>
      <c r="X35" s="28">
        <v>10</v>
      </c>
      <c r="Y35" s="202"/>
      <c r="Z35" s="28">
        <v>10</v>
      </c>
      <c r="AA35" s="204"/>
      <c r="AB35" s="28">
        <v>10</v>
      </c>
      <c r="AC35" s="204"/>
      <c r="AD35" s="28">
        <v>10</v>
      </c>
      <c r="AE35" s="204"/>
      <c r="AF35" s="28">
        <v>10</v>
      </c>
      <c r="AG35" s="204"/>
      <c r="AH35" s="28">
        <v>10</v>
      </c>
      <c r="AI35" s="204"/>
      <c r="AJ35" s="28">
        <v>10</v>
      </c>
      <c r="AK35" s="204"/>
      <c r="AL35" s="28">
        <v>10</v>
      </c>
      <c r="AM35" s="204"/>
      <c r="AN35" s="28">
        <v>10</v>
      </c>
      <c r="AO35" s="204"/>
      <c r="AP35" s="28">
        <v>10</v>
      </c>
      <c r="AQ35" s="204"/>
      <c r="AR35" s="28">
        <v>10</v>
      </c>
      <c r="AS35" s="204">
        <f>((($W$25)^Q35)*((1-($W$25))^($U$35-Q35))*HLOOKUP($U$35,$AV$24:$BF$34,Q35+1))*V35</f>
        <v>1.8538834736190587E-9</v>
      </c>
      <c r="BI35" s="31">
        <f t="shared" si="22"/>
        <v>3</v>
      </c>
      <c r="BJ35" s="31">
        <v>8</v>
      </c>
      <c r="BK35" s="107">
        <f t="shared" si="23"/>
        <v>4.5528372296941574E-4</v>
      </c>
      <c r="BQ35" s="31">
        <f t="shared" si="24"/>
        <v>8</v>
      </c>
      <c r="BR35" s="31">
        <v>4</v>
      </c>
      <c r="BS35" s="107">
        <f t="shared" si="25"/>
        <v>9.1062303194764346E-6</v>
      </c>
    </row>
    <row r="36" spans="1:71" ht="15.75" x14ac:dyDescent="0.25">
      <c r="A36" s="109" t="s">
        <v>124</v>
      </c>
      <c r="B36" s="210">
        <f>SUM(BO4:BO14)</f>
        <v>0.18459835123728591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99">
        <f>SUM(V39:V49)</f>
        <v>1</v>
      </c>
      <c r="W36" s="158"/>
      <c r="X36" s="158"/>
      <c r="AS36" s="82">
        <f>Y37+AA37+AC37+AE37+AG37+AI37+AK37+AM37+AO37+AQ37+AS37</f>
        <v>1.0000000000000004</v>
      </c>
      <c r="BI36" s="31">
        <f t="shared" si="22"/>
        <v>3</v>
      </c>
      <c r="BJ36" s="31">
        <v>9</v>
      </c>
      <c r="BK36" s="107">
        <f t="shared" si="23"/>
        <v>8.6452061618862578E-5</v>
      </c>
      <c r="BQ36" s="31">
        <f t="shared" si="24"/>
        <v>8</v>
      </c>
      <c r="BR36" s="31">
        <v>5</v>
      </c>
      <c r="BS36" s="107">
        <f t="shared" si="25"/>
        <v>4.6994442308682875E-6</v>
      </c>
    </row>
    <row r="37" spans="1:71" ht="16.5" thickBot="1" x14ac:dyDescent="0.3">
      <c r="A37" s="110" t="s">
        <v>125</v>
      </c>
      <c r="B37" s="210">
        <f>SUM(BK4:BK59)</f>
        <v>0.59265971776291437</v>
      </c>
      <c r="G37" s="158"/>
      <c r="H37" s="257">
        <f>SUM(H39:H49)</f>
        <v>0.99999296535029825</v>
      </c>
      <c r="I37" s="258"/>
      <c r="J37" s="257">
        <f>SUM(J39:J49)</f>
        <v>1.0000000000000007</v>
      </c>
      <c r="K37" s="257"/>
      <c r="L37" s="257">
        <f>SUM(L39:L49)</f>
        <v>1</v>
      </c>
      <c r="M37" s="258"/>
      <c r="N37" s="259">
        <f>SUM(N39:N49)</f>
        <v>0.99999999999999989</v>
      </c>
      <c r="O37" s="258"/>
      <c r="P37" s="259">
        <f>SUM(P39:P49)</f>
        <v>0.99999999999999989</v>
      </c>
      <c r="Q37" s="258"/>
      <c r="R37" s="257">
        <f>SUM(R39:R49)</f>
        <v>0.99999999999999978</v>
      </c>
      <c r="S37" s="258"/>
      <c r="T37" s="257">
        <f>SUM(T39:T49)</f>
        <v>1.0050760126517704</v>
      </c>
      <c r="U37" s="258"/>
      <c r="V37" s="199">
        <f>SUM(V39:V48)</f>
        <v>0.4204058576799698</v>
      </c>
      <c r="W37" s="158"/>
      <c r="X37" s="158"/>
      <c r="Y37" s="196">
        <f>SUM(Y39:Y49)</f>
        <v>1.750081010275361E-13</v>
      </c>
      <c r="Z37" s="81"/>
      <c r="AA37" s="196">
        <f>SUM(AA39:AA49)</f>
        <v>3.1268918091190408E-11</v>
      </c>
      <c r="AB37" s="81"/>
      <c r="AC37" s="196">
        <f>SUM(AC39:AC49)</f>
        <v>2.5141013805175022E-9</v>
      </c>
      <c r="AD37" s="81"/>
      <c r="AE37" s="196">
        <f>SUM(AE39:AE49)</f>
        <v>1.1978782260859431E-7</v>
      </c>
      <c r="AF37" s="81"/>
      <c r="AG37" s="196">
        <f>SUM(AG39:AG49)</f>
        <v>3.745563864727345E-6</v>
      </c>
      <c r="AH37" s="81"/>
      <c r="AI37" s="196">
        <f>SUM(AI39:AI49)</f>
        <v>8.0310613461019039E-5</v>
      </c>
      <c r="AJ37" s="81"/>
      <c r="AK37" s="196">
        <f>SUM(AK39:AK49)</f>
        <v>1.195856300677979E-3</v>
      </c>
      <c r="AL37" s="81"/>
      <c r="AM37" s="196">
        <f>SUM(AM39:AM49)</f>
        <v>1.2210984068197248E-2</v>
      </c>
      <c r="AN37" s="81"/>
      <c r="AO37" s="196">
        <f>SUM(AO39:AO49)</f>
        <v>8.1834511917528732E-2</v>
      </c>
      <c r="AP37" s="81"/>
      <c r="AQ37" s="196">
        <f>SUM(AQ39:AQ49)</f>
        <v>0.32508032688287236</v>
      </c>
      <c r="AR37" s="81"/>
      <c r="AS37" s="196">
        <f>SUM(AS39:AS49)</f>
        <v>0.57959414232003059</v>
      </c>
      <c r="BI37" s="31">
        <f t="shared" si="22"/>
        <v>3</v>
      </c>
      <c r="BJ37" s="31">
        <v>10</v>
      </c>
      <c r="BK37" s="107">
        <f t="shared" si="23"/>
        <v>1.1845582615560752E-5</v>
      </c>
      <c r="BQ37" s="31">
        <f t="shared" si="24"/>
        <v>8</v>
      </c>
      <c r="BR37" s="31">
        <v>6</v>
      </c>
      <c r="BS37" s="107">
        <f t="shared" si="25"/>
        <v>1.9250372052319163E-6</v>
      </c>
    </row>
    <row r="38" spans="1:71" ht="16.5" thickBot="1" x14ac:dyDescent="0.3">
      <c r="A38" s="111" t="s">
        <v>126</v>
      </c>
      <c r="B38" s="210">
        <f>SUM(BS4:BS47)</f>
        <v>0.2227345749989785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5.1801013268242798E-3</v>
      </c>
      <c r="BQ38" s="31">
        <f>BM11+1</f>
        <v>8</v>
      </c>
      <c r="BR38" s="31">
        <v>7</v>
      </c>
      <c r="BS38" s="107">
        <f t="shared" si="25"/>
        <v>6.2535688731585961E-7</v>
      </c>
    </row>
    <row r="39" spans="1:71" x14ac:dyDescent="0.25">
      <c r="G39" s="128">
        <v>0</v>
      </c>
      <c r="H39" s="129">
        <f>L39*J39</f>
        <v>5.2335766587504072E-2</v>
      </c>
      <c r="I39" s="97">
        <v>0</v>
      </c>
      <c r="J39" s="98">
        <f t="shared" ref="J39:J49" si="29">Y39+AA39+AC39+AE39+AG39+AI39+AK39+AM39+AO39+AQ39+AS39</f>
        <v>9.5747954303636043E-2</v>
      </c>
      <c r="K39" s="102">
        <v>0</v>
      </c>
      <c r="L39" s="98">
        <f>AH18</f>
        <v>0.54659931868138734</v>
      </c>
      <c r="M39" s="85">
        <v>0</v>
      </c>
      <c r="N39" s="201">
        <f>(1-$C$24)^$B$21</f>
        <v>4.1833969573486104E-7</v>
      </c>
      <c r="O39" s="72">
        <v>0</v>
      </c>
      <c r="P39" s="201">
        <f t="shared" ref="P39:P44" si="30">N39</f>
        <v>4.1833969573486104E-7</v>
      </c>
      <c r="Q39" s="28">
        <v>0</v>
      </c>
      <c r="R39" s="202">
        <f>P39*N39</f>
        <v>1.750081010275361E-13</v>
      </c>
      <c r="S39" s="72">
        <v>0</v>
      </c>
      <c r="T39" s="203">
        <f>(1-$C$33)^(INT(B23*2*(1-B31)))</f>
        <v>1</v>
      </c>
      <c r="U39" s="138">
        <v>0</v>
      </c>
      <c r="V39" s="86">
        <f>R39*T39</f>
        <v>1.750081010275361E-13</v>
      </c>
      <c r="W39" s="134">
        <f>C31</f>
        <v>0.2208317571181278</v>
      </c>
      <c r="X39" s="28">
        <v>0</v>
      </c>
      <c r="Y39" s="204">
        <f>V39</f>
        <v>1.750081010275361E-13</v>
      </c>
      <c r="Z39" s="28">
        <v>0</v>
      </c>
      <c r="AA39" s="204">
        <f>((1-W39)^Z40)*V40</f>
        <v>2.4363747965930016E-11</v>
      </c>
      <c r="AB39" s="28">
        <v>0</v>
      </c>
      <c r="AC39" s="204">
        <f>(((1-$W$39)^AB41))*V41</f>
        <v>1.5263188693306759E-9</v>
      </c>
      <c r="AD39" s="28">
        <v>0</v>
      </c>
      <c r="AE39" s="204">
        <f>(((1-$W$39)^AB42))*V42</f>
        <v>5.6663891985525017E-8</v>
      </c>
      <c r="AF39" s="28">
        <v>0</v>
      </c>
      <c r="AG39" s="204">
        <f>(((1-$W$39)^AB43))*V43</f>
        <v>1.3805183383659659E-6</v>
      </c>
      <c r="AH39" s="28">
        <v>0</v>
      </c>
      <c r="AI39" s="204">
        <f>(((1-$W$39)^AB44))*V44</f>
        <v>2.3063709552281154E-5</v>
      </c>
      <c r="AJ39" s="28">
        <v>0</v>
      </c>
      <c r="AK39" s="204">
        <f>(((1-$W$39)^AB45))*V45</f>
        <v>2.6758789080303297E-4</v>
      </c>
      <c r="AL39" s="28">
        <v>0</v>
      </c>
      <c r="AM39" s="204">
        <f>(((1-$W$39)^AB46))*V46</f>
        <v>2.1289691498498405E-3</v>
      </c>
      <c r="AN39" s="28">
        <v>0</v>
      </c>
      <c r="AO39" s="204">
        <f>(((1-$W$39)^AB47))*V47</f>
        <v>1.1116970252576451E-2</v>
      </c>
      <c r="AP39" s="28">
        <v>0</v>
      </c>
      <c r="AQ39" s="204">
        <f>(((1-$W$39)^AB48))*V48</f>
        <v>3.4408986288278653E-2</v>
      </c>
      <c r="AR39" s="28">
        <v>0</v>
      </c>
      <c r="AS39" s="204">
        <f>(((1-$W$39)^AB49))*V49</f>
        <v>4.7800938279487809E-2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2.1219291667528752E-3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2.5377534725642112E-7</v>
      </c>
    </row>
    <row r="40" spans="1:71" x14ac:dyDescent="0.25">
      <c r="G40" s="91">
        <v>1</v>
      </c>
      <c r="H40" s="130">
        <f>L39*J40+L40*J39</f>
        <v>0.16915605460139707</v>
      </c>
      <c r="I40" s="138">
        <v>1</v>
      </c>
      <c r="J40" s="86">
        <f t="shared" si="29"/>
        <v>0.25316630846213817</v>
      </c>
      <c r="K40" s="95">
        <v>1</v>
      </c>
      <c r="L40" s="86">
        <f>AI18</f>
        <v>0.32142224976749934</v>
      </c>
      <c r="M40" s="85">
        <v>1</v>
      </c>
      <c r="N40" s="201">
        <f>(($C$24)^M26)*((1-($C$24))^($B$21-M26))*HLOOKUP($B$21,$AV$24:$BF$34,M26+1)</f>
        <v>3.7371589371373135E-5</v>
      </c>
      <c r="O40" s="72">
        <v>1</v>
      </c>
      <c r="P40" s="201">
        <f t="shared" si="30"/>
        <v>3.7371589371373135E-5</v>
      </c>
      <c r="Q40" s="28">
        <v>1</v>
      </c>
      <c r="R40" s="202">
        <f>P40*N39+P39*N40</f>
        <v>3.1268038653496805E-11</v>
      </c>
      <c r="S40" s="72">
        <v>1</v>
      </c>
      <c r="T40" s="203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3.1268918091190408E-11</v>
      </c>
      <c r="W40" s="205"/>
      <c r="X40" s="28">
        <v>1</v>
      </c>
      <c r="Y40" s="202"/>
      <c r="Z40" s="28">
        <v>1</v>
      </c>
      <c r="AA40" s="204">
        <f>(1-((1-W39)^Z40))*V40</f>
        <v>6.9051701252603913E-12</v>
      </c>
      <c r="AB40" s="28">
        <v>1</v>
      </c>
      <c r="AC40" s="204">
        <f>((($W$39)^M40)*((1-($W$39))^($U$27-M40))*HLOOKUP($U$27,$AV$24:$BF$34,M40+1))*V41</f>
        <v>8.6517817150807063E-10</v>
      </c>
      <c r="AD40" s="28">
        <v>1</v>
      </c>
      <c r="AE40" s="204">
        <f>((($W$39)^M40)*((1-($W$39))^($U$28-M40))*HLOOKUP($U$28,$AV$24:$BF$34,M40+1))*V42</f>
        <v>4.8179017612550656E-8</v>
      </c>
      <c r="AF40" s="28">
        <v>1</v>
      </c>
      <c r="AG40" s="204">
        <f>((($W$39)^M40)*((1-($W$39))^($U$29-M40))*HLOOKUP($U$29,$AV$24:$BF$34,M40+1))*V43</f>
        <v>1.5650652766215152E-6</v>
      </c>
      <c r="AH40" s="28">
        <v>1</v>
      </c>
      <c r="AI40" s="204">
        <f>((($W$39)^M40)*((1-($W$39))^($U$30-M40))*HLOOKUP($U$30,$AV$24:$BF$34,M40+1))*V44</f>
        <v>3.2683567076953902E-5</v>
      </c>
      <c r="AJ40" s="28">
        <v>1</v>
      </c>
      <c r="AK40" s="204">
        <f>((($W$39)^M40)*((1-($W$39))^($U$31-M40))*HLOOKUP($U$31,$AV$24:$BF$34,M40+1))*V45</f>
        <v>4.5503834107258093E-4</v>
      </c>
      <c r="AL40" s="28">
        <v>1</v>
      </c>
      <c r="AM40" s="204">
        <f>((($W$39)^Q40)*((1-($W$39))^($U$32-Q40))*HLOOKUP($U$32,$AV$24:$BF$34,Q40+1))*V46</f>
        <v>4.2237450223960565E-3</v>
      </c>
      <c r="AN40" s="28">
        <v>1</v>
      </c>
      <c r="AO40" s="204">
        <f>((($W$39)^Q40)*((1-($W$39))^($U$33-Q40))*HLOOKUP($U$33,$AV$24:$BF$34,Q40+1))*V47</f>
        <v>2.5206161540940606E-2</v>
      </c>
      <c r="AP40" s="28">
        <v>1</v>
      </c>
      <c r="AQ40" s="204">
        <f>((($W$39)^Q40)*((1-($W$39))^($U$34-Q40))*HLOOKUP($U$34,$AV$24:$BF$34,Q40+1))*V48</f>
        <v>8.7769711803584519E-2</v>
      </c>
      <c r="AR40" s="28">
        <v>1</v>
      </c>
      <c r="AS40" s="204">
        <f>((($W$39)^Q40)*((1-($W$39))^($U$35-Q40))*HLOOKUP($U$35,$AV$24:$BF$34,Q40+1))*V49</f>
        <v>0.13547735407068989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6.8931811562854945E-4</v>
      </c>
      <c r="BQ40" s="31">
        <f t="shared" si="31"/>
        <v>9</v>
      </c>
      <c r="BR40" s="31">
        <v>1</v>
      </c>
      <c r="BS40" s="107">
        <f t="shared" si="32"/>
        <v>8.2023517177725395E-7</v>
      </c>
    </row>
    <row r="41" spans="1:71" x14ac:dyDescent="0.25">
      <c r="G41" s="91">
        <v>2</v>
      </c>
      <c r="H41" s="130">
        <f>L39*J41+J40*L40+J39*L41</f>
        <v>0.25292462619688333</v>
      </c>
      <c r="I41" s="138">
        <v>2</v>
      </c>
      <c r="J41" s="86">
        <f t="shared" si="29"/>
        <v>0.30122574492506876</v>
      </c>
      <c r="K41" s="95">
        <v>2</v>
      </c>
      <c r="L41" s="86">
        <f>AJ18</f>
        <v>7.2080441514478719E-2</v>
      </c>
      <c r="M41" s="85">
        <v>2</v>
      </c>
      <c r="N41" s="201">
        <f>(($C$24)^M27)*((1-($C$24))^($B$21-M27))*HLOOKUP($B$21,$AV$24:$BF$34,M27+1)</f>
        <v>1.3354082401280905E-3</v>
      </c>
      <c r="O41" s="72">
        <v>2</v>
      </c>
      <c r="P41" s="201">
        <f t="shared" si="30"/>
        <v>1.3354082401280905E-3</v>
      </c>
      <c r="Q41" s="28">
        <v>2</v>
      </c>
      <c r="R41" s="202">
        <f>P41*N39+P40*N40+P39*N41</f>
        <v>2.5139442458565529E-9</v>
      </c>
      <c r="S41" s="72">
        <v>2</v>
      </c>
      <c r="T41" s="203">
        <f t="shared" si="33"/>
        <v>5.0503775157192999E-5</v>
      </c>
      <c r="U41" s="138">
        <v>2</v>
      </c>
      <c r="V41" s="86">
        <f>R41*T39+T40*R40+R39*T41</f>
        <v>2.5141013805175017E-9</v>
      </c>
      <c r="W41" s="205"/>
      <c r="X41" s="28">
        <v>2</v>
      </c>
      <c r="Y41" s="202"/>
      <c r="Z41" s="28">
        <v>2</v>
      </c>
      <c r="AA41" s="204"/>
      <c r="AB41" s="28">
        <v>2</v>
      </c>
      <c r="AC41" s="204">
        <f>((($W$39)^M41)*((1-($W$39))^($U$27-M41))*HLOOKUP($U$27,$AV$24:$BF$34,M41+1))*V41</f>
        <v>1.2260433967875546E-10</v>
      </c>
      <c r="AD41" s="28">
        <v>2</v>
      </c>
      <c r="AE41" s="204">
        <f>((($W$39)^M41)*((1-($W$39))^($U$28-M41))*HLOOKUP($U$28,$AV$24:$BF$34,M41+1))*V42</f>
        <v>1.3654890600075198E-8</v>
      </c>
      <c r="AF41" s="28">
        <v>2</v>
      </c>
      <c r="AG41" s="204">
        <f>((($W$39)^M41)*((1-($W$39))^($U$29-M41))*HLOOKUP($U$29,$AV$24:$BF$34,M41+1))*V43</f>
        <v>6.6535588083502526E-7</v>
      </c>
      <c r="AH41" s="28">
        <v>2</v>
      </c>
      <c r="AI41" s="204">
        <f>((($W$39)^M41)*((1-($W$39))^($U$30-M41))*HLOOKUP($U$30,$AV$24:$BF$34,M41+1))*V44</f>
        <v>1.8526344245747605E-5</v>
      </c>
      <c r="AJ41" s="28">
        <v>2</v>
      </c>
      <c r="AK41" s="204">
        <f>((($W$39)^M41)*((1-($W$39))^($U$31-M41))*HLOOKUP($U$31,$AV$24:$BF$34,M41+1))*V45</f>
        <v>3.2241726139758286E-4</v>
      </c>
      <c r="AL41" s="28">
        <v>2</v>
      </c>
      <c r="AM41" s="204">
        <f>((($W$39)^Q41)*((1-($W$39))^($U$32-Q41))*HLOOKUP($U$32,$AV$24:$BF$34,Q41+1))*V46</f>
        <v>3.5912797143713045E-3</v>
      </c>
      <c r="AN41" s="28">
        <v>2</v>
      </c>
      <c r="AO41" s="204">
        <f>((($W$39)^Q41)*((1-($W$39))^($U$33-Q41))*HLOOKUP($U$33,$AV$24:$BF$34,Q41+1))*V47</f>
        <v>2.5003744030242966E-2</v>
      </c>
      <c r="AP41" s="28">
        <v>2</v>
      </c>
      <c r="AQ41" s="204">
        <f>((($W$39)^Q41)*((1-($W$39))^($U$34-Q41))*HLOOKUP($U$34,$AV$24:$BF$34,Q41+1))*V48</f>
        <v>9.9502718989925562E-2</v>
      </c>
      <c r="AR41" s="28">
        <v>2</v>
      </c>
      <c r="AS41" s="204">
        <f>((($W$39)^Q41)*((1-($W$39))^($U$35-Q41))*HLOOKUP($U$35,$AV$24:$BF$34,Q41+1))*V49</f>
        <v>0.17278637945150982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1.739318472125222E-4</v>
      </c>
      <c r="BQ41" s="31">
        <f t="shared" si="31"/>
        <v>9</v>
      </c>
      <c r="BR41" s="31">
        <v>2</v>
      </c>
      <c r="BS41" s="107">
        <f t="shared" si="32"/>
        <v>1.226427719091439E-6</v>
      </c>
    </row>
    <row r="42" spans="1:71" ht="15" customHeight="1" x14ac:dyDescent="0.25">
      <c r="G42" s="91">
        <v>3</v>
      </c>
      <c r="H42" s="130">
        <f>J42*L39+J41*L40+L42*J39+L41*J40</f>
        <v>0.23689565442863186</v>
      </c>
      <c r="I42" s="138">
        <v>3</v>
      </c>
      <c r="J42" s="86">
        <f t="shared" si="29"/>
        <v>0.21238875449668493</v>
      </c>
      <c r="K42" s="95">
        <v>3</v>
      </c>
      <c r="L42" s="86">
        <f>AK18</f>
        <v>5.989799003663461E-2</v>
      </c>
      <c r="M42" s="85">
        <v>3</v>
      </c>
      <c r="N42" s="201">
        <f>(($C$24)^M28)*((1-($C$24))^($B$21-M28))*HLOOKUP($B$21,$AV$24:$BF$34,M28+1)</f>
        <v>2.3859236358409135E-2</v>
      </c>
      <c r="O42" s="72">
        <v>3</v>
      </c>
      <c r="P42" s="201">
        <f t="shared" si="30"/>
        <v>2.3859236358409135E-2</v>
      </c>
      <c r="Q42" s="28">
        <v>3</v>
      </c>
      <c r="R42" s="202">
        <f>P42*N39+P41*N40+P40*N41+P39*N42</f>
        <v>1.1977518814371613E-7</v>
      </c>
      <c r="S42" s="72">
        <v>3</v>
      </c>
      <c r="T42" s="203">
        <f t="shared" si="33"/>
        <v>3.8068172229039952E-7</v>
      </c>
      <c r="U42" s="138">
        <v>3</v>
      </c>
      <c r="V42" s="86">
        <f>R42*T39+R41*T40+R40*T41+R39*T42</f>
        <v>1.1978782260859431E-7</v>
      </c>
      <c r="W42" s="205"/>
      <c r="X42" s="28">
        <v>3</v>
      </c>
      <c r="Y42" s="202"/>
      <c r="Z42" s="28">
        <v>3</v>
      </c>
      <c r="AA42" s="204"/>
      <c r="AB42" s="28">
        <v>3</v>
      </c>
      <c r="AC42" s="204"/>
      <c r="AD42" s="28">
        <v>3</v>
      </c>
      <c r="AE42" s="204">
        <f>((($W$39)^M42)*((1-($W$39))^($U$28-M42))*HLOOKUP($U$28,$AV$24:$BF$34,M42+1))*V42</f>
        <v>1.2900224104434638E-9</v>
      </c>
      <c r="AF42" s="28">
        <v>3</v>
      </c>
      <c r="AG42" s="204">
        <f>((($W$39)^M42)*((1-($W$39))^($U$29-M42))*HLOOKUP($U$29,$AV$24:$BF$34,M42+1))*V43</f>
        <v>1.257167153272991E-7</v>
      </c>
      <c r="AH42" s="28">
        <v>3</v>
      </c>
      <c r="AI42" s="204">
        <f>((($W$39)^M42)*((1-($W$39))^($U$30-M42))*HLOOKUP($U$30,$AV$24:$BF$34,M42+1))*V44</f>
        <v>5.2507339591149343E-6</v>
      </c>
      <c r="AJ42" s="28">
        <v>3</v>
      </c>
      <c r="AK42" s="204">
        <f>((($W$39)^M42)*((1-($W$39))^($U$31-M42))*HLOOKUP($U$31,$AV$24:$BF$34,M42+1))*V45</f>
        <v>1.2183927499628583E-4</v>
      </c>
      <c r="AL42" s="28">
        <v>3</v>
      </c>
      <c r="AM42" s="204">
        <f>((($W$39)^Q42)*((1-($W$39))^($U$32-Q42))*HLOOKUP($U$32,$AV$24:$BF$34,Q42+1))*V46</f>
        <v>1.6964000113206584E-3</v>
      </c>
      <c r="AN42" s="28">
        <v>3</v>
      </c>
      <c r="AO42" s="204">
        <f>((($W$39)^Q42)*((1-($W$39))^($U$33-Q42))*HLOOKUP($U$33,$AV$24:$BF$34,Q42+1))*V47</f>
        <v>1.4173115445023525E-2</v>
      </c>
      <c r="AP42" s="28">
        <v>3</v>
      </c>
      <c r="AQ42" s="204">
        <f>((($W$39)^Q42)*((1-($W$39))^($U$34-Q42))*HLOOKUP($U$34,$AV$24:$BF$34,Q42+1))*V48</f>
        <v>6.580244310228954E-2</v>
      </c>
      <c r="AR42" s="28">
        <v>3</v>
      </c>
      <c r="AS42" s="204">
        <f>((($W$39)^Q42)*((1-($W$39))^($U$35-Q42))*HLOOKUP($U$35,$AV$24:$BF$34,Q42+1))*V49</f>
        <v>0.13058957892235806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3.3027244362324091E-5</v>
      </c>
      <c r="BQ42" s="31">
        <f t="shared" si="31"/>
        <v>9</v>
      </c>
      <c r="BR42" s="31">
        <v>3</v>
      </c>
      <c r="BS42" s="107">
        <f t="shared" si="32"/>
        <v>1.1487034753880399E-6</v>
      </c>
    </row>
    <row r="43" spans="1:71" ht="15" customHeight="1" x14ac:dyDescent="0.25">
      <c r="G43" s="91">
        <v>4</v>
      </c>
      <c r="H43" s="130">
        <f>J43*L39+J42*L40+J41*L41+J40*L42</f>
        <v>0.15885941562256442</v>
      </c>
      <c r="I43" s="138">
        <v>4</v>
      </c>
      <c r="J43" s="86">
        <f t="shared" si="29"/>
        <v>9.8273643561986743E-2</v>
      </c>
      <c r="K43" s="95">
        <v>4</v>
      </c>
      <c r="L43" s="86"/>
      <c r="M43" s="85">
        <v>4</v>
      </c>
      <c r="N43" s="201">
        <f>(($C$24)^M29)*((1-($C$24))^($B$21-M29))*HLOOKUP($B$21,$AV$24:$BF$34,M29+1)</f>
        <v>0.21314199751823806</v>
      </c>
      <c r="O43" s="72">
        <v>4</v>
      </c>
      <c r="P43" s="201">
        <f t="shared" si="30"/>
        <v>0.21314199751823806</v>
      </c>
      <c r="Q43" s="28">
        <v>4</v>
      </c>
      <c r="R43" s="202">
        <f>P43*N39+P42*N40+P41*N41+P40*N42+P39*N43</f>
        <v>3.7449618523842089E-6</v>
      </c>
      <c r="S43" s="72">
        <v>4</v>
      </c>
      <c r="T43" s="203">
        <f t="shared" si="33"/>
        <v>2.5506313051283046E-9</v>
      </c>
      <c r="U43" s="138">
        <v>4</v>
      </c>
      <c r="V43" s="86">
        <f>T43*R39+T42*R40+T41*R41+T40*R42+T39*R43</f>
        <v>3.7455638647273438E-6</v>
      </c>
      <c r="W43" s="205"/>
      <c r="X43" s="28">
        <v>4</v>
      </c>
      <c r="Y43" s="202"/>
      <c r="Z43" s="28">
        <v>4</v>
      </c>
      <c r="AA43" s="204"/>
      <c r="AB43" s="28">
        <v>4</v>
      </c>
      <c r="AC43" s="204"/>
      <c r="AD43" s="28">
        <v>4</v>
      </c>
      <c r="AE43" s="204"/>
      <c r="AF43" s="28">
        <v>4</v>
      </c>
      <c r="AG43" s="204">
        <f>((($W$39)^M43)*((1-($W$39))^($U$29-M43))*HLOOKUP($U$29,$AV$24:$BF$34,M43+1))*V43</f>
        <v>8.9076535775393165E-9</v>
      </c>
      <c r="AH43" s="28">
        <v>4</v>
      </c>
      <c r="AI43" s="204">
        <f>((($W$39)^M43)*((1-($W$39))^($U$30-M43))*HLOOKUP($U$30,$AV$24:$BF$34,M43+1))*V44</f>
        <v>7.4408115124307487E-7</v>
      </c>
      <c r="AJ43" s="28">
        <v>4</v>
      </c>
      <c r="AK43" s="204">
        <f>((($W$39)^M43)*((1-($W$39))^($U$31-M43))*HLOOKUP($U$31,$AV$24:$BF$34,M43+1))*V45</f>
        <v>2.5898753025321631E-5</v>
      </c>
      <c r="AL43" s="28">
        <v>4</v>
      </c>
      <c r="AM43" s="204">
        <f>((($W$39)^Q43)*((1-($W$39))^($U$32-Q43))*HLOOKUP($U$32,$AV$24:$BF$34,Q43+1))*V46</f>
        <v>4.8079345981757104E-4</v>
      </c>
      <c r="AN43" s="28">
        <v>4</v>
      </c>
      <c r="AO43" s="204">
        <f>((($W$39)^Q43)*((1-($W$39))^($U$33-Q43))*HLOOKUP($U$33,$AV$24:$BF$34,Q43+1))*V47</f>
        <v>5.0211780577489691E-3</v>
      </c>
      <c r="AP43" s="28">
        <v>4</v>
      </c>
      <c r="AQ43" s="204">
        <f>((($W$39)^Q43)*((1-($W$39))^($U$34-Q43))*HLOOKUP($U$34,$AV$24:$BF$34,Q43+1))*V48</f>
        <v>2.7974579172781969E-2</v>
      </c>
      <c r="AR43" s="28">
        <v>4</v>
      </c>
      <c r="AS43" s="204">
        <f>((($W$39)^Q43)*((1-($W$39))^($U$35-Q43))*HLOOKUP($U$35,$AV$24:$BF$34,Q43+1))*V49</f>
        <v>6.4770441129808093E-2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4.5253628928250223E-6</v>
      </c>
      <c r="BQ43" s="31">
        <f t="shared" si="31"/>
        <v>9</v>
      </c>
      <c r="BR43" s="31">
        <v>4</v>
      </c>
      <c r="BS43" s="107">
        <f t="shared" si="32"/>
        <v>7.703069237968153E-7</v>
      </c>
    </row>
    <row r="44" spans="1:71" ht="15" customHeight="1" thickBot="1" x14ac:dyDescent="0.3">
      <c r="G44" s="91">
        <v>5</v>
      </c>
      <c r="H44" s="130">
        <f>J44*L39+J43*L40+J42*L41+J41*L42</f>
        <v>8.1982438185188689E-2</v>
      </c>
      <c r="I44" s="138">
        <v>5</v>
      </c>
      <c r="J44" s="86">
        <f t="shared" si="29"/>
        <v>3.1180446317843252E-2</v>
      </c>
      <c r="K44" s="95">
        <v>5</v>
      </c>
      <c r="L44" s="86"/>
      <c r="M44" s="85">
        <v>5</v>
      </c>
      <c r="N44" s="201">
        <f>(($C$24)^M30)*((1-($C$24))^($B$21-M30))*HLOOKUP($B$21,$AV$24:$BF$34,M30+1)</f>
        <v>0.76162556795415748</v>
      </c>
      <c r="O44" s="72">
        <v>5</v>
      </c>
      <c r="P44" s="201">
        <f t="shared" si="30"/>
        <v>0.76162556795415748</v>
      </c>
      <c r="Q44" s="28">
        <v>5</v>
      </c>
      <c r="R44" s="202">
        <f>P44*N39+P43*N40+P42*N41+P41*N42+P40*N43+P39*N44</f>
        <v>8.0291788507181905E-5</v>
      </c>
      <c r="S44" s="72">
        <v>5</v>
      </c>
      <c r="T44" s="203">
        <f t="shared" si="33"/>
        <v>1.6021553424172769E-11</v>
      </c>
      <c r="U44" s="138">
        <v>5</v>
      </c>
      <c r="V44" s="86">
        <f>T44*R39+T43*R40+T42*R41+T41*R42+T40*R43+T39*R44</f>
        <v>8.0310613461018998E-5</v>
      </c>
      <c r="W44" s="205"/>
      <c r="X44" s="28">
        <v>5</v>
      </c>
      <c r="Y44" s="202"/>
      <c r="Z44" s="28">
        <v>5</v>
      </c>
      <c r="AA44" s="204"/>
      <c r="AB44" s="28">
        <v>5</v>
      </c>
      <c r="AC44" s="204"/>
      <c r="AD44" s="28">
        <v>5</v>
      </c>
      <c r="AE44" s="204"/>
      <c r="AF44" s="28">
        <v>5</v>
      </c>
      <c r="AG44" s="204"/>
      <c r="AH44" s="28">
        <v>5</v>
      </c>
      <c r="AI44" s="204">
        <f>((($W$39)^M44)*((1-($W$39))^($U$30-M44))*HLOOKUP($U$30,$AV$24:$BF$34,M44+1))*V44</f>
        <v>4.2177475678355974E-8</v>
      </c>
      <c r="AJ44" s="28">
        <v>5</v>
      </c>
      <c r="AK44" s="204">
        <f>((($W$39)^M44)*((1-($W$39))^($U$31-M44))*HLOOKUP($U$31,$AV$24:$BF$34,M44+1))*V45</f>
        <v>2.9360884199266771E-6</v>
      </c>
      <c r="AL44" s="28">
        <v>5</v>
      </c>
      <c r="AM44" s="204">
        <f>((($W$39)^Q44)*((1-($W$39))^($U$32-Q44))*HLOOKUP($U$32,$AV$24:$BF$34,Q44+1))*V46</f>
        <v>8.1759850080426096E-5</v>
      </c>
      <c r="AN44" s="28">
        <v>5</v>
      </c>
      <c r="AO44" s="204">
        <f>((($W$39)^Q44)*((1-($W$39))^($U$33-Q44))*HLOOKUP($U$33,$AV$24:$BF$34,Q44+1))*V47</f>
        <v>1.1384812801861594E-3</v>
      </c>
      <c r="AP44" s="28">
        <v>5</v>
      </c>
      <c r="AQ44" s="204">
        <f>((($W$39)^Q44)*((1-($W$39))^($U$34-Q44))*HLOOKUP($U$34,$AV$24:$BF$34,Q44+1))*V48</f>
        <v>7.9285514133848045E-3</v>
      </c>
      <c r="AR44" s="28">
        <v>5</v>
      </c>
      <c r="AS44" s="204">
        <f>((($W$39)^Q44)*((1-($W$39))^($U$35-Q44))*HLOOKUP($U$35,$AV$24:$BF$34,Q44+1))*V49</f>
        <v>2.2028675508296257E-2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5.7688929559308085E-4</v>
      </c>
      <c r="BQ44" s="31">
        <f t="shared" si="31"/>
        <v>9</v>
      </c>
      <c r="BR44" s="31">
        <v>5</v>
      </c>
      <c r="BS44" s="107">
        <f t="shared" si="32"/>
        <v>3.9753161319589544E-7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3.3582533578221579E-2</v>
      </c>
      <c r="I45" s="138">
        <v>6</v>
      </c>
      <c r="J45" s="86">
        <f t="shared" si="29"/>
        <v>6.8700730639848582E-3</v>
      </c>
      <c r="K45" s="95">
        <v>6</v>
      </c>
      <c r="L45" s="86"/>
      <c r="M45" s="85"/>
      <c r="N45" s="202"/>
      <c r="O45" s="202"/>
      <c r="P45" s="202"/>
      <c r="Q45" s="28">
        <v>6</v>
      </c>
      <c r="R45" s="202">
        <f>P44*N40+P43*N41+P42*N42+P41*N43+P40*N44</f>
        <v>1.195452635173508E-3</v>
      </c>
      <c r="S45" s="72">
        <v>6</v>
      </c>
      <c r="T45" s="203">
        <f t="shared" si="33"/>
        <v>9.6612382457323207E-14</v>
      </c>
      <c r="U45" s="138">
        <v>6</v>
      </c>
      <c r="V45" s="86">
        <f>T45*R39+T44*R40+T43*R41+T42*R42+T41*R43+T40*R44+T39*R45</f>
        <v>1.1958563006779787E-3</v>
      </c>
      <c r="W45" s="205"/>
      <c r="X45" s="28">
        <v>6</v>
      </c>
      <c r="Y45" s="202"/>
      <c r="Z45" s="28">
        <v>6</v>
      </c>
      <c r="AA45" s="204"/>
      <c r="AB45" s="28">
        <v>6</v>
      </c>
      <c r="AC45" s="204"/>
      <c r="AD45" s="28">
        <v>6</v>
      </c>
      <c r="AE45" s="204"/>
      <c r="AF45" s="28">
        <v>6</v>
      </c>
      <c r="AG45" s="204"/>
      <c r="AH45" s="28">
        <v>6</v>
      </c>
      <c r="AI45" s="204"/>
      <c r="AJ45" s="28">
        <v>6</v>
      </c>
      <c r="AK45" s="204">
        <f>((($W$39)^Q45)*((1-($W$39))^($U$31-Q45))*HLOOKUP($U$31,$AV$24:$BF$34,Q45+1))*V45</f>
        <v>1.3869096324829194E-7</v>
      </c>
      <c r="AL45" s="28">
        <v>6</v>
      </c>
      <c r="AM45" s="204">
        <f>((($W$39)^Q45)*((1-($W$39))^($U$32-Q45))*HLOOKUP($U$32,$AV$24:$BF$34,Q45+1))*V46</f>
        <v>7.7241218525519838E-6</v>
      </c>
      <c r="AN45" s="28">
        <v>6</v>
      </c>
      <c r="AO45" s="204">
        <f>((($W$39)^Q45)*((1-($W$39))^($U$33-Q45))*HLOOKUP($U$33,$AV$24:$BF$34,Q45+1))*V47</f>
        <v>1.6133410457009684E-4</v>
      </c>
      <c r="AP45" s="28">
        <v>6</v>
      </c>
      <c r="AQ45" s="204">
        <f>((($W$39)^Q45)*((1-($W$39))^($U$34-Q45))*HLOOKUP($U$34,$AV$24:$BF$34,Q45+1))*V48</f>
        <v>1.4980726400786058E-3</v>
      </c>
      <c r="AR45" s="28">
        <v>6</v>
      </c>
      <c r="AS45" s="204">
        <f>((($W$39)^Q45)*((1-($W$39))^($U$35-Q45))*HLOOKUP($U$35,$AV$24:$BF$34,Q45+1))*V49</f>
        <v>5.2028035065203549E-3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1.8740505026990667E-4</v>
      </c>
      <c r="BQ45" s="31">
        <f t="shared" si="31"/>
        <v>9</v>
      </c>
      <c r="BR45" s="31">
        <v>6</v>
      </c>
      <c r="BS45" s="107">
        <f t="shared" si="32"/>
        <v>1.6284120165344927E-7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1.090943520965711E-2</v>
      </c>
      <c r="I46" s="138">
        <v>7</v>
      </c>
      <c r="J46" s="86">
        <f t="shared" si="29"/>
        <v>1.0379574028455741E-3</v>
      </c>
      <c r="K46" s="95">
        <v>7</v>
      </c>
      <c r="L46" s="86"/>
      <c r="M46" s="85"/>
      <c r="N46" s="202"/>
      <c r="O46" s="202"/>
      <c r="P46" s="202"/>
      <c r="Q46" s="28">
        <v>7</v>
      </c>
      <c r="R46" s="202">
        <f>P44*N41+P43*N42+P42*N43+P41*N44</f>
        <v>1.2204972712058625E-2</v>
      </c>
      <c r="S46" s="72">
        <v>7</v>
      </c>
      <c r="T46" s="203">
        <f t="shared" si="33"/>
        <v>5.6640425226236405E-16</v>
      </c>
      <c r="U46" s="138">
        <v>7</v>
      </c>
      <c r="V46" s="86">
        <f>T46*R39+T45*R40+T44*R41+T43*R42+T42*R43+T41*R44+T40*R45+T39*R46</f>
        <v>1.2210984068197242E-2</v>
      </c>
      <c r="W46" s="205"/>
      <c r="X46" s="28">
        <v>7</v>
      </c>
      <c r="Y46" s="202"/>
      <c r="Z46" s="28">
        <v>7</v>
      </c>
      <c r="AA46" s="204"/>
      <c r="AB46" s="28">
        <v>7</v>
      </c>
      <c r="AC46" s="204"/>
      <c r="AD46" s="28">
        <v>7</v>
      </c>
      <c r="AE46" s="204"/>
      <c r="AF46" s="28">
        <v>7</v>
      </c>
      <c r="AG46" s="204"/>
      <c r="AH46" s="28">
        <v>7</v>
      </c>
      <c r="AI46" s="204"/>
      <c r="AJ46" s="28">
        <v>7</v>
      </c>
      <c r="AK46" s="204"/>
      <c r="AL46" s="28">
        <v>7</v>
      </c>
      <c r="AM46" s="204">
        <f>((($W$39)^Q46)*((1-($W$39))^($U$32-Q46))*HLOOKUP($U$32,$AV$24:$BF$34,Q46+1))*V46</f>
        <v>3.1273850883872855E-7</v>
      </c>
      <c r="AN46" s="28">
        <v>7</v>
      </c>
      <c r="AO46" s="204">
        <f>((($W$39)^Q46)*((1-($W$39))^($U$33-Q46))*HLOOKUP($U$33,$AV$24:$BF$34,Q46+1))*V47</f>
        <v>1.3064368546027938E-5</v>
      </c>
      <c r="AP46" s="28">
        <v>7</v>
      </c>
      <c r="AQ46" s="204">
        <f>((($W$39)^Q46)*((1-($W$39))^($U$34-Q46))*HLOOKUP($U$34,$AV$24:$BF$34,Q46+1))*V48</f>
        <v>1.8196437570524237E-4</v>
      </c>
      <c r="AR46" s="28">
        <v>7</v>
      </c>
      <c r="AS46" s="204">
        <f>((($W$39)^Q46)*((1-($W$39))^($U$35-Q46))*HLOOKUP($U$35,$AV$24:$BF$34,Q46+1))*V49</f>
        <v>8.4261592008546497E-4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4.7286885157048719E-5</v>
      </c>
      <c r="BQ46" s="31">
        <f t="shared" si="31"/>
        <v>9</v>
      </c>
      <c r="BR46" s="31">
        <v>7</v>
      </c>
      <c r="BS46" s="107">
        <f t="shared" si="32"/>
        <v>5.289968771305226E-8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2.7527177583760018E-3</v>
      </c>
      <c r="I47" s="138">
        <v>8</v>
      </c>
      <c r="J47" s="86">
        <f t="shared" si="29"/>
        <v>1.0291120075578444E-4</v>
      </c>
      <c r="K47" s="95">
        <v>8</v>
      </c>
      <c r="L47" s="86"/>
      <c r="M47" s="85"/>
      <c r="N47" s="202"/>
      <c r="O47" s="202"/>
      <c r="P47" s="202"/>
      <c r="Q47" s="28">
        <v>8</v>
      </c>
      <c r="R47" s="202">
        <f>P44*N42+P43*N43+P42*N44</f>
        <v>8.1773119990916285E-2</v>
      </c>
      <c r="S47" s="72">
        <v>8</v>
      </c>
      <c r="T47" s="203">
        <f t="shared" si="33"/>
        <v>3.2528600273502595E-18</v>
      </c>
      <c r="U47" s="138">
        <v>8</v>
      </c>
      <c r="V47" s="86">
        <f>T47*R39+T46*R40+T45*R41+T44*R42+T43*R43+T42*R44+T41*R45+T40*R46+T39*R47</f>
        <v>8.1834511917528677E-2</v>
      </c>
      <c r="W47" s="205"/>
      <c r="X47" s="28">
        <v>8</v>
      </c>
      <c r="Y47" s="202"/>
      <c r="Z47" s="28">
        <v>8</v>
      </c>
      <c r="AA47" s="204"/>
      <c r="AB47" s="28">
        <v>8</v>
      </c>
      <c r="AC47" s="204"/>
      <c r="AD47" s="28">
        <v>8</v>
      </c>
      <c r="AE47" s="204"/>
      <c r="AF47" s="28">
        <v>8</v>
      </c>
      <c r="AG47" s="204"/>
      <c r="AH47" s="28">
        <v>8</v>
      </c>
      <c r="AI47" s="204"/>
      <c r="AJ47" s="28">
        <v>8</v>
      </c>
      <c r="AK47" s="204"/>
      <c r="AL47" s="28">
        <v>8</v>
      </c>
      <c r="AM47" s="204"/>
      <c r="AN47" s="28">
        <v>8</v>
      </c>
      <c r="AO47" s="204">
        <f>((($W$39)^Q47)*((1-($W$39))^($U$33-Q47))*HLOOKUP($U$33,$AV$24:$BF$34,Q47+1))*V47</f>
        <v>4.6283769391502622E-7</v>
      </c>
      <c r="AP47" s="28">
        <v>8</v>
      </c>
      <c r="AQ47" s="204">
        <f>((($W$39)^Q47)*((1-($W$39))^($U$34-Q47))*HLOOKUP($U$34,$AV$24:$BF$34,Q47+1))*V48</f>
        <v>1.289307963555695E-5</v>
      </c>
      <c r="AR47" s="28">
        <v>8</v>
      </c>
      <c r="AS47" s="204">
        <f>((($W$39)^Q47)*((1-($W$39))^($U$35-Q47))*HLOOKUP($U$35,$AV$24:$BF$34,Q47+1))*V49</f>
        <v>8.9555283426312468E-5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8.9791233534520052E-6</v>
      </c>
      <c r="BQ47" s="31">
        <f>BM12+1</f>
        <v>9</v>
      </c>
      <c r="BR47" s="31">
        <v>8</v>
      </c>
      <c r="BS47" s="107">
        <f t="shared" si="32"/>
        <v>1.3347887125390481E-8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5.2270290647409294E-4</v>
      </c>
      <c r="I48" s="138">
        <v>9</v>
      </c>
      <c r="J48" s="86">
        <f t="shared" si="29"/>
        <v>6.0464052553511497E-6</v>
      </c>
      <c r="K48" s="95">
        <v>9</v>
      </c>
      <c r="L48" s="86"/>
      <c r="M48" s="85"/>
      <c r="N48" s="202"/>
      <c r="O48" s="202"/>
      <c r="P48" s="202"/>
      <c r="Q48" s="28">
        <v>9</v>
      </c>
      <c r="R48" s="202">
        <f>P44*N43+P43*N44</f>
        <v>0.32466878982942338</v>
      </c>
      <c r="S48" s="72">
        <v>9</v>
      </c>
      <c r="T48" s="203">
        <f t="shared" si="33"/>
        <v>1.8389284074216291E-20</v>
      </c>
      <c r="U48" s="138">
        <v>9</v>
      </c>
      <c r="V48" s="86">
        <f>T48*R39+T47*R40+T46*R41+T45*R42+T44*R43+T43*R44+T42*R45+T41*R46+T40*R47+T39*R48</f>
        <v>0.32508032688287225</v>
      </c>
      <c r="W48" s="205"/>
      <c r="X48" s="28">
        <v>9</v>
      </c>
      <c r="Y48" s="202"/>
      <c r="Z48" s="28">
        <v>9</v>
      </c>
      <c r="AA48" s="204"/>
      <c r="AB48" s="28">
        <v>9</v>
      </c>
      <c r="AC48" s="204"/>
      <c r="AD48" s="28">
        <v>9</v>
      </c>
      <c r="AE48" s="204"/>
      <c r="AF48" s="28">
        <v>9</v>
      </c>
      <c r="AG48" s="204"/>
      <c r="AH48" s="28">
        <v>9</v>
      </c>
      <c r="AI48" s="204"/>
      <c r="AJ48" s="28">
        <v>9</v>
      </c>
      <c r="AK48" s="204"/>
      <c r="AL48" s="28">
        <v>9</v>
      </c>
      <c r="AM48" s="204"/>
      <c r="AN48" s="28">
        <v>9</v>
      </c>
      <c r="AO48" s="204"/>
      <c r="AP48" s="28">
        <v>9</v>
      </c>
      <c r="AQ48" s="204">
        <f>((($W$39)^Q48)*((1-($W$39))^($U$34-Q48))*HLOOKUP($U$34,$AV$24:$BF$34,Q48+1))*V48</f>
        <v>4.060172079642809E-7</v>
      </c>
      <c r="AR48" s="28">
        <v>9</v>
      </c>
      <c r="AS48" s="204">
        <f>((($W$39)^Q48)*((1-($W$39))^($U$35-Q48))*HLOOKUP($U$35,$AV$24:$BF$34,Q48+1))*V49</f>
        <v>5.6403880473868685E-6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1.2303112905224205E-6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7.1620275399906136E-5</v>
      </c>
      <c r="I49" s="94">
        <v>10</v>
      </c>
      <c r="J49" s="89">
        <f t="shared" si="29"/>
        <v>1.598598011034912E-7</v>
      </c>
      <c r="K49" s="96">
        <v>10</v>
      </c>
      <c r="L49" s="89"/>
      <c r="M49" s="85"/>
      <c r="N49" s="202"/>
      <c r="O49" s="202"/>
      <c r="P49" s="202"/>
      <c r="Q49" s="28">
        <v>10</v>
      </c>
      <c r="R49" s="202">
        <f>P44*N44</f>
        <v>0.58007350576149297</v>
      </c>
      <c r="S49" s="72">
        <v>10</v>
      </c>
      <c r="T49" s="203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0.57959414232003015</v>
      </c>
      <c r="W49" s="205"/>
      <c r="X49" s="28">
        <v>10</v>
      </c>
      <c r="Y49" s="202"/>
      <c r="Z49" s="28">
        <v>10</v>
      </c>
      <c r="AA49" s="204"/>
      <c r="AB49" s="28">
        <v>10</v>
      </c>
      <c r="AC49" s="204"/>
      <c r="AD49" s="28">
        <v>10</v>
      </c>
      <c r="AE49" s="204"/>
      <c r="AF49" s="28">
        <v>10</v>
      </c>
      <c r="AG49" s="204"/>
      <c r="AH49" s="28">
        <v>10</v>
      </c>
      <c r="AI49" s="204"/>
      <c r="AJ49" s="28">
        <v>10</v>
      </c>
      <c r="AK49" s="204"/>
      <c r="AL49" s="28">
        <v>10</v>
      </c>
      <c r="AM49" s="204"/>
      <c r="AN49" s="28">
        <v>10</v>
      </c>
      <c r="AO49" s="204"/>
      <c r="AP49" s="28">
        <v>10</v>
      </c>
      <c r="AQ49" s="204"/>
      <c r="AR49" s="28">
        <v>10</v>
      </c>
      <c r="AS49" s="204">
        <f>((($W$39)^Q49)*((1-($W$39))^($U$35-Q49))*HLOOKUP($U$35,$AV$24:$BF$34,Q49+1))*V49</f>
        <v>1.598598011034912E-7</v>
      </c>
      <c r="BI49" s="31">
        <f>BQ14+1</f>
        <v>6</v>
      </c>
      <c r="BJ49" s="31">
        <v>0</v>
      </c>
      <c r="BK49" s="107">
        <f>$H$31*H39</f>
        <v>1.7941567291073377E-4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08"/>
      <c r="H50" s="77"/>
      <c r="I50" s="290"/>
      <c r="J50" s="290"/>
      <c r="K50" s="77"/>
      <c r="L50" s="77"/>
      <c r="O50" s="195"/>
      <c r="P50" s="195"/>
      <c r="Q50" s="195"/>
      <c r="R50" s="195"/>
      <c r="S50" s="208"/>
      <c r="T50" s="208"/>
      <c r="U50" s="208"/>
      <c r="V50" s="77"/>
      <c r="W50" s="290"/>
      <c r="X50" s="158"/>
      <c r="Y50" s="158"/>
      <c r="BI50" s="31">
        <f>BI45+1</f>
        <v>6</v>
      </c>
      <c r="BJ50" s="31">
        <v>7</v>
      </c>
      <c r="BK50" s="107">
        <f>$H$31*H46</f>
        <v>3.7399350135515585E-5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9.436772233508819E-6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1.791912105474678E-6</v>
      </c>
    </row>
    <row r="53" spans="1:63" x14ac:dyDescent="0.25">
      <c r="BI53" s="31">
        <f>BI48+1</f>
        <v>6</v>
      </c>
      <c r="BJ53" s="31">
        <v>10</v>
      </c>
      <c r="BK53" s="107">
        <f>$H$31*H49</f>
        <v>2.4552616198793407E-7</v>
      </c>
    </row>
    <row r="54" spans="1:63" x14ac:dyDescent="0.25">
      <c r="BI54" s="31">
        <f>BI51+1</f>
        <v>7</v>
      </c>
      <c r="BJ54" s="31">
        <v>8</v>
      </c>
      <c r="BK54" s="107">
        <f>$H$32*H47</f>
        <v>1.4062876143435326E-6</v>
      </c>
    </row>
    <row r="55" spans="1:63" x14ac:dyDescent="0.25">
      <c r="BI55" s="31">
        <f>BI52+1</f>
        <v>7</v>
      </c>
      <c r="BJ55" s="31">
        <v>9</v>
      </c>
      <c r="BK55" s="107">
        <f>$H$32*H48</f>
        <v>2.6703450476141307E-7</v>
      </c>
    </row>
    <row r="56" spans="1:63" x14ac:dyDescent="0.25">
      <c r="BI56" s="31">
        <f>BI53+1</f>
        <v>7</v>
      </c>
      <c r="BJ56" s="31">
        <v>10</v>
      </c>
      <c r="BK56" s="107">
        <f>$H$32*H49</f>
        <v>3.6588824235355312E-8</v>
      </c>
    </row>
    <row r="57" spans="1:63" x14ac:dyDescent="0.25">
      <c r="BI57" s="31">
        <f>BI55+1</f>
        <v>8</v>
      </c>
      <c r="BJ57" s="31">
        <v>9</v>
      </c>
      <c r="BK57" s="107">
        <f>$H$33*H48</f>
        <v>2.9962675088279442E-8</v>
      </c>
    </row>
    <row r="58" spans="1:63" x14ac:dyDescent="0.25">
      <c r="BI58" s="31">
        <f>BI56+1</f>
        <v>8</v>
      </c>
      <c r="BJ58" s="31">
        <v>10</v>
      </c>
      <c r="BK58" s="107">
        <f>$H$33*H49</f>
        <v>4.1054584066041363E-9</v>
      </c>
    </row>
    <row r="59" spans="1:63" x14ac:dyDescent="0.25">
      <c r="BI59" s="31">
        <f>BI58+1</f>
        <v>9</v>
      </c>
      <c r="BJ59" s="31">
        <v>10</v>
      </c>
      <c r="BK59" s="107">
        <f>$H$34*H49</f>
        <v>3.4728564126070045E-10</v>
      </c>
    </row>
  </sheetData>
  <mergeCells count="1"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D76D-BB96-468F-9D75-49664509D415}">
  <sheetPr>
    <tabColor theme="9" tint="-0.249977111117893"/>
  </sheetPr>
  <dimension ref="A1:BS59"/>
  <sheetViews>
    <sheetView zoomScale="90" zoomScaleNormal="90" workbookViewId="0">
      <selection activeCell="S11" sqref="S11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6" t="s">
        <v>143</v>
      </c>
      <c r="B1" s="31" t="s">
        <v>0</v>
      </c>
      <c r="E1" s="276">
        <v>1.5</v>
      </c>
      <c r="F1" s="276">
        <v>2.5</v>
      </c>
      <c r="G1" s="276">
        <v>3.5</v>
      </c>
      <c r="H1" s="212"/>
      <c r="I1" s="211"/>
      <c r="J1" s="213"/>
      <c r="K1" s="212"/>
      <c r="L1" s="212"/>
      <c r="M1" s="212"/>
      <c r="N1" s="212">
        <f>COUNTIF(B17:C17,"JC")</f>
        <v>0</v>
      </c>
      <c r="O1" s="211"/>
      <c r="P1" s="212">
        <f>COUNTIF(F5:H5,"CAB")+COUNTIF(E4:I4,"CAB")</f>
        <v>0</v>
      </c>
      <c r="Q1" s="294">
        <f>COUNTIF(F10:H10,"CAB")+COUNTIF(E9:I9,"CAB")</f>
        <v>4</v>
      </c>
      <c r="R1" s="293"/>
      <c r="S1" s="214"/>
      <c r="T1" s="214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5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71" ht="15.75" x14ac:dyDescent="0.25">
      <c r="A2" s="296" t="s">
        <v>196</v>
      </c>
      <c r="B2" s="31" t="s">
        <v>194</v>
      </c>
      <c r="E2" s="236"/>
      <c r="F2" s="236"/>
      <c r="G2" s="236"/>
      <c r="H2" s="236"/>
      <c r="I2" s="236"/>
      <c r="J2" s="236"/>
      <c r="K2" s="236"/>
      <c r="L2" s="236"/>
      <c r="M2" s="236"/>
      <c r="N2" s="252">
        <f>SUM(N4:N15)</f>
        <v>3.5750000000000002</v>
      </c>
      <c r="O2" s="236"/>
      <c r="P2" s="238"/>
      <c r="Q2" s="238"/>
      <c r="R2" s="189">
        <f>SUM(R4:R15)</f>
        <v>2.9750000000000001</v>
      </c>
      <c r="S2" s="189">
        <f>SUM(S4:S15)</f>
        <v>3.5750000000000002</v>
      </c>
      <c r="T2" s="247">
        <f t="shared" ref="T2:U2" si="0">SUM(T4:T15)</f>
        <v>1.1238265220006469</v>
      </c>
      <c r="U2" s="247">
        <f t="shared" si="0"/>
        <v>0.67032591085540982</v>
      </c>
      <c r="V2" s="158"/>
      <c r="W2" s="158"/>
      <c r="X2" s="281">
        <f t="shared" ref="X2:Y2" si="1">SUM(X4:X15)</f>
        <v>0.62497678731605388</v>
      </c>
      <c r="Y2" s="282">
        <f t="shared" si="1"/>
        <v>0.4271912056082644</v>
      </c>
      <c r="Z2" s="211"/>
      <c r="AA2" s="217" t="s">
        <v>19</v>
      </c>
      <c r="AB2" s="217" t="s">
        <v>20</v>
      </c>
      <c r="AC2" s="217" t="s">
        <v>21</v>
      </c>
      <c r="AD2" s="217" t="s">
        <v>22</v>
      </c>
      <c r="AE2" s="295"/>
      <c r="AF2" s="211"/>
      <c r="AG2" s="218" t="s">
        <v>24</v>
      </c>
      <c r="AH2" s="218" t="s">
        <v>20</v>
      </c>
      <c r="AI2" s="218" t="s">
        <v>21</v>
      </c>
      <c r="AJ2" s="218" t="s">
        <v>22</v>
      </c>
      <c r="AK2" s="220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</row>
    <row r="3" spans="1:71" ht="15.75" x14ac:dyDescent="0.25">
      <c r="A3" s="157" t="s">
        <v>4</v>
      </c>
      <c r="B3" s="300" t="s">
        <v>5</v>
      </c>
      <c r="C3" s="300"/>
      <c r="D3" s="31" t="str">
        <f>IF(B3="Sol","SI",IF(B3="Lluvia","SI","NO"))</f>
        <v>SI</v>
      </c>
      <c r="E3" s="239"/>
      <c r="F3" s="240"/>
      <c r="G3" s="270" t="s">
        <v>157</v>
      </c>
      <c r="H3" s="239"/>
      <c r="I3" s="239"/>
      <c r="J3" s="236"/>
      <c r="K3" s="248" t="s">
        <v>161</v>
      </c>
      <c r="L3" s="248" t="s">
        <v>162</v>
      </c>
      <c r="M3" s="248" t="s">
        <v>28</v>
      </c>
      <c r="N3" s="248" t="s">
        <v>28</v>
      </c>
      <c r="O3" s="248" t="s">
        <v>163</v>
      </c>
      <c r="P3" s="253" t="s">
        <v>164</v>
      </c>
      <c r="Q3" s="255" t="s">
        <v>165</v>
      </c>
      <c r="R3" s="248" t="s">
        <v>28</v>
      </c>
      <c r="S3" s="248" t="s">
        <v>166</v>
      </c>
      <c r="T3" s="253" t="s">
        <v>167</v>
      </c>
      <c r="U3" s="255" t="s">
        <v>168</v>
      </c>
      <c r="V3" s="253" t="s">
        <v>169</v>
      </c>
      <c r="W3" s="255" t="s">
        <v>170</v>
      </c>
      <c r="X3" s="277" t="s">
        <v>171</v>
      </c>
      <c r="Y3" s="278" t="s">
        <v>172</v>
      </c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6"/>
      <c r="AO3" s="216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71" ht="15.75" x14ac:dyDescent="0.25">
      <c r="A4" s="122"/>
      <c r="B4" s="8" t="s">
        <v>9</v>
      </c>
      <c r="C4" s="9" t="s">
        <v>10</v>
      </c>
      <c r="D4" s="158"/>
      <c r="E4" s="270" t="s">
        <v>37</v>
      </c>
      <c r="F4" s="270" t="s">
        <v>157</v>
      </c>
      <c r="G4" s="270" t="s">
        <v>1</v>
      </c>
      <c r="H4" s="270" t="s">
        <v>157</v>
      </c>
      <c r="I4" s="270" t="s">
        <v>37</v>
      </c>
      <c r="J4" s="236"/>
      <c r="K4" s="237">
        <v>5</v>
      </c>
      <c r="L4" s="237">
        <v>6</v>
      </c>
      <c r="M4" s="250">
        <v>0.45</v>
      </c>
      <c r="N4" s="250">
        <f>IF($N$1=2,M4*$G$1/$E$1,IF($N$1=1,M4*$F$1/$E$1,M4))</f>
        <v>0.45</v>
      </c>
      <c r="O4" s="237" t="s">
        <v>173</v>
      </c>
      <c r="P4" s="240">
        <f>COUNTIF(E3:I4,"IMP")</f>
        <v>2</v>
      </c>
      <c r="Q4" s="242">
        <f>COUNTIF(E8:I9,"IMP")</f>
        <v>0</v>
      </c>
      <c r="R4" s="249">
        <f t="shared" ref="R4:R14" si="2">IF(P4+Q4=0,0,N4)</f>
        <v>0.45</v>
      </c>
      <c r="S4" s="249">
        <f t="shared" ref="S4:S15" si="3">R4*$N$2/$R$2</f>
        <v>0.54075630252100848</v>
      </c>
      <c r="T4" s="254">
        <f>IF(S4=0,0,S4*(P4^2.7/(P4^2.7+Q4^2.7))*P4/L4)</f>
        <v>0.18025210084033616</v>
      </c>
      <c r="U4" s="256">
        <f>IF(S4=0,0,S4*Q4^2.7/(P4^2.7+Q4^2.7)*Q4/L4)</f>
        <v>0</v>
      </c>
      <c r="V4" s="246">
        <f>$G$17</f>
        <v>0.56999999999999995</v>
      </c>
      <c r="W4" s="244">
        <f>$H$17</f>
        <v>0.56999999999999995</v>
      </c>
      <c r="X4" s="279">
        <f>V4*T4</f>
        <v>0.10274369747899161</v>
      </c>
      <c r="Y4" s="280">
        <f>W4*U4</f>
        <v>0</v>
      </c>
      <c r="Z4" s="218"/>
      <c r="AA4" s="272">
        <f t="shared" ref="AA4:AA14" si="4">X5</f>
        <v>0</v>
      </c>
      <c r="AB4" s="273">
        <f t="shared" ref="AB4:AB15" si="5">(1-AA4)</f>
        <v>1</v>
      </c>
      <c r="AC4" s="273">
        <f>AA4*AB3*PRODUCT(AB5:AB17)</f>
        <v>0</v>
      </c>
      <c r="AD4" s="273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11"/>
      <c r="AF4" s="218"/>
      <c r="AG4" s="274">
        <f>Y4</f>
        <v>0</v>
      </c>
      <c r="AH4" s="275">
        <f t="shared" ref="AH4:AH15" si="6">(1-AG4)</f>
        <v>1</v>
      </c>
      <c r="AI4" s="275">
        <f>AG4*AH3*PRODUCT(AH5:AH17)</f>
        <v>0</v>
      </c>
      <c r="AJ4" s="275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11"/>
      <c r="AL4" s="218"/>
      <c r="AM4" s="218"/>
      <c r="AN4" s="212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I4" s="31">
        <v>0</v>
      </c>
      <c r="BJ4" s="31">
        <v>1</v>
      </c>
      <c r="BK4" s="107">
        <f t="shared" ref="BK4:BK13" si="7">$H$25*H40</f>
        <v>3.085739488460823E-2</v>
      </c>
      <c r="BM4" s="31">
        <v>0</v>
      </c>
      <c r="BN4" s="31">
        <v>0</v>
      </c>
      <c r="BO4" s="107">
        <f>H25*H39</f>
        <v>1.3703143835425773E-2</v>
      </c>
      <c r="BQ4" s="31">
        <v>1</v>
      </c>
      <c r="BR4" s="31">
        <v>0</v>
      </c>
      <c r="BS4" s="107">
        <f>$H$26*H39</f>
        <v>3.2852347940281093E-2</v>
      </c>
    </row>
    <row r="5" spans="1:71" ht="15.75" x14ac:dyDescent="0.25">
      <c r="A5" s="40" t="s">
        <v>30</v>
      </c>
      <c r="B5" s="154">
        <v>352</v>
      </c>
      <c r="C5" s="154">
        <v>550</v>
      </c>
      <c r="E5" s="270" t="s">
        <v>1</v>
      </c>
      <c r="F5" s="270" t="s">
        <v>1</v>
      </c>
      <c r="G5" s="270" t="s">
        <v>157</v>
      </c>
      <c r="H5" s="270" t="s">
        <v>157</v>
      </c>
      <c r="I5" s="270" t="s">
        <v>1</v>
      </c>
      <c r="J5" s="236"/>
      <c r="K5" s="237">
        <v>6</v>
      </c>
      <c r="L5" s="237">
        <v>8</v>
      </c>
      <c r="M5" s="250">
        <v>0.35</v>
      </c>
      <c r="N5" s="250">
        <f t="shared" ref="N5:N15" si="8">IF($N$1=2,M5*$G$1/$E$1,IF($N$1=1,M5*$F$1/$E$1,M5))</f>
        <v>0.35</v>
      </c>
      <c r="O5" s="237" t="s">
        <v>174</v>
      </c>
      <c r="P5" s="240">
        <f>COUNTIF(E5:I6,"IMP")</f>
        <v>0</v>
      </c>
      <c r="Q5" s="242">
        <f>COUNTIF(E10:I11,"IMP")</f>
        <v>1</v>
      </c>
      <c r="R5" s="249">
        <f t="shared" si="2"/>
        <v>0.35</v>
      </c>
      <c r="S5" s="249">
        <f t="shared" si="3"/>
        <v>0.42058823529411765</v>
      </c>
      <c r="T5" s="254">
        <f t="shared" ref="T5:T9" si="9">IF(S5=0,0,S5*(P5^2.7/(P5^2.7+Q5^2.7))*P5/L5)</f>
        <v>0</v>
      </c>
      <c r="U5" s="256">
        <f t="shared" ref="U5:U9" si="10">IF(S5=0,0,S5*Q5^2.7/(P5^2.7+Q5^2.7)*Q5/L5)</f>
        <v>5.2573529411764706E-2</v>
      </c>
      <c r="V5" s="246">
        <f>$G$17</f>
        <v>0.56999999999999995</v>
      </c>
      <c r="W5" s="244">
        <f>$H$17</f>
        <v>0.56999999999999995</v>
      </c>
      <c r="X5" s="279">
        <f t="shared" ref="X5:Y15" si="11">V5*T5</f>
        <v>0</v>
      </c>
      <c r="Y5" s="280">
        <f t="shared" si="11"/>
        <v>2.9966911764705881E-2</v>
      </c>
      <c r="Z5" s="227"/>
      <c r="AA5" s="272">
        <f t="shared" si="4"/>
        <v>3.2444059469632448E-2</v>
      </c>
      <c r="AB5" s="273">
        <f t="shared" si="5"/>
        <v>0.96755594053036753</v>
      </c>
      <c r="AC5" s="273">
        <f>AA5*PRODUCT(AB3:AB4)*PRODUCT(AB6:AB17)</f>
        <v>1.8847312670836096E-2</v>
      </c>
      <c r="AD5" s="273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1.1411644188745906E-2</v>
      </c>
      <c r="AE5" s="211"/>
      <c r="AF5" s="225"/>
      <c r="AG5" s="274">
        <f t="shared" ref="AG5:AG15" si="12">Y5</f>
        <v>2.9966911764705881E-2</v>
      </c>
      <c r="AH5" s="275">
        <f t="shared" si="6"/>
        <v>0.97003308823529411</v>
      </c>
      <c r="AI5" s="275">
        <f>AG5*PRODUCT(AH3:AH4)*PRODUCT(AH6:AH17)</f>
        <v>1.9610102029112085E-2</v>
      </c>
      <c r="AJ5" s="275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8.8996292971103216E-3</v>
      </c>
      <c r="AK5" s="211"/>
      <c r="AL5" s="228"/>
      <c r="AM5" s="211"/>
      <c r="AN5" s="216"/>
      <c r="AO5" s="230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I5" s="31">
        <v>0</v>
      </c>
      <c r="BJ5" s="31">
        <v>2</v>
      </c>
      <c r="BK5" s="107">
        <f t="shared" si="7"/>
        <v>3.2142101783911442E-2</v>
      </c>
      <c r="BM5" s="31">
        <v>1</v>
      </c>
      <c r="BN5" s="31">
        <v>1</v>
      </c>
      <c r="BO5" s="107">
        <f>$H$26*H40</f>
        <v>7.3978488838382789E-2</v>
      </c>
      <c r="BQ5" s="31">
        <f>BQ4+1</f>
        <v>2</v>
      </c>
      <c r="BR5" s="31">
        <v>0</v>
      </c>
      <c r="BS5" s="107">
        <f>$H$27*H39</f>
        <v>3.6432796259801351E-2</v>
      </c>
    </row>
    <row r="6" spans="1:71" ht="15.75" x14ac:dyDescent="0.25">
      <c r="A6" s="2" t="s">
        <v>35</v>
      </c>
      <c r="B6" s="260">
        <v>4.5</v>
      </c>
      <c r="C6" s="261">
        <v>9.5</v>
      </c>
      <c r="E6" s="239"/>
      <c r="F6" s="270" t="s">
        <v>157</v>
      </c>
      <c r="G6" s="270" t="s">
        <v>1</v>
      </c>
      <c r="H6" s="270" t="s">
        <v>1</v>
      </c>
      <c r="I6" s="239"/>
      <c r="J6" s="236"/>
      <c r="K6" s="237">
        <v>8</v>
      </c>
      <c r="L6" s="237">
        <v>13</v>
      </c>
      <c r="M6" s="250">
        <v>0.45</v>
      </c>
      <c r="N6" s="250">
        <f t="shared" si="8"/>
        <v>0.45</v>
      </c>
      <c r="O6" s="237" t="s">
        <v>37</v>
      </c>
      <c r="P6" s="240">
        <f>COUNTIF(E4:I6,"IMP")</f>
        <v>2</v>
      </c>
      <c r="Q6" s="242">
        <f>COUNTIF(E9:I11,"IMP")</f>
        <v>1</v>
      </c>
      <c r="R6" s="249">
        <f t="shared" si="2"/>
        <v>0.45</v>
      </c>
      <c r="S6" s="249">
        <f t="shared" si="3"/>
        <v>0.54075630252100848</v>
      </c>
      <c r="T6" s="254">
        <f t="shared" si="9"/>
        <v>7.2097909932516552E-2</v>
      </c>
      <c r="U6" s="256">
        <f t="shared" si="10"/>
        <v>5.5476836892039182E-3</v>
      </c>
      <c r="V6" s="246">
        <f>$G$18</f>
        <v>0.45</v>
      </c>
      <c r="W6" s="244">
        <f>$H$18</f>
        <v>0.45</v>
      </c>
      <c r="X6" s="279">
        <f t="shared" si="11"/>
        <v>3.2444059469632448E-2</v>
      </c>
      <c r="Y6" s="280">
        <f t="shared" si="11"/>
        <v>2.4964576601417634E-3</v>
      </c>
      <c r="Z6" s="227"/>
      <c r="AA6" s="272">
        <f t="shared" si="4"/>
        <v>0</v>
      </c>
      <c r="AB6" s="273">
        <f t="shared" si="5"/>
        <v>1</v>
      </c>
      <c r="AC6" s="273">
        <f>AA6*PRODUCT(AB3:AB5)*PRODUCT(AB7:AB17)</f>
        <v>0</v>
      </c>
      <c r="AD6" s="273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11"/>
      <c r="AF6" s="225"/>
      <c r="AG6" s="274">
        <f t="shared" si="12"/>
        <v>2.4964576601417634E-3</v>
      </c>
      <c r="AH6" s="275">
        <f t="shared" si="6"/>
        <v>0.99750354233985827</v>
      </c>
      <c r="AI6" s="275">
        <f>AG6*PRODUCT(AH3:AH5)*PRODUCT(AH7:AH17)</f>
        <v>1.5886717423867268E-3</v>
      </c>
      <c r="AJ6" s="275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7.1700903109794736E-4</v>
      </c>
      <c r="AK6" s="211"/>
      <c r="AL6" s="228"/>
      <c r="AM6" s="211"/>
      <c r="AN6" s="216"/>
      <c r="AO6" s="230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I6" s="31">
        <v>0</v>
      </c>
      <c r="BJ6" s="31">
        <v>3</v>
      </c>
      <c r="BK6" s="107">
        <f t="shared" si="7"/>
        <v>2.0529713394709645E-2</v>
      </c>
      <c r="BM6" s="31">
        <f>BI14+1</f>
        <v>2</v>
      </c>
      <c r="BN6" s="31">
        <v>2</v>
      </c>
      <c r="BO6" s="107">
        <f>$H$27*H41</f>
        <v>8.5456787122650674E-2</v>
      </c>
      <c r="BQ6" s="31">
        <f>BM5+1</f>
        <v>2</v>
      </c>
      <c r="BR6" s="31">
        <v>1</v>
      </c>
      <c r="BS6" s="107">
        <f>$H$27*H40</f>
        <v>8.2041113662749285E-2</v>
      </c>
    </row>
    <row r="7" spans="1:71" ht="15.75" x14ac:dyDescent="0.25">
      <c r="A7" s="5" t="s">
        <v>40</v>
      </c>
      <c r="B7" s="260">
        <v>17.75</v>
      </c>
      <c r="C7" s="261">
        <v>19.25</v>
      </c>
      <c r="E7" s="238"/>
      <c r="F7" s="238"/>
      <c r="G7" s="238"/>
      <c r="H7" s="238"/>
      <c r="I7" s="238"/>
      <c r="J7" s="236"/>
      <c r="K7" s="237">
        <v>9</v>
      </c>
      <c r="L7" s="237">
        <v>8</v>
      </c>
      <c r="M7" s="250">
        <v>0.02</v>
      </c>
      <c r="N7" s="250">
        <f t="shared" si="8"/>
        <v>0.02</v>
      </c>
      <c r="O7" s="237" t="s">
        <v>175</v>
      </c>
      <c r="P7" s="240">
        <f>COUNTIF(E9:I9,"IMP")+COUNTIF(F10:H10,"IMP")</f>
        <v>0</v>
      </c>
      <c r="Q7" s="242">
        <f>COUNTIF(E4:I4,"IMP")+COUNTIF(F5:H5,"IMP")</f>
        <v>2</v>
      </c>
      <c r="R7" s="249">
        <f t="shared" si="2"/>
        <v>0.02</v>
      </c>
      <c r="S7" s="249">
        <f t="shared" si="3"/>
        <v>2.4033613445378153E-2</v>
      </c>
      <c r="T7" s="254">
        <f t="shared" si="9"/>
        <v>0</v>
      </c>
      <c r="U7" s="256">
        <f t="shared" si="10"/>
        <v>6.0084033613445383E-3</v>
      </c>
      <c r="V7" s="246">
        <f>$G$18</f>
        <v>0.45</v>
      </c>
      <c r="W7" s="244">
        <f>$H$18</f>
        <v>0.45</v>
      </c>
      <c r="X7" s="279">
        <f t="shared" si="11"/>
        <v>0</v>
      </c>
      <c r="Y7" s="280">
        <f t="shared" si="11"/>
        <v>2.7037815126050423E-3</v>
      </c>
      <c r="Z7" s="227"/>
      <c r="AA7" s="272">
        <f t="shared" si="4"/>
        <v>0.21130968625214225</v>
      </c>
      <c r="AB7" s="273">
        <f t="shared" si="5"/>
        <v>0.78869031374785781</v>
      </c>
      <c r="AC7" s="273">
        <f>AA7*PRODUCT(AB3:AB6)*PRODUCT(AB8:AB17)</f>
        <v>0.15059246024137526</v>
      </c>
      <c r="AD7" s="273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5.0833056389914102E-2</v>
      </c>
      <c r="AE7" s="211"/>
      <c r="AF7" s="225"/>
      <c r="AG7" s="274">
        <f t="shared" si="12"/>
        <v>2.7037815126050423E-3</v>
      </c>
      <c r="AH7" s="275">
        <f t="shared" si="6"/>
        <v>0.99729621848739491</v>
      </c>
      <c r="AI7" s="275">
        <f>AG7*PRODUCT(AH3:AH6)*PRODUCT(AH8:AH17)</f>
        <v>1.7209641937491523E-3</v>
      </c>
      <c r="AJ7" s="275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7.7205034174038397E-4</v>
      </c>
      <c r="AK7" s="211"/>
      <c r="AL7" s="228"/>
      <c r="AM7" s="211"/>
      <c r="AN7" s="216"/>
      <c r="AO7" s="230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I7" s="31">
        <v>0</v>
      </c>
      <c r="BJ7" s="31">
        <v>4</v>
      </c>
      <c r="BK7" s="107">
        <f t="shared" si="7"/>
        <v>8.9815987231937847E-3</v>
      </c>
      <c r="BM7" s="31">
        <f>BI23+1</f>
        <v>3</v>
      </c>
      <c r="BN7" s="31">
        <v>3</v>
      </c>
      <c r="BO7" s="107">
        <f>$H$28*H42</f>
        <v>3.7192984662239144E-2</v>
      </c>
      <c r="BQ7" s="31">
        <f>BQ5+1</f>
        <v>3</v>
      </c>
      <c r="BR7" s="31">
        <v>0</v>
      </c>
      <c r="BS7" s="107">
        <f>$H$28*H39</f>
        <v>2.4825520390693013E-2</v>
      </c>
    </row>
    <row r="8" spans="1:71" ht="15.75" x14ac:dyDescent="0.25">
      <c r="A8" s="5" t="s">
        <v>44</v>
      </c>
      <c r="B8" s="260">
        <v>16.75</v>
      </c>
      <c r="C8" s="261">
        <v>18.5</v>
      </c>
      <c r="E8" s="241"/>
      <c r="F8" s="242"/>
      <c r="G8" s="271" t="s">
        <v>157</v>
      </c>
      <c r="H8" s="241"/>
      <c r="I8" s="241"/>
      <c r="J8" s="236"/>
      <c r="K8" s="237">
        <v>15</v>
      </c>
      <c r="L8" s="237">
        <v>8</v>
      </c>
      <c r="M8" s="250">
        <v>0.5</v>
      </c>
      <c r="N8" s="250">
        <f t="shared" si="8"/>
        <v>0.5</v>
      </c>
      <c r="O8" s="237" t="s">
        <v>176</v>
      </c>
      <c r="P8" s="240">
        <f>COUNTIF(E5:I6,"RAP")</f>
        <v>5</v>
      </c>
      <c r="Q8" s="242">
        <f>COUNTIF(E10:I11,"RAP")</f>
        <v>1</v>
      </c>
      <c r="R8" s="249">
        <f t="shared" si="2"/>
        <v>0.5</v>
      </c>
      <c r="S8" s="249">
        <f t="shared" si="3"/>
        <v>0.60084033613445376</v>
      </c>
      <c r="T8" s="254">
        <f t="shared" si="9"/>
        <v>0.37071874781077591</v>
      </c>
      <c r="U8" s="256">
        <f t="shared" si="10"/>
        <v>9.612924546515435E-4</v>
      </c>
      <c r="V8" s="246">
        <f>$G$17</f>
        <v>0.56999999999999995</v>
      </c>
      <c r="W8" s="244">
        <f>$H$17</f>
        <v>0.56999999999999995</v>
      </c>
      <c r="X8" s="279">
        <f t="shared" si="11"/>
        <v>0.21130968625214225</v>
      </c>
      <c r="Y8" s="280">
        <f t="shared" si="11"/>
        <v>5.4793669915137976E-4</v>
      </c>
      <c r="Z8" s="227"/>
      <c r="AA8" s="272">
        <f t="shared" si="4"/>
        <v>0.21130968625214225</v>
      </c>
      <c r="AB8" s="273">
        <f t="shared" si="5"/>
        <v>0.78869031374785781</v>
      </c>
      <c r="AC8" s="273">
        <f>AA8*PRODUCT(AB3:AB7)*PRODUCT(AB9:AB17)</f>
        <v>0.15059246024137526</v>
      </c>
      <c r="AD8" s="273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1.0485603186987467E-2</v>
      </c>
      <c r="AE8" s="211"/>
      <c r="AF8" s="225"/>
      <c r="AG8" s="274">
        <f t="shared" si="12"/>
        <v>5.4793669915137976E-4</v>
      </c>
      <c r="AH8" s="275">
        <f t="shared" si="6"/>
        <v>0.99945206330084857</v>
      </c>
      <c r="AI8" s="275">
        <f>AG8*PRODUCT(AH3:AH7)*PRODUCT(AH9:AH17)</f>
        <v>3.4801088898603859E-4</v>
      </c>
      <c r="AJ8" s="275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1.5593211045254111E-4</v>
      </c>
      <c r="AK8" s="211"/>
      <c r="AL8" s="228"/>
      <c r="AM8" s="211"/>
      <c r="AN8" s="216"/>
      <c r="AO8" s="230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I8" s="31">
        <v>0</v>
      </c>
      <c r="BJ8" s="31">
        <v>5</v>
      </c>
      <c r="BK8" s="107">
        <f t="shared" si="7"/>
        <v>2.8455445859186905E-3</v>
      </c>
      <c r="BM8" s="31">
        <f>BI31+1</f>
        <v>4</v>
      </c>
      <c r="BN8" s="31">
        <v>4</v>
      </c>
      <c r="BO8" s="107">
        <f>$H$29*H43</f>
        <v>7.6309672166755211E-3</v>
      </c>
      <c r="BQ8" s="31">
        <f>BQ6+1</f>
        <v>3</v>
      </c>
      <c r="BR8" s="31">
        <v>1</v>
      </c>
      <c r="BS8" s="107">
        <f>$H$28*H40</f>
        <v>5.5903294536768296E-2</v>
      </c>
    </row>
    <row r="9" spans="1:71" ht="15.75" x14ac:dyDescent="0.25">
      <c r="A9" s="5" t="s">
        <v>47</v>
      </c>
      <c r="B9" s="260">
        <v>17.5</v>
      </c>
      <c r="C9" s="261">
        <v>19</v>
      </c>
      <c r="E9" s="271" t="s">
        <v>2</v>
      </c>
      <c r="F9" s="271" t="s">
        <v>144</v>
      </c>
      <c r="G9" s="271" t="s">
        <v>6</v>
      </c>
      <c r="H9" s="271" t="s">
        <v>157</v>
      </c>
      <c r="I9" s="271" t="s">
        <v>144</v>
      </c>
      <c r="J9" s="236"/>
      <c r="K9" s="237">
        <v>16</v>
      </c>
      <c r="L9" s="237">
        <v>8</v>
      </c>
      <c r="M9" s="250">
        <v>0.5</v>
      </c>
      <c r="N9" s="250">
        <f t="shared" si="8"/>
        <v>0.5</v>
      </c>
      <c r="O9" s="237" t="s">
        <v>177</v>
      </c>
      <c r="P9" s="240">
        <f>COUNTIF(E5:I6,"RAP")</f>
        <v>5</v>
      </c>
      <c r="Q9" s="242">
        <f>COUNTIF(E10:I11,"RAP")</f>
        <v>1</v>
      </c>
      <c r="R9" s="249">
        <f t="shared" si="2"/>
        <v>0.5</v>
      </c>
      <c r="S9" s="249">
        <f t="shared" si="3"/>
        <v>0.60084033613445376</v>
      </c>
      <c r="T9" s="254">
        <f t="shared" si="9"/>
        <v>0.37071874781077591</v>
      </c>
      <c r="U9" s="256">
        <f t="shared" si="10"/>
        <v>9.612924546515435E-4</v>
      </c>
      <c r="V9" s="246">
        <f>$G$17</f>
        <v>0.56999999999999995</v>
      </c>
      <c r="W9" s="244">
        <f>$H$17</f>
        <v>0.56999999999999995</v>
      </c>
      <c r="X9" s="279">
        <f t="shared" si="11"/>
        <v>0.21130968625214225</v>
      </c>
      <c r="Y9" s="280">
        <f t="shared" si="11"/>
        <v>5.4793669915137976E-4</v>
      </c>
      <c r="Z9" s="227"/>
      <c r="AA9" s="272">
        <f t="shared" si="4"/>
        <v>2.6072178871548623E-2</v>
      </c>
      <c r="AB9" s="273">
        <f t="shared" si="5"/>
        <v>0.97392782112845133</v>
      </c>
      <c r="AC9" s="273">
        <f>AA9*PRODUCT(AB3:AB8)*PRODUCT(AB10:AB17)</f>
        <v>1.5046686945667324E-2</v>
      </c>
      <c r="AD9" s="273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6.4488400759692556E-4</v>
      </c>
      <c r="AE9" s="211"/>
      <c r="AF9" s="225"/>
      <c r="AG9" s="274">
        <f t="shared" si="12"/>
        <v>5.4793669915137976E-4</v>
      </c>
      <c r="AH9" s="275">
        <f t="shared" si="6"/>
        <v>0.99945206330084857</v>
      </c>
      <c r="AI9" s="275">
        <f>AG9*PRODUCT(AH3:AH8)*PRODUCT(AH10:AH17)</f>
        <v>3.4801088898603853E-4</v>
      </c>
      <c r="AJ9" s="275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1.5574131797255967E-4</v>
      </c>
      <c r="AK9" s="211"/>
      <c r="AL9" s="228"/>
      <c r="AM9" s="211"/>
      <c r="AN9" s="216"/>
      <c r="AO9" s="230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I9" s="31">
        <v>0</v>
      </c>
      <c r="BJ9" s="31">
        <v>6</v>
      </c>
      <c r="BK9" s="107">
        <f t="shared" si="7"/>
        <v>6.7241158657864648E-4</v>
      </c>
      <c r="BM9" s="31">
        <f>BI38+1</f>
        <v>5</v>
      </c>
      <c r="BN9" s="31">
        <v>5</v>
      </c>
      <c r="BO9" s="107">
        <f>$H$30*H44</f>
        <v>8.2819097113674765E-4</v>
      </c>
      <c r="BQ9" s="31">
        <f>BM6+1</f>
        <v>3</v>
      </c>
      <c r="BR9" s="31">
        <v>2</v>
      </c>
      <c r="BS9" s="107">
        <f>$H$28*H41</f>
        <v>5.8230754403478878E-2</v>
      </c>
    </row>
    <row r="10" spans="1:71" ht="15.75" x14ac:dyDescent="0.25">
      <c r="A10" s="6" t="s">
        <v>50</v>
      </c>
      <c r="B10" s="260">
        <v>19.75</v>
      </c>
      <c r="C10" s="261">
        <v>3.5</v>
      </c>
      <c r="E10" s="271" t="s">
        <v>37</v>
      </c>
      <c r="F10" s="271" t="s">
        <v>157</v>
      </c>
      <c r="G10" s="271" t="s">
        <v>144</v>
      </c>
      <c r="H10" s="271" t="s">
        <v>144</v>
      </c>
      <c r="I10" s="271" t="s">
        <v>1</v>
      </c>
      <c r="J10" s="236"/>
      <c r="K10" s="237">
        <v>18</v>
      </c>
      <c r="L10" s="237" t="s">
        <v>178</v>
      </c>
      <c r="M10" s="250">
        <v>0.15</v>
      </c>
      <c r="N10" s="250">
        <f t="shared" si="8"/>
        <v>0.15</v>
      </c>
      <c r="O10" s="237" t="s">
        <v>179</v>
      </c>
      <c r="P10" s="240">
        <v>1</v>
      </c>
      <c r="Q10" s="242">
        <v>1</v>
      </c>
      <c r="R10" s="249">
        <f t="shared" si="2"/>
        <v>0.15</v>
      </c>
      <c r="S10" s="249">
        <f t="shared" si="3"/>
        <v>0.18025210084033613</v>
      </c>
      <c r="T10" s="254">
        <f>S10*G13</f>
        <v>5.7938175270108049E-2</v>
      </c>
      <c r="U10" s="256">
        <f>S10*G14</f>
        <v>0.12231392557022809</v>
      </c>
      <c r="V10" s="246">
        <f>$G$18</f>
        <v>0.45</v>
      </c>
      <c r="W10" s="244">
        <f>$H$18</f>
        <v>0.45</v>
      </c>
      <c r="X10" s="279">
        <f t="shared" si="11"/>
        <v>2.6072178871548623E-2</v>
      </c>
      <c r="Y10" s="280">
        <f t="shared" si="11"/>
        <v>5.504126650660264E-2</v>
      </c>
      <c r="Z10" s="227"/>
      <c r="AA10" s="272">
        <f t="shared" si="4"/>
        <v>0</v>
      </c>
      <c r="AB10" s="273">
        <f t="shared" si="5"/>
        <v>1</v>
      </c>
      <c r="AC10" s="273">
        <f>AA10*PRODUCT(AB3:AB9)*PRODUCT(AB11:AB17)</f>
        <v>0</v>
      </c>
      <c r="AD10" s="273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11"/>
      <c r="AF10" s="225"/>
      <c r="AG10" s="274">
        <f t="shared" si="12"/>
        <v>5.504126650660264E-2</v>
      </c>
      <c r="AH10" s="275">
        <f t="shared" si="6"/>
        <v>0.94495873349339732</v>
      </c>
      <c r="AI10" s="275">
        <f>AG10*PRODUCT(AH3:AH9)*PRODUCT(AH11:AH17)</f>
        <v>3.6974302323421866E-2</v>
      </c>
      <c r="AJ10" s="275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1.4393032881513466E-2</v>
      </c>
      <c r="AK10" s="211"/>
      <c r="AL10" s="228"/>
      <c r="AM10" s="211"/>
      <c r="AN10" s="216"/>
      <c r="AO10" s="230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I10" s="31">
        <v>0</v>
      </c>
      <c r="BJ10" s="31">
        <v>7</v>
      </c>
      <c r="BK10" s="107">
        <f t="shared" si="7"/>
        <v>1.2011002457960934E-4</v>
      </c>
      <c r="BM10" s="31">
        <f>BI44+1</f>
        <v>6</v>
      </c>
      <c r="BN10" s="31">
        <v>6</v>
      </c>
      <c r="BO10" s="107">
        <f>$H$31*H45</f>
        <v>5.0709925899457004E-5</v>
      </c>
      <c r="BQ10" s="31">
        <f>BQ7+1</f>
        <v>4</v>
      </c>
      <c r="BR10" s="31">
        <v>0</v>
      </c>
      <c r="BS10" s="107">
        <f>$H$29*H39</f>
        <v>1.164249757712842E-2</v>
      </c>
    </row>
    <row r="11" spans="1:71" ht="15.75" x14ac:dyDescent="0.25">
      <c r="A11" s="6" t="s">
        <v>53</v>
      </c>
      <c r="B11" s="260">
        <v>7.5</v>
      </c>
      <c r="C11" s="261">
        <v>2.5</v>
      </c>
      <c r="E11" s="241"/>
      <c r="F11" s="271" t="s">
        <v>157</v>
      </c>
      <c r="G11" s="271" t="s">
        <v>157</v>
      </c>
      <c r="H11" s="271" t="s">
        <v>191</v>
      </c>
      <c r="I11" s="241"/>
      <c r="J11" s="236"/>
      <c r="K11" s="237">
        <v>19</v>
      </c>
      <c r="L11" s="237" t="s">
        <v>178</v>
      </c>
      <c r="M11" s="250">
        <v>0.23</v>
      </c>
      <c r="N11" s="250">
        <f t="shared" si="8"/>
        <v>0.23</v>
      </c>
      <c r="O11" s="237" t="s">
        <v>180</v>
      </c>
      <c r="P11" s="240">
        <f>COUNTIF(E4:I6,"CAB")</f>
        <v>0</v>
      </c>
      <c r="Q11" s="242">
        <f>COUNTIF(E9:I11,"CAB")</f>
        <v>4</v>
      </c>
      <c r="R11" s="249">
        <f t="shared" si="2"/>
        <v>0.23</v>
      </c>
      <c r="S11" s="249">
        <f t="shared" si="3"/>
        <v>0.27638655462184875</v>
      </c>
      <c r="T11" s="254">
        <f>IF(P11&gt;0,S11*G13,0)</f>
        <v>0</v>
      </c>
      <c r="U11" s="256">
        <f>IF(Q11&gt;0,S11*G14,0)</f>
        <v>0.18754801920768308</v>
      </c>
      <c r="V11" s="246">
        <f>IF(P11-Q11&gt;2,0.9,IF(P11-Q11&gt;1,0.75,IF(P11-Q11=0,0.5,0.15)))</f>
        <v>0.15</v>
      </c>
      <c r="W11" s="244">
        <f>IF(Q11-P11&gt;2,0.9,IF(Q11-P11&gt;1,0.75,IF(Q11-P11=0,0.5,0.15)))</f>
        <v>0.9</v>
      </c>
      <c r="X11" s="279">
        <f t="shared" si="11"/>
        <v>0</v>
      </c>
      <c r="Y11" s="280">
        <f t="shared" si="11"/>
        <v>0.16879321728691477</v>
      </c>
      <c r="Z11" s="227"/>
      <c r="AA11" s="272">
        <f t="shared" si="4"/>
        <v>0</v>
      </c>
      <c r="AB11" s="273">
        <f t="shared" si="5"/>
        <v>1</v>
      </c>
      <c r="AC11" s="273">
        <f>AA11*PRODUCT(AB3:AB10)*PRODUCT(AB12:AB17)</f>
        <v>0</v>
      </c>
      <c r="AD11" s="273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11"/>
      <c r="AF11" s="225"/>
      <c r="AG11" s="274">
        <f t="shared" si="12"/>
        <v>0.16879321728691477</v>
      </c>
      <c r="AH11" s="275">
        <f t="shared" si="6"/>
        <v>0.83120678271308523</v>
      </c>
      <c r="AI11" s="275">
        <f>AG11*PRODUCT(AH3:AH10)*PRODUCT(AH12:AH17)</f>
        <v>0.12890516684988249</v>
      </c>
      <c r="AJ11" s="275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2.4002294520226522E-2</v>
      </c>
      <c r="AK11" s="211"/>
      <c r="AL11" s="228"/>
      <c r="AM11" s="211"/>
      <c r="AN11" s="216"/>
      <c r="AO11" s="230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I11" s="31">
        <v>0</v>
      </c>
      <c r="BJ11" s="31">
        <v>8</v>
      </c>
      <c r="BK11" s="107">
        <f t="shared" si="7"/>
        <v>1.623026870561241E-5</v>
      </c>
      <c r="BM11" s="31">
        <f>BI50+1</f>
        <v>7</v>
      </c>
      <c r="BN11" s="31">
        <v>7</v>
      </c>
      <c r="BO11" s="107">
        <f>$H$32*H46</f>
        <v>1.812618314457532E-6</v>
      </c>
      <c r="BQ11" s="31">
        <f>BQ8+1</f>
        <v>4</v>
      </c>
      <c r="BR11" s="31">
        <v>1</v>
      </c>
      <c r="BS11" s="107">
        <f>$H$29*H40</f>
        <v>2.6217133053203747E-2</v>
      </c>
    </row>
    <row r="12" spans="1:71" ht="15.75" x14ac:dyDescent="0.25">
      <c r="A12" s="6" t="s">
        <v>57</v>
      </c>
      <c r="B12" s="260">
        <v>19.5</v>
      </c>
      <c r="C12" s="261">
        <v>3</v>
      </c>
      <c r="E12" s="238"/>
      <c r="F12" s="238"/>
      <c r="G12" s="238"/>
      <c r="H12" s="238" t="s">
        <v>197</v>
      </c>
      <c r="I12" s="238"/>
      <c r="J12" s="236"/>
      <c r="K12" s="237">
        <v>25</v>
      </c>
      <c r="L12" s="237">
        <v>5</v>
      </c>
      <c r="M12" s="250">
        <v>2.5000000000000001E-2</v>
      </c>
      <c r="N12" s="250">
        <f t="shared" si="8"/>
        <v>2.5000000000000001E-2</v>
      </c>
      <c r="O12" s="237" t="s">
        <v>42</v>
      </c>
      <c r="P12" s="240">
        <f>COUNTIF(F6:H6,"IMP")+COUNTIF(E5,"IMP")+COUNTIF(I5,"IMP")</f>
        <v>0</v>
      </c>
      <c r="Q12" s="242">
        <f>COUNTIF(F11:H11,"IMP")+COUNTIF(E10,"IMP")+COUNTIF(I10,"IMP")</f>
        <v>1</v>
      </c>
      <c r="R12" s="249">
        <f t="shared" si="2"/>
        <v>2.5000000000000001E-2</v>
      </c>
      <c r="S12" s="249">
        <f t="shared" si="3"/>
        <v>3.004201680672269E-2</v>
      </c>
      <c r="T12" s="254">
        <f t="shared" ref="T12" si="13">IF(S12=0,0,S12*(P12^2.7/(P12^2.7+Q12^2.7))*P12/L12)</f>
        <v>0</v>
      </c>
      <c r="U12" s="256">
        <f>IF(S12=0,0,S12*Q12^2.7/(P12^2.7+Q12^2.7)*Q12/L12)</f>
        <v>6.0084033613445383E-3</v>
      </c>
      <c r="V12" s="246">
        <f>$G$18</f>
        <v>0.45</v>
      </c>
      <c r="W12" s="244">
        <f>$H$18</f>
        <v>0.45</v>
      </c>
      <c r="X12" s="279">
        <f t="shared" si="11"/>
        <v>0</v>
      </c>
      <c r="Y12" s="280">
        <f t="shared" si="11"/>
        <v>2.7037815126050423E-3</v>
      </c>
      <c r="Z12" s="227"/>
      <c r="AA12" s="272">
        <f t="shared" si="4"/>
        <v>0</v>
      </c>
      <c r="AB12" s="273">
        <f t="shared" si="5"/>
        <v>1</v>
      </c>
      <c r="AC12" s="273">
        <f>AA12*PRODUCT(AB3:AB11)*PRODUCT(AB13:AB17)</f>
        <v>0</v>
      </c>
      <c r="AD12" s="273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11"/>
      <c r="AF12" s="225"/>
      <c r="AG12" s="274">
        <f t="shared" si="12"/>
        <v>2.7037815126050423E-3</v>
      </c>
      <c r="AH12" s="275">
        <f t="shared" si="6"/>
        <v>0.99729621848739491</v>
      </c>
      <c r="AI12" s="275">
        <f>AG12*PRODUCT(AH3:AH11)*PRODUCT(AH13:AH17)</f>
        <v>1.7209641937491521E-3</v>
      </c>
      <c r="AJ12" s="275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3.1577984194019321E-4</v>
      </c>
      <c r="AK12" s="211"/>
      <c r="AL12" s="228"/>
      <c r="AM12" s="211"/>
      <c r="AN12" s="216"/>
      <c r="AO12" s="230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I12" s="31">
        <v>0</v>
      </c>
      <c r="BJ12" s="31">
        <v>9</v>
      </c>
      <c r="BK12" s="107">
        <f t="shared" si="7"/>
        <v>1.639411660660949E-6</v>
      </c>
      <c r="BM12" s="31">
        <f>BI54+1</f>
        <v>8</v>
      </c>
      <c r="BN12" s="31">
        <v>8</v>
      </c>
      <c r="BO12" s="107">
        <f>$H$33*H47</f>
        <v>3.8243598270398823E-8</v>
      </c>
      <c r="BQ12" s="31">
        <f>BQ9+1</f>
        <v>4</v>
      </c>
      <c r="BR12" s="31">
        <v>2</v>
      </c>
      <c r="BS12" s="107">
        <f>$H$29*H41</f>
        <v>2.7308648777047355E-2</v>
      </c>
    </row>
    <row r="13" spans="1:71" ht="15.75" x14ac:dyDescent="0.25">
      <c r="A13" s="7" t="s">
        <v>60</v>
      </c>
      <c r="B13" s="260">
        <v>14</v>
      </c>
      <c r="C13" s="261">
        <v>12</v>
      </c>
      <c r="E13" s="238"/>
      <c r="F13" s="238" t="s">
        <v>158</v>
      </c>
      <c r="G13" s="245">
        <f>B22</f>
        <v>0.32142857142857145</v>
      </c>
      <c r="H13" s="238"/>
      <c r="I13" s="238"/>
      <c r="J13" s="236"/>
      <c r="K13" s="237">
        <v>37</v>
      </c>
      <c r="L13" s="237">
        <v>2</v>
      </c>
      <c r="M13" s="250">
        <v>0.18</v>
      </c>
      <c r="N13" s="250">
        <f t="shared" si="8"/>
        <v>0.18</v>
      </c>
      <c r="O13" s="237" t="s">
        <v>181</v>
      </c>
      <c r="P13" s="240">
        <f>COUNTIF(E5:I6,"CAB")</f>
        <v>0</v>
      </c>
      <c r="Q13" s="242">
        <f>COUNTIF(E10:I11,"CAB")</f>
        <v>2</v>
      </c>
      <c r="R13" s="249">
        <f t="shared" si="2"/>
        <v>0.18</v>
      </c>
      <c r="S13" s="249">
        <f t="shared" si="3"/>
        <v>0.21630252100840333</v>
      </c>
      <c r="T13" s="254">
        <f>IF((Q13+P13)=0,0,S13*P13^2.7/(Q13^2.7+P13^2.7))</f>
        <v>0</v>
      </c>
      <c r="U13" s="256">
        <f>IF(P13+Q13=0,0,S13*Q13^2.7/(Q13^2.7+P13^2.7))</f>
        <v>0.21630252100840333</v>
      </c>
      <c r="V13" s="246">
        <f>$G$17</f>
        <v>0.56999999999999995</v>
      </c>
      <c r="W13" s="244">
        <f>$H$17</f>
        <v>0.56999999999999995</v>
      </c>
      <c r="X13" s="279">
        <f t="shared" si="11"/>
        <v>0</v>
      </c>
      <c r="Y13" s="280">
        <f t="shared" si="11"/>
        <v>0.12329243697478989</v>
      </c>
      <c r="Z13" s="227"/>
      <c r="AA13" s="272">
        <f t="shared" si="4"/>
        <v>4.1097478991596638E-2</v>
      </c>
      <c r="AB13" s="273">
        <f t="shared" si="5"/>
        <v>0.95890252100840334</v>
      </c>
      <c r="AC13" s="273">
        <f>AA13*PRODUCT(AB3:AB12)*PRODUCT(AB14:AB17)</f>
        <v>2.4089681169104052E-2</v>
      </c>
      <c r="AD13" s="273">
        <f>AA13*AA14*PRODUCT(AB3:AB12)*PRODUCT(AB15:AB17)+AA13*AA15*PRODUCT(AB3:AB12)*AB14*PRODUCT(AB16:AB17)+AA13*AA16*PRODUCT(AB3:AB12)*AB14*AB15*AB17+AA13*AA17*PRODUCT(AB3:AB12)*AB14*AB15*AB16</f>
        <v>0</v>
      </c>
      <c r="AE13" s="211"/>
      <c r="AF13" s="225"/>
      <c r="AG13" s="274">
        <f t="shared" si="12"/>
        <v>0.12329243697478989</v>
      </c>
      <c r="AH13" s="275">
        <f t="shared" si="6"/>
        <v>0.87670756302521013</v>
      </c>
      <c r="AI13" s="275">
        <f>AG13*PRODUCT(AH3:AH12)*PRODUCT(AH14:AH17)</f>
        <v>8.927011544819663E-2</v>
      </c>
      <c r="AJ13" s="275">
        <f>AG13*AG14*PRODUCT(AH3:AH12)*PRODUCT(AH15:AH17)+AG13*AG15*PRODUCT(AH3:AH12)*AH14*PRODUCT(AH16:AH17)+AG13*AG16*PRODUCT(AH3:AH12)*AH14*AH15*AH17+AG13*AG17*PRODUCT(AH3:AH12)*AH14*AH15*AH16</f>
        <v>3.82601631952276E-3</v>
      </c>
      <c r="AK13" s="211"/>
      <c r="AL13" s="228"/>
      <c r="AM13" s="211"/>
      <c r="AN13" s="216"/>
      <c r="AO13" s="230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I13" s="31">
        <v>0</v>
      </c>
      <c r="BJ13" s="31">
        <v>10</v>
      </c>
      <c r="BK13" s="107">
        <f t="shared" si="7"/>
        <v>1.2033835559776258E-7</v>
      </c>
      <c r="BM13" s="31">
        <f>BI57+1</f>
        <v>9</v>
      </c>
      <c r="BN13" s="31">
        <v>9</v>
      </c>
      <c r="BO13" s="107">
        <f>$H$34*H48</f>
        <v>4.701894784946941E-10</v>
      </c>
      <c r="BQ13" s="31">
        <f>BM7+1</f>
        <v>4</v>
      </c>
      <c r="BR13" s="31">
        <v>3</v>
      </c>
      <c r="BS13" s="107">
        <f>$H$29*H42</f>
        <v>1.7442503802604311E-2</v>
      </c>
    </row>
    <row r="14" spans="1:71" ht="15.75" x14ac:dyDescent="0.25">
      <c r="A14" s="7" t="s">
        <v>63</v>
      </c>
      <c r="B14" s="260">
        <v>12</v>
      </c>
      <c r="C14" s="261">
        <v>11.75</v>
      </c>
      <c r="E14" s="238"/>
      <c r="F14" s="238" t="s">
        <v>159</v>
      </c>
      <c r="G14" s="243">
        <f>C22</f>
        <v>0.6785714285714286</v>
      </c>
      <c r="H14" s="238"/>
      <c r="I14" s="238"/>
      <c r="J14" s="236"/>
      <c r="K14" s="237">
        <v>38</v>
      </c>
      <c r="L14" s="237">
        <v>2</v>
      </c>
      <c r="M14" s="250">
        <v>0.12</v>
      </c>
      <c r="N14" s="250">
        <f t="shared" si="8"/>
        <v>0.12</v>
      </c>
      <c r="O14" s="237" t="s">
        <v>182</v>
      </c>
      <c r="P14" s="240">
        <f>COUNTA(E5,I5)</f>
        <v>2</v>
      </c>
      <c r="Q14" s="242">
        <f>COUNTA(E10,I10)</f>
        <v>2</v>
      </c>
      <c r="R14" s="249">
        <f t="shared" si="2"/>
        <v>0.12</v>
      </c>
      <c r="S14" s="249">
        <f t="shared" si="3"/>
        <v>0.14420168067226891</v>
      </c>
      <c r="T14" s="254">
        <f>S14*P14^2.7/(Q14^2.7+P14^2.7)</f>
        <v>7.2100840336134453E-2</v>
      </c>
      <c r="U14" s="256">
        <f>S14*Q14^2.7/(Q14^2.7+P14^2.7)</f>
        <v>7.2100840336134453E-2</v>
      </c>
      <c r="V14" s="246">
        <f>$G$17</f>
        <v>0.56999999999999995</v>
      </c>
      <c r="W14" s="244">
        <f>$H$17</f>
        <v>0.56999999999999995</v>
      </c>
      <c r="X14" s="279">
        <f t="shared" si="11"/>
        <v>4.1097478991596638E-2</v>
      </c>
      <c r="Y14" s="280">
        <f t="shared" si="11"/>
        <v>4.1097478991596638E-2</v>
      </c>
      <c r="Z14" s="227"/>
      <c r="AA14" s="272">
        <f t="shared" si="4"/>
        <v>0</v>
      </c>
      <c r="AB14" s="273">
        <f t="shared" si="5"/>
        <v>1</v>
      </c>
      <c r="AC14" s="273">
        <f>AA14*PRODUCT(AB3:AB13)*PRODUCT(AB15:AB17)</f>
        <v>0</v>
      </c>
      <c r="AD14" s="273">
        <f>AA14*AA15*PRODUCT(AB3:AB13)*PRODUCT(AB16:AB17)+AA14*AA16*PRODUCT(AB3:AB13)*AB15*AB17+AA14*AA17*PRODUCT(AB3:AB13)*AB15*AB16</f>
        <v>0</v>
      </c>
      <c r="AE14" s="211"/>
      <c r="AF14" s="225"/>
      <c r="AG14" s="274">
        <f t="shared" si="12"/>
        <v>4.1097478991596638E-2</v>
      </c>
      <c r="AH14" s="275">
        <f t="shared" si="6"/>
        <v>0.95890252100840334</v>
      </c>
      <c r="AI14" s="275">
        <f>AG14*PRODUCT(AH3:AH13)*PRODUCT(AH15:AH17)</f>
        <v>2.7206027603050374E-2</v>
      </c>
      <c r="AJ14" s="275">
        <f>AG14*AG15*PRODUCT(AH3:AH13)*PRODUCT(AH16:AH17)+AG14*AG16*PRODUCT(AH3:AH13)*AH15*AH17+AG14*AG17*PRODUCT(AH3:AH13)*AH15*AH16</f>
        <v>0</v>
      </c>
      <c r="AK14" s="211"/>
      <c r="AL14" s="228"/>
      <c r="AM14" s="211"/>
      <c r="AN14" s="216"/>
      <c r="AO14" s="230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I14" s="31">
        <v>1</v>
      </c>
      <c r="BJ14" s="31">
        <v>2</v>
      </c>
      <c r="BK14" s="107">
        <f t="shared" ref="BK14:BK22" si="14">$H$26*H41</f>
        <v>7.7058485557681439E-2</v>
      </c>
      <c r="BM14" s="31">
        <f>BQ39+1</f>
        <v>10</v>
      </c>
      <c r="BN14" s="31">
        <v>10</v>
      </c>
      <c r="BO14" s="107">
        <f>$H$35*H49</f>
        <v>3.2181621766658837E-12</v>
      </c>
      <c r="BQ14" s="31">
        <f>BQ10+1</f>
        <v>5</v>
      </c>
      <c r="BR14" s="31">
        <v>0</v>
      </c>
      <c r="BS14" s="107">
        <f>$H$30*H39</f>
        <v>3.988276991633859E-3</v>
      </c>
    </row>
    <row r="15" spans="1:71" ht="15.75" x14ac:dyDescent="0.25">
      <c r="A15" s="179" t="s">
        <v>67</v>
      </c>
      <c r="B15" s="262">
        <v>7</v>
      </c>
      <c r="C15" s="263">
        <v>10</v>
      </c>
      <c r="E15" s="238"/>
      <c r="F15" s="238"/>
      <c r="G15" s="238"/>
      <c r="H15" s="238"/>
      <c r="I15" s="238"/>
      <c r="J15" s="236"/>
      <c r="K15" s="237">
        <v>39</v>
      </c>
      <c r="L15" s="237">
        <v>8</v>
      </c>
      <c r="M15" s="250">
        <v>0.6</v>
      </c>
      <c r="N15" s="250">
        <f t="shared" si="8"/>
        <v>0.6</v>
      </c>
      <c r="O15" s="237" t="s">
        <v>183</v>
      </c>
      <c r="P15" s="240">
        <f>COUNTIF(E5:I6,"TEC")</f>
        <v>0</v>
      </c>
      <c r="Q15" s="242">
        <f>COUNTIF(E10:I11,"TEC")</f>
        <v>0</v>
      </c>
      <c r="R15" s="249">
        <f>IF(P15&lt;&gt;0,IF(Q1&lt;&gt;0,M15,IF(Q15&lt;&gt;0,IF(P1&lt;&gt;0,M15,0),0)),IF(Q15&lt;&gt;0,IF(P1&lt;&gt;0,M15,0),0))</f>
        <v>0</v>
      </c>
      <c r="S15" s="249">
        <f t="shared" si="3"/>
        <v>0</v>
      </c>
      <c r="T15" s="254">
        <f>IF(P15&lt;&gt;0,IF(Q1&lt;&gt;0,IF(Q15&lt;&gt;0,IF(P1&lt;&gt;0,S15*P15^2.7/(P15^2.7+Q15^2.7)*P15/L15,S15*P15/L15),S15*P15/L15),0),0)</f>
        <v>0</v>
      </c>
      <c r="U15" s="256">
        <f>IF(Q15&lt;&gt;0,IF(P1&lt;&gt;0,IF(P15&lt;&gt;0,IF(Q1&lt;&gt;0,S15*Q15^2.7/(P15^2.7+Q15^2.7)*Q15/L15,S15*Q15/L15),S15*Q15/L15),0),0)</f>
        <v>0</v>
      </c>
      <c r="V15" s="246">
        <f>$G$17</f>
        <v>0.56999999999999995</v>
      </c>
      <c r="W15" s="244">
        <f>$H$17</f>
        <v>0.56999999999999995</v>
      </c>
      <c r="X15" s="279">
        <f t="shared" si="11"/>
        <v>0</v>
      </c>
      <c r="Y15" s="280">
        <f t="shared" si="11"/>
        <v>0</v>
      </c>
      <c r="Z15" s="227"/>
      <c r="AA15" s="272">
        <f>X16</f>
        <v>0</v>
      </c>
      <c r="AB15" s="273">
        <f t="shared" si="5"/>
        <v>1</v>
      </c>
      <c r="AC15" s="273">
        <f>AA15*PRODUCT(AB3:AB14)*PRODUCT(AB16:AB17)</f>
        <v>0</v>
      </c>
      <c r="AD15" s="273">
        <f>AA15*AA16*PRODUCT(AB3:AB14)*AB17+AA15*AA17*PRODUCT(AB3:AB14)*AB16</f>
        <v>0</v>
      </c>
      <c r="AE15" s="211"/>
      <c r="AF15" s="225"/>
      <c r="AG15" s="274">
        <f t="shared" si="12"/>
        <v>0</v>
      </c>
      <c r="AH15" s="275">
        <f t="shared" si="6"/>
        <v>1</v>
      </c>
      <c r="AI15" s="275">
        <f>AG15*PRODUCT(AH3:AH14)*PRODUCT(AH16:AH17)</f>
        <v>0</v>
      </c>
      <c r="AJ15" s="275">
        <f>AG15*AG16*PRODUCT(AH3:AH14)*AH17+AG15*AG17*PRODUCT(AH3:AH14)*AH16</f>
        <v>0</v>
      </c>
      <c r="AK15" s="211"/>
      <c r="AL15" s="228"/>
      <c r="AM15" s="211"/>
      <c r="AN15" s="216"/>
      <c r="AO15" s="230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I15" s="31">
        <v>1</v>
      </c>
      <c r="BJ15" s="31">
        <v>3</v>
      </c>
      <c r="BK15" s="107">
        <f t="shared" si="14"/>
        <v>4.9218580470099443E-2</v>
      </c>
      <c r="BQ15" s="31">
        <f>BQ11+1</f>
        <v>5</v>
      </c>
      <c r="BR15" s="31">
        <v>1</v>
      </c>
      <c r="BS15" s="107">
        <f>$H$30*H40</f>
        <v>8.980992939874477E-3</v>
      </c>
    </row>
    <row r="16" spans="1:71" x14ac:dyDescent="0.25">
      <c r="A16" s="179" t="s">
        <v>70</v>
      </c>
      <c r="B16" s="52">
        <v>12</v>
      </c>
      <c r="C16" s="54">
        <v>12</v>
      </c>
      <c r="E16" s="238"/>
      <c r="F16" s="238" t="s">
        <v>8</v>
      </c>
      <c r="G16" s="268">
        <v>0.7</v>
      </c>
      <c r="H16" s="269">
        <v>0.7</v>
      </c>
      <c r="I16" s="238"/>
      <c r="J16" s="236"/>
      <c r="K16" s="236"/>
      <c r="L16" s="236"/>
      <c r="M16" s="236"/>
      <c r="N16" s="236"/>
      <c r="O16" s="236"/>
      <c r="P16" s="238"/>
      <c r="Q16" s="238"/>
      <c r="V16" s="158"/>
      <c r="W16" s="158"/>
      <c r="X16" s="158"/>
      <c r="Y16" s="158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11"/>
      <c r="AN16" s="216"/>
      <c r="AO16" s="230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I16" s="31">
        <v>1</v>
      </c>
      <c r="BJ16" s="31">
        <v>4</v>
      </c>
      <c r="BK16" s="107">
        <f t="shared" si="14"/>
        <v>2.1532767214449845E-2</v>
      </c>
      <c r="BQ16" s="31">
        <f>BQ12+1</f>
        <v>5</v>
      </c>
      <c r="BR16" s="31">
        <v>2</v>
      </c>
      <c r="BS16" s="107">
        <f>$H$30*H41</f>
        <v>9.3549047245729752E-3</v>
      </c>
    </row>
    <row r="17" spans="1:71" x14ac:dyDescent="0.25">
      <c r="A17" s="178" t="s">
        <v>74</v>
      </c>
      <c r="B17" s="264" t="s">
        <v>193</v>
      </c>
      <c r="C17" s="265" t="s">
        <v>195</v>
      </c>
      <c r="E17" s="238"/>
      <c r="F17" s="238" t="s">
        <v>160</v>
      </c>
      <c r="G17" s="268">
        <v>0.56999999999999995</v>
      </c>
      <c r="H17" s="269">
        <v>0.56999999999999995</v>
      </c>
      <c r="I17" s="238"/>
      <c r="J17" s="236"/>
      <c r="K17" s="237"/>
      <c r="L17" s="237"/>
      <c r="M17" s="237"/>
      <c r="N17" s="237"/>
      <c r="O17" s="237"/>
      <c r="P17" s="237"/>
      <c r="Q17" s="238"/>
      <c r="V17" s="158"/>
      <c r="W17" s="158"/>
      <c r="X17" s="158"/>
      <c r="Y17" s="158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8"/>
      <c r="AM17" s="211"/>
      <c r="AN17" s="216"/>
      <c r="AO17" s="230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I17" s="31">
        <v>1</v>
      </c>
      <c r="BJ17" s="31">
        <v>5</v>
      </c>
      <c r="BK17" s="107">
        <f t="shared" si="14"/>
        <v>6.8219980713118801E-3</v>
      </c>
      <c r="BQ17" s="31">
        <f>BQ13+1</f>
        <v>5</v>
      </c>
      <c r="BR17" s="31">
        <v>3</v>
      </c>
      <c r="BS17" s="107">
        <f>$H$30*H42</f>
        <v>5.9751385930346878E-3</v>
      </c>
    </row>
    <row r="18" spans="1:71" x14ac:dyDescent="0.25">
      <c r="A18" s="178" t="s">
        <v>78</v>
      </c>
      <c r="B18" s="264">
        <v>20</v>
      </c>
      <c r="C18" s="265">
        <v>19</v>
      </c>
      <c r="E18" s="238"/>
      <c r="F18" s="237" t="s">
        <v>3</v>
      </c>
      <c r="G18" s="268">
        <v>0.45</v>
      </c>
      <c r="H18" s="269">
        <v>0.45</v>
      </c>
      <c r="I18" s="238"/>
      <c r="J18" s="236"/>
      <c r="K18" s="237"/>
      <c r="L18" s="237"/>
      <c r="M18" s="237"/>
      <c r="N18" s="237"/>
      <c r="O18" s="237"/>
      <c r="P18" s="251"/>
      <c r="Q18" s="238"/>
      <c r="V18" s="158"/>
      <c r="W18" s="158"/>
      <c r="X18" s="158"/>
      <c r="Y18" s="158"/>
      <c r="Z18" s="227"/>
      <c r="AB18" s="173">
        <f>PRODUCT(AB3:AB17)</f>
        <v>0.56206990234281318</v>
      </c>
      <c r="AC18" s="174">
        <f>SUM(AC3:AC17)</f>
        <v>0.35916860126835798</v>
      </c>
      <c r="AD18" s="174">
        <f>SUM(AD3:AD17)</f>
        <v>7.3375187773244394E-2</v>
      </c>
      <c r="AE18" s="174">
        <f>1-AB18-AC18-AD18</f>
        <v>5.3863086155844508E-3</v>
      </c>
      <c r="AF18" s="225"/>
      <c r="AG18" s="158"/>
      <c r="AH18" s="175">
        <f>PRODUCT(AH3:AH17)</f>
        <v>0.63478172129544774</v>
      </c>
      <c r="AI18" s="174">
        <f>SUM(AI3:AI17)</f>
        <v>0.30769233616152053</v>
      </c>
      <c r="AJ18" s="174">
        <f>SUM(AJ3:AJ17)</f>
        <v>5.323748566157669E-2</v>
      </c>
      <c r="AK18" s="174">
        <f>1-AH18-AI18-AJ18</f>
        <v>4.288456881455037E-3</v>
      </c>
      <c r="AL18" s="228"/>
      <c r="AM18" s="211"/>
      <c r="AN18" s="216"/>
      <c r="AO18" s="230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I18" s="31">
        <v>1</v>
      </c>
      <c r="BJ18" s="31">
        <v>6</v>
      </c>
      <c r="BK18" s="107">
        <f t="shared" si="14"/>
        <v>1.612060682326755E-3</v>
      </c>
      <c r="BQ18" s="31">
        <f>BM8+1</f>
        <v>5</v>
      </c>
      <c r="BR18" s="31">
        <v>4</v>
      </c>
      <c r="BS18" s="107">
        <f>$H$30*H43</f>
        <v>2.6140792190472405E-3</v>
      </c>
    </row>
    <row r="19" spans="1:71" ht="9" customHeight="1" x14ac:dyDescent="0.25">
      <c r="E19" s="211"/>
      <c r="F19" s="211"/>
      <c r="G19" s="211"/>
      <c r="H19" s="212"/>
      <c r="I19" s="211"/>
      <c r="J19" s="211"/>
      <c r="K19" s="211"/>
      <c r="L19" s="212"/>
      <c r="M19" s="212"/>
      <c r="N19" s="211"/>
      <c r="O19" s="211"/>
      <c r="P19" s="221"/>
      <c r="Q19" s="222"/>
      <c r="R19" s="223"/>
      <c r="S19" s="224"/>
      <c r="T19" s="225"/>
      <c r="U19" s="225"/>
      <c r="V19" s="225"/>
      <c r="W19" s="231"/>
      <c r="X19" s="211"/>
      <c r="Y19" s="226"/>
      <c r="Z19" s="227"/>
      <c r="AA19" s="227"/>
      <c r="AB19" s="227"/>
      <c r="AC19" s="224"/>
      <c r="AD19" s="225"/>
      <c r="AE19" s="225"/>
      <c r="AF19" s="225"/>
      <c r="AG19" s="231"/>
      <c r="AH19" s="228"/>
      <c r="AI19" s="211"/>
      <c r="AJ19" s="229"/>
      <c r="AK19" s="211"/>
      <c r="AL19" s="228"/>
      <c r="AM19" s="211"/>
      <c r="AN19" s="216"/>
      <c r="AO19" s="230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I19" s="31">
        <v>1</v>
      </c>
      <c r="BJ19" s="31">
        <v>7</v>
      </c>
      <c r="BK19" s="107">
        <f t="shared" si="14"/>
        <v>2.8795554990848106E-4</v>
      </c>
      <c r="BQ19" s="31">
        <f>BQ15+1</f>
        <v>6</v>
      </c>
      <c r="BR19" s="31">
        <v>1</v>
      </c>
      <c r="BS19" s="107">
        <f>$H$31*H40</f>
        <v>2.3271107150467699E-3</v>
      </c>
    </row>
    <row r="20" spans="1:71" x14ac:dyDescent="0.25">
      <c r="A20" s="180" t="s">
        <v>85</v>
      </c>
      <c r="B20" s="31">
        <f>IF(B17="Pres",IF(C17="Pres",2,1),IF(C17="Pres",1,0))</f>
        <v>0</v>
      </c>
      <c r="D20" s="196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32"/>
      <c r="Q20" s="232"/>
      <c r="R20" s="232"/>
      <c r="S20" s="211"/>
      <c r="T20" s="233"/>
      <c r="U20" s="234"/>
      <c r="V20" s="234"/>
      <c r="W20" s="234"/>
      <c r="X20" s="211"/>
      <c r="Y20" s="232"/>
      <c r="Z20" s="232"/>
      <c r="AA20" s="232"/>
      <c r="AB20" s="232"/>
      <c r="AC20" s="212"/>
      <c r="AD20" s="235"/>
      <c r="AE20" s="234"/>
      <c r="AF20" s="234"/>
      <c r="AG20" s="234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I20" s="31">
        <v>1</v>
      </c>
      <c r="BJ20" s="31">
        <v>8</v>
      </c>
      <c r="BK20" s="107">
        <f t="shared" si="14"/>
        <v>3.8910956572066612E-5</v>
      </c>
      <c r="BQ20" s="31">
        <f>BQ16+1</f>
        <v>6</v>
      </c>
      <c r="BR20" s="31">
        <v>2</v>
      </c>
      <c r="BS20" s="107">
        <f>$H$31*H41</f>
        <v>2.4239968975078262E-3</v>
      </c>
    </row>
    <row r="21" spans="1:71" x14ac:dyDescent="0.25">
      <c r="A21" s="180" t="s">
        <v>86</v>
      </c>
      <c r="B21" s="181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3.9303770682280144E-6</v>
      </c>
      <c r="BQ21" s="31">
        <f>BQ17+1</f>
        <v>6</v>
      </c>
      <c r="BR21" s="31">
        <v>3</v>
      </c>
      <c r="BS21" s="107">
        <f>$H$31*H42</f>
        <v>1.5482485218315785E-3</v>
      </c>
    </row>
    <row r="22" spans="1:71" x14ac:dyDescent="0.25">
      <c r="A22" s="26" t="s">
        <v>87</v>
      </c>
      <c r="B22" s="197">
        <f>(B6)/((B6)+(C6))</f>
        <v>0.32142857142857145</v>
      </c>
      <c r="C22" s="198">
        <f>1-B22</f>
        <v>0.6785714285714286</v>
      </c>
      <c r="V22" s="199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4"/>
        <v>2.8850295787150161E-7</v>
      </c>
      <c r="BQ22" s="31">
        <f>BQ18+1</f>
        <v>6</v>
      </c>
      <c r="BR22" s="31">
        <v>4</v>
      </c>
      <c r="BS22" s="107">
        <f>$H$31*H43</f>
        <v>6.7734734915746945E-4</v>
      </c>
    </row>
    <row r="23" spans="1:71" ht="15.75" thickBot="1" x14ac:dyDescent="0.3">
      <c r="A23" s="40" t="s">
        <v>88</v>
      </c>
      <c r="B23" s="56">
        <f>((B22^2.8)/((B22^2.8)+(C22^2.8)))*B21</f>
        <v>0.54928611419894657</v>
      </c>
      <c r="C23" s="57">
        <f>B21-B23</f>
        <v>4.4507138858010533</v>
      </c>
      <c r="D23" s="149">
        <f>SUM(D25:D30)</f>
        <v>1</v>
      </c>
      <c r="E23" s="149">
        <f>SUM(E25:E30)</f>
        <v>1.0003500000000001</v>
      </c>
      <c r="H23" s="257">
        <f>SUM(H25:H35)</f>
        <v>0.99999979056956434</v>
      </c>
      <c r="I23" s="81"/>
      <c r="J23" s="257">
        <f>SUM(J25:J35)</f>
        <v>0.99999999999999989</v>
      </c>
      <c r="K23" s="257"/>
      <c r="L23" s="257">
        <f>SUM(L25:L35)</f>
        <v>1</v>
      </c>
      <c r="M23" s="81"/>
      <c r="N23" s="257">
        <f>SUM(N25:N35)</f>
        <v>1.0000000000000002</v>
      </c>
      <c r="O23" s="81"/>
      <c r="P23" s="257">
        <f>SUM(P25:P35)</f>
        <v>1.0000000000000002</v>
      </c>
      <c r="Q23" s="81"/>
      <c r="R23" s="257">
        <f>SUM(R25:R35)</f>
        <v>1.0000000000000004</v>
      </c>
      <c r="S23" s="81"/>
      <c r="T23" s="257">
        <f>SUM(T25:T35)</f>
        <v>1</v>
      </c>
      <c r="V23" s="199">
        <f>SUM(V25:V34)</f>
        <v>0.99826153760086089</v>
      </c>
      <c r="Y23" s="196">
        <f>SUM(Y25:Y35)</f>
        <v>3.2108508157773332E-3</v>
      </c>
      <c r="Z23" s="81"/>
      <c r="AA23" s="196">
        <f>SUM(AA25:AA35)</f>
        <v>2.4709716664514537E-2</v>
      </c>
      <c r="AB23" s="81"/>
      <c r="AC23" s="196">
        <f>SUM(AC25:AC35)</f>
        <v>8.5259092916605994E-2</v>
      </c>
      <c r="AD23" s="81"/>
      <c r="AE23" s="196">
        <f>SUM(AE25:AE35)</f>
        <v>0.17424043759741201</v>
      </c>
      <c r="AF23" s="81"/>
      <c r="AG23" s="196">
        <f>SUM(AG25:AG35)</f>
        <v>0.23489246956877385</v>
      </c>
      <c r="AH23" s="81"/>
      <c r="AI23" s="196">
        <f>SUM(AI25:AI35)</f>
        <v>0.22046087148140217</v>
      </c>
      <c r="AJ23" s="81"/>
      <c r="AK23" s="196">
        <f>SUM(AK25:AK35)</f>
        <v>0.14848628961493984</v>
      </c>
      <c r="AL23" s="81"/>
      <c r="AM23" s="196">
        <f>SUM(AM25:AM35)</f>
        <v>7.3107109762751102E-2</v>
      </c>
      <c r="AN23" s="81"/>
      <c r="AO23" s="196">
        <f>SUM(AO25:AO35)</f>
        <v>2.6642710357180247E-2</v>
      </c>
      <c r="AP23" s="81"/>
      <c r="AQ23" s="196">
        <f>SUM(AQ25:AQ35)</f>
        <v>7.2519888215035622E-3</v>
      </c>
      <c r="AR23" s="81"/>
      <c r="AS23" s="196">
        <f>SUM(AS25:AS35)</f>
        <v>1.7384623991391055E-3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5.4582720167319278E-2</v>
      </c>
      <c r="BQ23" s="31">
        <f>BM9+1</f>
        <v>6</v>
      </c>
      <c r="BR23" s="31">
        <v>5</v>
      </c>
      <c r="BS23" s="107">
        <f>$H$31*H44</f>
        <v>2.145967707513032E-4</v>
      </c>
    </row>
    <row r="24" spans="1:71" ht="15.75" thickBot="1" x14ac:dyDescent="0.3">
      <c r="A24" s="26" t="s">
        <v>89</v>
      </c>
      <c r="B24" s="64">
        <f>B23/B21</f>
        <v>0.10985722283978931</v>
      </c>
      <c r="C24" s="65">
        <f>C23/B21</f>
        <v>0.89014277716021062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2.3879538907229447E-2</v>
      </c>
      <c r="BQ24" s="31">
        <f>BI49+1</f>
        <v>7</v>
      </c>
      <c r="BR24" s="31">
        <v>0</v>
      </c>
      <c r="BS24" s="107">
        <f t="shared" ref="BS24:BS30" si="17">$H$32*H39</f>
        <v>2.0679847139049994E-4</v>
      </c>
    </row>
    <row r="25" spans="1:71" x14ac:dyDescent="0.25">
      <c r="A25" s="26" t="s">
        <v>114</v>
      </c>
      <c r="B25" s="200">
        <f>1/(1+EXP(-3.1416*4*((B11/(B11+C8))-(3.1416/6))))</f>
        <v>4.9508071033257335E-2</v>
      </c>
      <c r="C25" s="198">
        <f>1/(1+EXP(-3.1416*4*((C11/(C11+B8))-(3.1416/6))))</f>
        <v>7.0491995855018171E-3</v>
      </c>
      <c r="D25" s="195">
        <f>IF(B17="AOW",0.36-0.08,IF(B17="AIM",0.36+0.08,IF(B17="TL",(0.361)-(0.36*B32),0.36)))</f>
        <v>0.36</v>
      </c>
      <c r="E25" s="195">
        <f>IF(C17="AOW",0.36-0.08,IF(C17="AIM",0.36+0.08,IF(C17="TL",(0.361)-(0.36*C32),0.36)))</f>
        <v>0.23499999999999999</v>
      </c>
      <c r="G25" s="124">
        <v>0</v>
      </c>
      <c r="H25" s="125">
        <f>L25*J25</f>
        <v>0.10987001510731127</v>
      </c>
      <c r="I25" s="97">
        <v>0</v>
      </c>
      <c r="J25" s="98">
        <f t="shared" ref="J25:J35" si="18">Y25+AA25+AC25+AE25+AG25+AI25+AK25+AM25+AO25+AQ25+AS25</f>
        <v>0.19547393420169334</v>
      </c>
      <c r="K25" s="97">
        <v>0</v>
      </c>
      <c r="L25" s="98">
        <f>AB18</f>
        <v>0.56206990234281318</v>
      </c>
      <c r="M25" s="85">
        <v>0</v>
      </c>
      <c r="N25" s="201">
        <f>(1-$B$24)^$B$21</f>
        <v>0.55885399658298696</v>
      </c>
      <c r="O25" s="72">
        <v>0</v>
      </c>
      <c r="P25" s="201">
        <f t="shared" ref="P25:P30" si="19">N25</f>
        <v>0.55885399658298696</v>
      </c>
      <c r="Q25" s="28">
        <v>0</v>
      </c>
      <c r="R25" s="202">
        <f>P25*N25</f>
        <v>0.31231778949677719</v>
      </c>
      <c r="S25" s="72">
        <v>0</v>
      </c>
      <c r="T25" s="203">
        <f>(1-$B$33)^(INT(C23*2*(1-C31)))</f>
        <v>1.0280717025280002E-2</v>
      </c>
      <c r="U25" s="138">
        <v>0</v>
      </c>
      <c r="V25" s="86">
        <f>R25*T25</f>
        <v>3.2108508157773332E-3</v>
      </c>
      <c r="W25" s="134">
        <f>B31</f>
        <v>0.34086774823074467</v>
      </c>
      <c r="X25" s="28">
        <v>0</v>
      </c>
      <c r="Y25" s="204">
        <f>V25</f>
        <v>3.2108508157773332E-3</v>
      </c>
      <c r="Z25" s="28">
        <v>0</v>
      </c>
      <c r="AA25" s="204">
        <f>((1-W25)^Z26)*V26</f>
        <v>1.6286971185661758E-2</v>
      </c>
      <c r="AB25" s="28">
        <v>0</v>
      </c>
      <c r="AC25" s="204">
        <f>(((1-$W$25)^AB27))*V27</f>
        <v>3.7041266949777552E-2</v>
      </c>
      <c r="AD25" s="28">
        <v>0</v>
      </c>
      <c r="AE25" s="204">
        <f>(((1-$W$25)^AB28))*V28</f>
        <v>4.9896104491868633E-2</v>
      </c>
      <c r="AF25" s="28">
        <v>0</v>
      </c>
      <c r="AG25" s="204">
        <f>(((1-$W$25)^AB29))*V29</f>
        <v>4.4336289457104758E-2</v>
      </c>
      <c r="AH25" s="28">
        <v>0</v>
      </c>
      <c r="AI25" s="204">
        <f>(((1-$W$25)^AB30))*V30</f>
        <v>2.7428012088492635E-2</v>
      </c>
      <c r="AJ25" s="28">
        <v>0</v>
      </c>
      <c r="AK25" s="204">
        <f>(((1-$W$25)^AB31))*V31</f>
        <v>1.2176479166387812E-2</v>
      </c>
      <c r="AL25" s="28">
        <v>0</v>
      </c>
      <c r="AM25" s="204">
        <f>(((1-$W$25)^AB32))*V32</f>
        <v>3.9515506411784531E-3</v>
      </c>
      <c r="AN25" s="28">
        <v>0</v>
      </c>
      <c r="AO25" s="204">
        <f>(((1-$W$25)^AB33))*V33</f>
        <v>9.4920256515782983E-4</v>
      </c>
      <c r="AP25" s="28">
        <v>0</v>
      </c>
      <c r="AQ25" s="204">
        <f>(((1-$W$25)^AB34))*V34</f>
        <v>1.7029825121158554E-4</v>
      </c>
      <c r="AR25" s="28">
        <v>0</v>
      </c>
      <c r="AS25" s="204">
        <f>(((1-$W$25)^AB35))*V35</f>
        <v>2.6908589074991203E-5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7.5655008363075581E-3</v>
      </c>
      <c r="BQ25" s="31">
        <f>BQ19+1</f>
        <v>7</v>
      </c>
      <c r="BR25" s="31">
        <v>1</v>
      </c>
      <c r="BS25" s="107">
        <f t="shared" si="17"/>
        <v>4.656786916833629E-4</v>
      </c>
    </row>
    <row r="26" spans="1:71" x14ac:dyDescent="0.25">
      <c r="A26" s="40" t="s">
        <v>115</v>
      </c>
      <c r="B26" s="197">
        <f>1/(1+EXP(-3.1416*4*((B10/(B10+C9))-(3.1416/6))))</f>
        <v>0.45637205100382888</v>
      </c>
      <c r="C26" s="198">
        <f>1/(1+EXP(-3.1416*4*((C10/(C10+B9))-(3.1416/6))))</f>
        <v>1.1147090851843802E-2</v>
      </c>
      <c r="D26" s="195">
        <f>IF(B17="AOW",0.257+0.04,IF(B17="AIM",0.257-0.04,IF(B17="TL",(0.257)-(0.257*B32),0.257)))</f>
        <v>0.25700000000000001</v>
      </c>
      <c r="E26" s="195">
        <f>IF(C17="AOW",0.257+0.04,IF(C17="AIM",0.257-0.04,IF(C17="TL",(0.257)-(0.257*C32),0.257)))</f>
        <v>0.16705</v>
      </c>
      <c r="G26" s="87">
        <v>1</v>
      </c>
      <c r="H26" s="126">
        <f>L25*J26+L26*J25</f>
        <v>0.26340582919212852</v>
      </c>
      <c r="I26" s="138">
        <v>1</v>
      </c>
      <c r="J26" s="86">
        <f t="shared" si="18"/>
        <v>0.34372544919270498</v>
      </c>
      <c r="K26" s="138">
        <v>1</v>
      </c>
      <c r="L26" s="86">
        <f>AC18</f>
        <v>0.35916860126835798</v>
      </c>
      <c r="M26" s="85">
        <v>1</v>
      </c>
      <c r="N26" s="201">
        <f>(($B$24)^M26)*((1-($B$24))^($B$21-M26))*HLOOKUP($B$21,$AV$24:$BF$34,M26+1)</f>
        <v>0.34485562099030631</v>
      </c>
      <c r="O26" s="72">
        <v>1</v>
      </c>
      <c r="P26" s="201">
        <f t="shared" si="19"/>
        <v>0.34485562099030631</v>
      </c>
      <c r="Q26" s="28">
        <v>1</v>
      </c>
      <c r="R26" s="202">
        <f>N26*P25+P26*N25</f>
        <v>0.38544788406908098</v>
      </c>
      <c r="S26" s="72">
        <v>1</v>
      </c>
      <c r="T26" s="203">
        <f t="shared" ref="T26:T35" si="20">(($B$33)^S26)*((1-($B$33))^(INT($C$23*2*(1-$C$31))-S26))*HLOOKUP(INT($C$23*2*(1-$C$31)),$AV$24:$BF$34,S26+1)</f>
        <v>6.6429248471040009E-2</v>
      </c>
      <c r="U26" s="138">
        <v>1</v>
      </c>
      <c r="V26" s="86">
        <f>R26*T25+T26*R25</f>
        <v>2.4709716664514537E-2</v>
      </c>
      <c r="W26" s="205"/>
      <c r="X26" s="28">
        <v>1</v>
      </c>
      <c r="Y26" s="202"/>
      <c r="Z26" s="28">
        <v>1</v>
      </c>
      <c r="AA26" s="204">
        <f>(1-((1-W25)^Z26))*V26</f>
        <v>8.4227454788527792E-3</v>
      </c>
      <c r="AB26" s="28">
        <v>1</v>
      </c>
      <c r="AC26" s="204">
        <f>((($W$25)^M26)*((1-($W$25))^($U$27-M26))*HLOOKUP($U$27,$AV$24:$BF$34,M26+1))*V27</f>
        <v>3.8311501896298242E-2</v>
      </c>
      <c r="AD26" s="28">
        <v>1</v>
      </c>
      <c r="AE26" s="204">
        <f>((($W$25)^M26)*((1-($W$25))^($U$28-M26))*HLOOKUP($U$28,$AV$24:$BF$34,M26+1))*V28</f>
        <v>7.7410744526501693E-2</v>
      </c>
      <c r="AF26" s="28">
        <v>1</v>
      </c>
      <c r="AG26" s="204">
        <f>((($W$25)^M26)*((1-($W$25))^($U$29-M26))*HLOOKUP($U$29,$AV$24:$BF$34,M26+1))*V29</f>
        <v>9.1713376862283452E-2</v>
      </c>
      <c r="AH26" s="28">
        <v>1</v>
      </c>
      <c r="AI26" s="204">
        <f>((($W$25)^M26)*((1-($W$25))^($U$30-M26))*HLOOKUP($U$30,$AV$24:$BF$34,M26+1))*V30</f>
        <v>7.0921462983752459E-2</v>
      </c>
      <c r="AJ26" s="28">
        <v>1</v>
      </c>
      <c r="AK26" s="204">
        <f>((($W$25)^M26)*((1-($W$25))^($U$31-M26))*HLOOKUP($U$31,$AV$24:$BF$34,M26+1))*V31</f>
        <v>3.7782120571561953E-2</v>
      </c>
      <c r="AL26" s="28">
        <v>1</v>
      </c>
      <c r="AM26" s="204">
        <f>((($W$25)^Q26)*((1-($W$25))^($U$32-Q26))*HLOOKUP($U$32,$AV$24:$BF$34,Q26+1))*V32</f>
        <v>1.4304706162138334E-2</v>
      </c>
      <c r="AN26" s="28">
        <v>1</v>
      </c>
      <c r="AO26" s="204">
        <f>((($W$25)^Q26)*((1-($W$25))^($U$33-Q26))*HLOOKUP($U$33,$AV$24:$BF$34,Q26+1))*V33</f>
        <v>3.9270120997018151E-3</v>
      </c>
      <c r="AP26" s="28">
        <v>1</v>
      </c>
      <c r="AQ26" s="204">
        <f>((($W$25)^Q26)*((1-($W$25))^($U$34-Q26))*HLOOKUP($U$34,$AV$24:$BF$34,Q26+1))*V34</f>
        <v>7.926218620933678E-4</v>
      </c>
      <c r="AR26" s="28">
        <v>1</v>
      </c>
      <c r="AS26" s="204">
        <f>((($W$25)^Q26)*((1-($W$25))^($U$35-Q26))*HLOOKUP($U$35,$AV$24:$BF$34,Q26+1))*V35</f>
        <v>1.3915674952087818E-4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1.7877528420315546E-3</v>
      </c>
      <c r="BQ26" s="31">
        <f>BQ20+1</f>
        <v>7</v>
      </c>
      <c r="BR26" s="31">
        <v>2</v>
      </c>
      <c r="BS26" s="107">
        <f t="shared" si="17"/>
        <v>4.8506660924093112E-4</v>
      </c>
    </row>
    <row r="27" spans="1:71" x14ac:dyDescent="0.25">
      <c r="A27" s="26" t="s">
        <v>116</v>
      </c>
      <c r="B27" s="197">
        <f>1/(1+EXP(-3.1416*4*((B12/(B12+C7))-(3.1416/6))))</f>
        <v>0.43633980596449912</v>
      </c>
      <c r="C27" s="198">
        <f>1/(1+EXP(-3.1416*4*((C12/(C12+B7))-(3.1416/6))))</f>
        <v>8.4681573829165167E-3</v>
      </c>
      <c r="D27" s="195">
        <f>D26</f>
        <v>0.25700000000000001</v>
      </c>
      <c r="E27" s="195">
        <f>E26</f>
        <v>0.16705</v>
      </c>
      <c r="G27" s="87">
        <v>2</v>
      </c>
      <c r="H27" s="126">
        <f>L25*J27+J26*L26+J25*L27</f>
        <v>0.29211339554924798</v>
      </c>
      <c r="I27" s="138">
        <v>2</v>
      </c>
      <c r="J27" s="86">
        <f t="shared" si="18"/>
        <v>0.27454782665346023</v>
      </c>
      <c r="K27" s="138">
        <v>2</v>
      </c>
      <c r="L27" s="86">
        <f>AD18</f>
        <v>7.3375187773244394E-2</v>
      </c>
      <c r="M27" s="85">
        <v>2</v>
      </c>
      <c r="N27" s="201">
        <f>(($B$24)^M27)*((1-($B$24))^($B$21-M27))*HLOOKUP($B$21,$AV$24:$BF$34,M27+1)</f>
        <v>8.5120908184075209E-2</v>
      </c>
      <c r="O27" s="72">
        <v>2</v>
      </c>
      <c r="P27" s="201">
        <f t="shared" si="19"/>
        <v>8.5120908184075209E-2</v>
      </c>
      <c r="Q27" s="28">
        <v>2</v>
      </c>
      <c r="R27" s="202">
        <f>P25*N27+P26*N26+P27*N25</f>
        <v>0.21406571879149761</v>
      </c>
      <c r="S27" s="72">
        <v>2</v>
      </c>
      <c r="T27" s="203">
        <f t="shared" si="20"/>
        <v>0.18395791884288007</v>
      </c>
      <c r="U27" s="138">
        <v>2</v>
      </c>
      <c r="V27" s="86">
        <f>R27*T25+T26*R26+R25*T27</f>
        <v>8.5259092916605994E-2</v>
      </c>
      <c r="W27" s="205"/>
      <c r="X27" s="28">
        <v>2</v>
      </c>
      <c r="Y27" s="202"/>
      <c r="Z27" s="28">
        <v>2</v>
      </c>
      <c r="AA27" s="204"/>
      <c r="AB27" s="28">
        <v>2</v>
      </c>
      <c r="AC27" s="204">
        <f>((($W$25)^M27)*((1-($W$25))^($U$27-M27))*HLOOKUP($U$27,$AV$24:$BF$34,M27+1))*V27</f>
        <v>9.9063240705301956E-3</v>
      </c>
      <c r="AD27" s="28">
        <v>2</v>
      </c>
      <c r="AE27" s="204">
        <f>((($W$25)^M27)*((1-($W$25))^($U$28-M27))*HLOOKUP($U$28,$AV$24:$BF$34,M27+1))*V28</f>
        <v>4.0032673419918473E-2</v>
      </c>
      <c r="AF27" s="28">
        <v>2</v>
      </c>
      <c r="AG27" s="204">
        <f>((($W$25)^M27)*((1-($W$25))^($U$29-M27))*HLOOKUP($U$29,$AV$24:$BF$34,M27+1))*V29</f>
        <v>7.1143838364235337E-2</v>
      </c>
      <c r="AH27" s="28">
        <v>2</v>
      </c>
      <c r="AI27" s="204">
        <f>((($W$25)^M27)*((1-($W$25))^($U$30-M27))*HLOOKUP($U$30,$AV$24:$BF$34,M27+1))*V30</f>
        <v>7.335353208285969E-2</v>
      </c>
      <c r="AJ27" s="28">
        <v>2</v>
      </c>
      <c r="AK27" s="204">
        <f>((($W$25)^M27)*((1-($W$25))^($U$31-M27))*HLOOKUP($U$31,$AV$24:$BF$34,M27+1))*V31</f>
        <v>4.8847201483623169E-2</v>
      </c>
      <c r="AL27" s="28">
        <v>2</v>
      </c>
      <c r="AM27" s="204">
        <f>((($W$25)^Q27)*((1-($W$25))^($U$32-Q27))*HLOOKUP($U$32,$AV$24:$BF$34,Q27+1))*V32</f>
        <v>2.2192873883058819E-2</v>
      </c>
      <c r="AN27" s="28">
        <v>2</v>
      </c>
      <c r="AO27" s="204">
        <f>((($W$25)^Q27)*((1-($W$25))^($U$33-Q27))*HLOOKUP($U$33,$AV$24:$BF$34,Q27+1))*V33</f>
        <v>7.1079380327318331E-3</v>
      </c>
      <c r="AP27" s="28">
        <v>2</v>
      </c>
      <c r="AQ27" s="204">
        <f>((($W$25)^Q27)*((1-($W$25))^($U$34-Q27))*HLOOKUP($U$34,$AV$24:$BF$34,Q27+1))*V34</f>
        <v>1.6396055790321648E-3</v>
      </c>
      <c r="AR27" s="28">
        <v>2</v>
      </c>
      <c r="AS27" s="204">
        <f>((($W$25)^Q27)*((1-($W$25))^($U$35-Q27))*HLOOKUP($U$35,$AV$24:$BF$34,Q27+1))*V35</f>
        <v>3.2383973747052521E-4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3.1933869386642646E-4</v>
      </c>
      <c r="BQ27" s="31">
        <f>BQ21+1</f>
        <v>7</v>
      </c>
      <c r="BR27" s="31">
        <v>3</v>
      </c>
      <c r="BS27" s="107">
        <f t="shared" si="17"/>
        <v>3.0982038859837395E-4</v>
      </c>
    </row>
    <row r="28" spans="1:71" x14ac:dyDescent="0.25">
      <c r="A28" s="26" t="s">
        <v>117</v>
      </c>
      <c r="B28" s="266">
        <v>0.9</v>
      </c>
      <c r="C28" s="267">
        <v>0.9</v>
      </c>
      <c r="D28" s="195">
        <v>8.5000000000000006E-2</v>
      </c>
      <c r="E28" s="195">
        <v>8.5000000000000006E-2</v>
      </c>
      <c r="G28" s="87">
        <v>3</v>
      </c>
      <c r="H28" s="126">
        <f>J28*L25+J27*L26+L28*J25+L27*J26</f>
        <v>0.19904777568785958</v>
      </c>
      <c r="I28" s="138">
        <v>3</v>
      </c>
      <c r="J28" s="86">
        <f t="shared" si="18"/>
        <v>0.13194980586127214</v>
      </c>
      <c r="K28" s="138">
        <v>3</v>
      </c>
      <c r="L28" s="86">
        <f>AE18</f>
        <v>5.3863086155844508E-3</v>
      </c>
      <c r="M28" s="85">
        <v>3</v>
      </c>
      <c r="N28" s="201">
        <f>(($B$24)^M28)*((1-($B$24))^($B$21-M28))*HLOOKUP($B$21,$AV$24:$BF$34,M28+1)</f>
        <v>1.0505220980993418E-2</v>
      </c>
      <c r="O28" s="72">
        <v>3</v>
      </c>
      <c r="P28" s="201">
        <f t="shared" si="19"/>
        <v>1.0505220980993418E-2</v>
      </c>
      <c r="Q28" s="28">
        <v>3</v>
      </c>
      <c r="R28" s="202">
        <f>P25*N28+P26*N27+P27*N26+P28*N25</f>
        <v>7.0450616762587445E-2</v>
      </c>
      <c r="S28" s="72">
        <v>3</v>
      </c>
      <c r="T28" s="203">
        <f t="shared" si="20"/>
        <v>0.28301218283520002</v>
      </c>
      <c r="U28" s="138">
        <v>3</v>
      </c>
      <c r="V28" s="86">
        <f>R28*T25+R27*T26+R26*T27+R25*T28</f>
        <v>0.17424043759741203</v>
      </c>
      <c r="W28" s="205"/>
      <c r="X28" s="28">
        <v>3</v>
      </c>
      <c r="Y28" s="202"/>
      <c r="Z28" s="28">
        <v>3</v>
      </c>
      <c r="AA28" s="204"/>
      <c r="AB28" s="28">
        <v>3</v>
      </c>
      <c r="AC28" s="204"/>
      <c r="AD28" s="28">
        <v>3</v>
      </c>
      <c r="AE28" s="204">
        <f>((($W$25)^M28)*((1-($W$25))^($U$28-M28))*HLOOKUP($U$28,$AV$24:$BF$34,M28+1))*V28</f>
        <v>6.9009151591232021E-3</v>
      </c>
      <c r="AF28" s="28">
        <v>3</v>
      </c>
      <c r="AG28" s="204">
        <f>((($W$25)^M28)*((1-($W$25))^($U$29-M28))*HLOOKUP($U$29,$AV$24:$BF$34,M28+1))*V29</f>
        <v>2.4527844418288775E-2</v>
      </c>
      <c r="AH28" s="28">
        <v>3</v>
      </c>
      <c r="AI28" s="204">
        <f>((($W$25)^M28)*((1-($W$25))^($U$30-M28))*HLOOKUP($U$30,$AV$24:$BF$34,M28+1))*V30</f>
        <v>3.7934501367123605E-2</v>
      </c>
      <c r="AJ28" s="28">
        <v>3</v>
      </c>
      <c r="AK28" s="204">
        <f>((($W$25)^M28)*((1-($W$25))^($U$31-M28))*HLOOKUP($U$31,$AV$24:$BF$34,M28+1))*V31</f>
        <v>3.3681527052985605E-2</v>
      </c>
      <c r="AL28" s="28">
        <v>3</v>
      </c>
      <c r="AM28" s="204">
        <f>((($W$25)^Q28)*((1-($W$25))^($U$32-Q28))*HLOOKUP($U$32,$AV$24:$BF$34,Q28+1))*V32</f>
        <v>1.9128267827337859E-2</v>
      </c>
      <c r="AN28" s="28">
        <v>3</v>
      </c>
      <c r="AO28" s="204">
        <f>((($W$25)^Q28)*((1-($W$25))^($U$33-Q28))*HLOOKUP($U$33,$AV$24:$BF$34,Q28+1))*V33</f>
        <v>7.351686479541741E-3</v>
      </c>
      <c r="AP28" s="28">
        <v>3</v>
      </c>
      <c r="AQ28" s="204">
        <f>((($W$25)^Q28)*((1-($W$25))^($U$34-Q28))*HLOOKUP($U$34,$AV$24:$BF$34,Q28+1))*V34</f>
        <v>1.9784702394588061E-3</v>
      </c>
      <c r="AR28" s="28">
        <v>3</v>
      </c>
      <c r="AS28" s="204">
        <f>((($W$25)^Q28)*((1-($W$25))^($U$35-Q28))*HLOOKUP($U$35,$AV$24:$BF$34,Q28+1))*V35</f>
        <v>4.4659331741254998E-4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4.3151708841056172E-5</v>
      </c>
      <c r="BQ28" s="31">
        <f>BQ22+1</f>
        <v>7</v>
      </c>
      <c r="BR28" s="31">
        <v>4</v>
      </c>
      <c r="BS28" s="107">
        <f t="shared" si="17"/>
        <v>1.3554414292854346E-4</v>
      </c>
    </row>
    <row r="29" spans="1:71" x14ac:dyDescent="0.25">
      <c r="A29" s="26" t="s">
        <v>118</v>
      </c>
      <c r="B29" s="197">
        <f>1/(1+EXP(-3.1416*4*((B14/(B14+C13))-(3.1416/6))))</f>
        <v>0.42639691249266598</v>
      </c>
      <c r="C29" s="198">
        <f>1/(1+EXP(-3.1416*4*((C14/(C14+B13))-(3.1416/6))))</f>
        <v>0.3003599256256817</v>
      </c>
      <c r="D29" s="195">
        <v>0.04</v>
      </c>
      <c r="E29" s="195">
        <v>0.04</v>
      </c>
      <c r="G29" s="87">
        <v>4</v>
      </c>
      <c r="H29" s="126">
        <f>J29*L25+J28*L26+J27*L27+J26*L28</f>
        <v>9.3348022909823691E-2</v>
      </c>
      <c r="I29" s="138">
        <v>4</v>
      </c>
      <c r="J29" s="86">
        <f t="shared" si="18"/>
        <v>4.2627057451957245E-2</v>
      </c>
      <c r="K29" s="138">
        <v>4</v>
      </c>
      <c r="L29" s="86"/>
      <c r="M29" s="85">
        <v>4</v>
      </c>
      <c r="N29" s="201">
        <f>(($B$24)^M29)*((1-($B$24))^($B$21-M29))*HLOOKUP($B$21,$AV$24:$BF$34,M29+1)</f>
        <v>6.482524106818145E-4</v>
      </c>
      <c r="O29" s="72">
        <v>4</v>
      </c>
      <c r="P29" s="201">
        <f t="shared" si="19"/>
        <v>6.482524106818145E-4</v>
      </c>
      <c r="Q29" s="28">
        <v>4</v>
      </c>
      <c r="R29" s="202">
        <f>P25*N29+P26*N28+P27*N27+P28*N26+P29*N25</f>
        <v>1.5215694921171696E-2</v>
      </c>
      <c r="S29" s="72">
        <v>4</v>
      </c>
      <c r="T29" s="203">
        <f t="shared" si="20"/>
        <v>0.26124201492480004</v>
      </c>
      <c r="U29" s="138">
        <v>4</v>
      </c>
      <c r="V29" s="86">
        <f>T29*R25+T28*R26+T27*R27+T26*R28+T25*R29</f>
        <v>0.23489246956877394</v>
      </c>
      <c r="W29" s="205"/>
      <c r="X29" s="28">
        <v>4</v>
      </c>
      <c r="Y29" s="202"/>
      <c r="Z29" s="28">
        <v>4</v>
      </c>
      <c r="AA29" s="204"/>
      <c r="AB29" s="28">
        <v>4</v>
      </c>
      <c r="AC29" s="204"/>
      <c r="AD29" s="28">
        <v>4</v>
      </c>
      <c r="AE29" s="204"/>
      <c r="AF29" s="28">
        <v>4</v>
      </c>
      <c r="AG29" s="204">
        <f>((($W$25)^M29)*((1-($W$25))^($U$29-M29))*HLOOKUP($U$29,$AV$24:$BF$34,M29+1))*V29</f>
        <v>3.1711204668615624E-3</v>
      </c>
      <c r="AH29" s="28">
        <v>4</v>
      </c>
      <c r="AI29" s="204">
        <f>((($W$25)^M29)*((1-($W$25))^($U$30-M29))*HLOOKUP($U$30,$AV$24:$BF$34,M29+1))*V30</f>
        <v>9.808841872445807E-3</v>
      </c>
      <c r="AJ29" s="28">
        <v>4</v>
      </c>
      <c r="AK29" s="204">
        <f>((($W$25)^M29)*((1-($W$25))^($U$31-M29))*HLOOKUP($U$31,$AV$24:$BF$34,M29+1))*V31</f>
        <v>1.3063705636509299E-2</v>
      </c>
      <c r="AL29" s="28">
        <v>4</v>
      </c>
      <c r="AM29" s="204">
        <f>((($W$25)^Q29)*((1-($W$25))^($U$32-Q29))*HLOOKUP($U$32,$AV$24:$BF$34,Q29+1))*V32</f>
        <v>9.8921112786661339E-3</v>
      </c>
      <c r="AN29" s="28">
        <v>4</v>
      </c>
      <c r="AO29" s="204">
        <f>((($W$25)^Q29)*((1-($W$25))^($U$33-Q29))*HLOOKUP($U$33,$AV$24:$BF$34,Q29+1))*V33</f>
        <v>4.7523710326214464E-3</v>
      </c>
      <c r="AP29" s="28">
        <v>4</v>
      </c>
      <c r="AQ29" s="204">
        <f>((($W$25)^Q29)*((1-($W$25))^($U$34-Q29))*HLOOKUP($U$34,$AV$24:$BF$34,Q29+1))*V34</f>
        <v>1.5347375894343746E-3</v>
      </c>
      <c r="AR29" s="28">
        <v>4</v>
      </c>
      <c r="AS29" s="204">
        <f>((($W$25)^Q29)*((1-($W$25))^($U$35-Q29))*HLOOKUP($U$35,$AV$24:$BF$34,Q29+1))*V35</f>
        <v>4.0416957541862129E-4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4.3587334217708088E-6</v>
      </c>
      <c r="BQ29" s="31">
        <f>BQ23+1</f>
        <v>7</v>
      </c>
      <c r="BR29" s="31">
        <v>5</v>
      </c>
      <c r="BS29" s="107">
        <f t="shared" si="17"/>
        <v>4.2943012034961554E-5</v>
      </c>
    </row>
    <row r="30" spans="1:71" x14ac:dyDescent="0.25">
      <c r="A30" s="26" t="s">
        <v>119</v>
      </c>
      <c r="B30" s="266">
        <v>0.15</v>
      </c>
      <c r="C30" s="267">
        <v>0.4</v>
      </c>
      <c r="D30" s="195">
        <f>IF(B17="TL",0.875*B32,0.001)</f>
        <v>1E-3</v>
      </c>
      <c r="E30" s="195">
        <f>IF(C17="TL",0.875*C32,0.001)</f>
        <v>0.30624999999999997</v>
      </c>
      <c r="G30" s="87">
        <v>5</v>
      </c>
      <c r="H30" s="126">
        <f>J30*L25+J29*L26+J28*L27+J27*L28</f>
        <v>3.1977483312269329E-2</v>
      </c>
      <c r="I30" s="138">
        <v>5</v>
      </c>
      <c r="J30" s="86">
        <f t="shared" si="18"/>
        <v>9.7968981834894581E-3</v>
      </c>
      <c r="K30" s="138">
        <v>5</v>
      </c>
      <c r="L30" s="86"/>
      <c r="M30" s="85">
        <v>5</v>
      </c>
      <c r="N30" s="201">
        <f>(($B$24)^M30)*((1-($B$24))^($B$21-M30))*HLOOKUP($B$21,$AV$24:$BF$34,M30+1)</f>
        <v>1.6000850956494406E-5</v>
      </c>
      <c r="O30" s="72">
        <v>5</v>
      </c>
      <c r="P30" s="201">
        <f t="shared" si="19"/>
        <v>1.6000850956494406E-5</v>
      </c>
      <c r="Q30" s="28">
        <v>5</v>
      </c>
      <c r="R30" s="202">
        <f>P25*N30+P26*N29+P27*N28+P28*N27+P29*N26+P30*N25</f>
        <v>2.2534191554529339E-3</v>
      </c>
      <c r="S30" s="72">
        <v>5</v>
      </c>
      <c r="T30" s="203">
        <f t="shared" si="20"/>
        <v>0.14468788518912001</v>
      </c>
      <c r="U30" s="138">
        <v>5</v>
      </c>
      <c r="V30" s="86">
        <f>T30*R25+T29*R26+T28*R27+T27*R28+T26*R29+T25*R30</f>
        <v>0.22046087148140225</v>
      </c>
      <c r="W30" s="205"/>
      <c r="X30" s="28">
        <v>5</v>
      </c>
      <c r="Y30" s="202"/>
      <c r="Z30" s="28">
        <v>5</v>
      </c>
      <c r="AA30" s="204"/>
      <c r="AB30" s="28">
        <v>5</v>
      </c>
      <c r="AC30" s="204"/>
      <c r="AD30" s="28">
        <v>5</v>
      </c>
      <c r="AE30" s="204"/>
      <c r="AF30" s="28">
        <v>5</v>
      </c>
      <c r="AG30" s="204"/>
      <c r="AH30" s="28">
        <v>5</v>
      </c>
      <c r="AI30" s="204">
        <f>((($W$25)^M30)*((1-($W$25))^($U$30-M30))*HLOOKUP($U$30,$AV$24:$BF$34,M30+1))*V30</f>
        <v>1.014521086727985E-3</v>
      </c>
      <c r="AJ30" s="28">
        <v>5</v>
      </c>
      <c r="AK30" s="204">
        <f>((($W$25)^M30)*((1-($W$25))^($U$31-M30))*HLOOKUP($U$31,$AV$24:$BF$34,M30+1))*V31</f>
        <v>2.7023383619377717E-3</v>
      </c>
      <c r="AL30" s="28">
        <v>5</v>
      </c>
      <c r="AM30" s="204">
        <f>((($W$25)^Q30)*((1-($W$25))^($U$32-Q30))*HLOOKUP($U$32,$AV$24:$BF$34,Q30+1))*V32</f>
        <v>3.0694007350627623E-3</v>
      </c>
      <c r="AN30" s="28">
        <v>5</v>
      </c>
      <c r="AO30" s="204">
        <f>((($W$25)^Q30)*((1-($W$25))^($U$33-Q30))*HLOOKUP($U$33,$AV$24:$BF$34,Q30+1))*V33</f>
        <v>1.966136547921537E-3</v>
      </c>
      <c r="AP30" s="28">
        <v>5</v>
      </c>
      <c r="AQ30" s="204">
        <f>((($W$25)^Q30)*((1-($W$25))^($U$34-Q30))*HLOOKUP($U$34,$AV$24:$BF$34,Q30+1))*V34</f>
        <v>7.9368373316788437E-4</v>
      </c>
      <c r="AR30" s="28">
        <v>5</v>
      </c>
      <c r="AS30" s="204">
        <f>((($W$25)^Q30)*((1-($W$25))^($U$35-Q30))*HLOOKUP($U$35,$AV$24:$BF$34,Q30+1))*V35</f>
        <v>2.5081771867151902E-4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3.1994576167247717E-7</v>
      </c>
      <c r="BQ30" s="31">
        <f>BM10+1</f>
        <v>7</v>
      </c>
      <c r="BR30" s="31">
        <v>6</v>
      </c>
      <c r="BS30" s="107">
        <f t="shared" si="17"/>
        <v>1.0147575616205618E-5</v>
      </c>
    </row>
    <row r="31" spans="1:71" x14ac:dyDescent="0.25">
      <c r="A31" s="179" t="s">
        <v>120</v>
      </c>
      <c r="B31" s="60">
        <f>(B25*D25)+(B26*D26)+(B27*D27)+(B28*D28)+(B29*D29)+(B30*D30)/(B25+B26+B27+B28+B29+B30)</f>
        <v>0.34086774823074467</v>
      </c>
      <c r="C31" s="61">
        <f>(C25*E25)+(C26*E26)+(C27*E27)+(C28*E28)+(C29*E29)+(C30*E30)/(C25+C26+C27+C28+C29+C30)</f>
        <v>0.1687385066143563</v>
      </c>
      <c r="G31" s="87">
        <v>6</v>
      </c>
      <c r="H31" s="126">
        <f>J31*L25+J30*L26+J29*L27+J28*L28</f>
        <v>8.2858481856518743E-3</v>
      </c>
      <c r="I31" s="138">
        <v>6</v>
      </c>
      <c r="J31" s="86">
        <f t="shared" si="18"/>
        <v>1.6521419196354108E-3</v>
      </c>
      <c r="K31" s="138">
        <v>6</v>
      </c>
      <c r="L31" s="86"/>
      <c r="M31" s="85"/>
      <c r="N31" s="202"/>
      <c r="O31" s="202"/>
      <c r="P31" s="202"/>
      <c r="Q31" s="28">
        <v>6</v>
      </c>
      <c r="R31" s="202">
        <f>P26*N30+P27*N29+P28*N28+P29*N27+P30*N26</f>
        <v>2.3175530250495904E-4</v>
      </c>
      <c r="S31" s="72">
        <v>6</v>
      </c>
      <c r="T31" s="203">
        <f t="shared" si="20"/>
        <v>4.4519349288960001E-2</v>
      </c>
      <c r="U31" s="138">
        <v>6</v>
      </c>
      <c r="V31" s="86">
        <f>T31*R25+T30*R26+T29*R27+T28*R28+T27*R29+T26*R30+T25*R31</f>
        <v>0.14848628961493987</v>
      </c>
      <c r="W31" s="205"/>
      <c r="X31" s="28">
        <v>6</v>
      </c>
      <c r="Y31" s="202"/>
      <c r="Z31" s="28">
        <v>6</v>
      </c>
      <c r="AA31" s="204"/>
      <c r="AB31" s="28">
        <v>6</v>
      </c>
      <c r="AC31" s="204"/>
      <c r="AD31" s="28">
        <v>6</v>
      </c>
      <c r="AE31" s="204"/>
      <c r="AF31" s="28">
        <v>6</v>
      </c>
      <c r="AG31" s="204"/>
      <c r="AH31" s="28">
        <v>6</v>
      </c>
      <c r="AI31" s="204"/>
      <c r="AJ31" s="28">
        <v>6</v>
      </c>
      <c r="AK31" s="204">
        <f>((($W$25)^Q31)*((1-($W$25))^($U$31-Q31))*HLOOKUP($U$31,$AV$24:$BF$34,Q31+1))*V31</f>
        <v>2.3291734193422385E-4</v>
      </c>
      <c r="AL31" s="28">
        <v>6</v>
      </c>
      <c r="AM31" s="204">
        <f>((($W$25)^Q31)*((1-($W$25))^($U$32-Q31))*HLOOKUP($U$32,$AV$24:$BF$34,Q31+1))*V32</f>
        <v>5.2910965600112684E-4</v>
      </c>
      <c r="AN31" s="28">
        <v>6</v>
      </c>
      <c r="AO31" s="204">
        <f>((($W$25)^Q31)*((1-($W$25))^($U$33-Q31))*HLOOKUP($U$33,$AV$24:$BF$34,Q31+1))*V33</f>
        <v>5.083900355393326E-4</v>
      </c>
      <c r="AP31" s="28">
        <v>6</v>
      </c>
      <c r="AQ31" s="204">
        <f>((($W$25)^Q31)*((1-($W$25))^($U$34-Q31))*HLOOKUP($U$34,$AV$24:$BF$34,Q31+1))*V34</f>
        <v>2.7363369157567001E-4</v>
      </c>
      <c r="AR31" s="28">
        <v>6</v>
      </c>
      <c r="AS31" s="204">
        <f>((($W$25)^Q31)*((1-($W$25))^($U$35-Q31))*HLOOKUP($U$35,$AV$24:$BF$34,Q31+1))*V35</f>
        <v>1.0809119458505733E-4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1.6271657432890222E-2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3.2288900288033854E-5</v>
      </c>
    </row>
    <row r="32" spans="1:71" x14ac:dyDescent="0.25">
      <c r="A32" s="26" t="s">
        <v>121</v>
      </c>
      <c r="B32" s="206">
        <f>IF(B17&lt;&gt;"TL",0.001,IF(B18&lt;5,0.1,IF(B18&lt;10,0.2,IF(B18&lt;14,0.3,0.35))))</f>
        <v>1E-3</v>
      </c>
      <c r="C32" s="207">
        <f>IF(C17&lt;&gt;"TL",0.001,IF(C18&lt;5,0.1,IF(C18&lt;10,0.2,IF(C18&lt;14,0.3,0.35))))</f>
        <v>0.35</v>
      </c>
      <c r="G32" s="87">
        <v>7</v>
      </c>
      <c r="H32" s="126">
        <f>J32*L25+J31*L26+J30*L27+J29*L28</f>
        <v>1.6580830974790054E-3</v>
      </c>
      <c r="I32" s="138">
        <v>7</v>
      </c>
      <c r="J32" s="86">
        <f t="shared" si="18"/>
        <v>2.0679610134409222E-4</v>
      </c>
      <c r="K32" s="138">
        <v>7</v>
      </c>
      <c r="L32" s="86"/>
      <c r="M32" s="85"/>
      <c r="N32" s="202"/>
      <c r="O32" s="202"/>
      <c r="P32" s="202"/>
      <c r="Q32" s="28">
        <v>7</v>
      </c>
      <c r="R32" s="202">
        <f>P27*N30+P28*N29+P29*N28+P30*N27</f>
        <v>1.6344083581617984E-5</v>
      </c>
      <c r="S32" s="72">
        <v>7</v>
      </c>
      <c r="T32" s="203">
        <f t="shared" si="20"/>
        <v>5.8706834227199994E-3</v>
      </c>
      <c r="U32" s="138">
        <v>7</v>
      </c>
      <c r="V32" s="86">
        <f>T32*R25+T31*R26+T30*R27+T29*R28+T28*R29+T27*R30+T26*R31+T25*R32</f>
        <v>7.3107109762751143E-2</v>
      </c>
      <c r="W32" s="205"/>
      <c r="X32" s="28">
        <v>7</v>
      </c>
      <c r="Y32" s="202"/>
      <c r="Z32" s="28">
        <v>7</v>
      </c>
      <c r="AA32" s="204"/>
      <c r="AB32" s="28">
        <v>7</v>
      </c>
      <c r="AC32" s="204"/>
      <c r="AD32" s="28">
        <v>7</v>
      </c>
      <c r="AE32" s="204"/>
      <c r="AF32" s="28">
        <v>7</v>
      </c>
      <c r="AG32" s="204"/>
      <c r="AH32" s="28">
        <v>7</v>
      </c>
      <c r="AI32" s="204"/>
      <c r="AJ32" s="28">
        <v>7</v>
      </c>
      <c r="AK32" s="204"/>
      <c r="AL32" s="28">
        <v>7</v>
      </c>
      <c r="AM32" s="204">
        <f>((($W$25)^Q32)*((1-($W$25))^($U$32-Q32))*HLOOKUP($U$32,$AV$24:$BF$34,Q32+1))*V32</f>
        <v>3.9089579307627982E-5</v>
      </c>
      <c r="AN32" s="28">
        <v>7</v>
      </c>
      <c r="AO32" s="204">
        <f>((($W$25)^Q32)*((1-($W$25))^($U$33-Q32))*HLOOKUP($U$33,$AV$24:$BF$34,Q32+1))*V33</f>
        <v>7.5117709110113936E-5</v>
      </c>
      <c r="AP32" s="28">
        <v>7</v>
      </c>
      <c r="AQ32" s="204">
        <f>((($W$25)^Q32)*((1-($W$25))^($U$34-Q32))*HLOOKUP($U$34,$AV$24:$BF$34,Q32+1))*V34</f>
        <v>6.064655464195529E-5</v>
      </c>
      <c r="AR32" s="28">
        <v>7</v>
      </c>
      <c r="AS32" s="204">
        <f>((($W$25)^Q32)*((1-($W$25))^($U$35-Q32))*HLOOKUP($U$35,$AV$24:$BF$34,Q32+1))*V35</f>
        <v>3.1942258284395004E-5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5.1551765046590576E-3</v>
      </c>
      <c r="BQ32" s="31">
        <f t="shared" si="24"/>
        <v>8</v>
      </c>
      <c r="BR32" s="31">
        <v>1</v>
      </c>
      <c r="BS32" s="107">
        <f t="shared" si="25"/>
        <v>7.2709690458170928E-5</v>
      </c>
    </row>
    <row r="33" spans="1:71" x14ac:dyDescent="0.25">
      <c r="A33" s="26" t="s">
        <v>122</v>
      </c>
      <c r="B33" s="283">
        <v>0.48</v>
      </c>
      <c r="C33" s="284">
        <f>IF(C17&lt;&gt;"CA",0.005,IF((C18-C16)&lt;0,0.1,0.1+0.055*(C18-C16)))</f>
        <v>5.0000000000000001E-3</v>
      </c>
      <c r="G33" s="87">
        <v>8</v>
      </c>
      <c r="H33" s="126">
        <f>J33*L25+J32*L26+J31*L27+J30*L28</f>
        <v>2.588881796068894E-4</v>
      </c>
      <c r="I33" s="138">
        <v>8</v>
      </c>
      <c r="J33" s="86">
        <f t="shared" si="18"/>
        <v>1.8891195600572156E-5</v>
      </c>
      <c r="K33" s="138">
        <v>8</v>
      </c>
      <c r="L33" s="86"/>
      <c r="M33" s="85"/>
      <c r="N33" s="202"/>
      <c r="O33" s="202"/>
      <c r="P33" s="202"/>
      <c r="Q33" s="28">
        <v>8</v>
      </c>
      <c r="R33" s="202">
        <f>P28*N30+P29*N29+P30*N28</f>
        <v>7.5641613831861109E-7</v>
      </c>
      <c r="S33" s="72">
        <v>8</v>
      </c>
      <c r="T33" s="203">
        <f t="shared" si="20"/>
        <v>0</v>
      </c>
      <c r="U33" s="138">
        <v>8</v>
      </c>
      <c r="V33" s="86">
        <f>T33*R25+T32*R26+T31*R27+T30*R28+T29*R29+T28*R30+T27*R31+T26*R32+T25*R33</f>
        <v>2.6642710357180261E-2</v>
      </c>
      <c r="W33" s="205"/>
      <c r="X33" s="28">
        <v>8</v>
      </c>
      <c r="Y33" s="202"/>
      <c r="Z33" s="28">
        <v>8</v>
      </c>
      <c r="AA33" s="204"/>
      <c r="AB33" s="28">
        <v>8</v>
      </c>
      <c r="AC33" s="204"/>
      <c r="AD33" s="28">
        <v>8</v>
      </c>
      <c r="AE33" s="204"/>
      <c r="AF33" s="28">
        <v>8</v>
      </c>
      <c r="AG33" s="204"/>
      <c r="AH33" s="28">
        <v>8</v>
      </c>
      <c r="AI33" s="204"/>
      <c r="AJ33" s="28">
        <v>8</v>
      </c>
      <c r="AK33" s="204"/>
      <c r="AL33" s="28">
        <v>8</v>
      </c>
      <c r="AM33" s="204"/>
      <c r="AN33" s="28">
        <v>8</v>
      </c>
      <c r="AO33" s="204">
        <f>((($W$25)^Q33)*((1-($W$25))^($U$33-Q33))*HLOOKUP($U$33,$AV$24:$BF$34,Q33+1))*V33</f>
        <v>4.8558548545998648E-6</v>
      </c>
      <c r="AP33" s="28">
        <v>8</v>
      </c>
      <c r="AQ33" s="204">
        <f>((($W$25)^Q33)*((1-($W$25))^($U$34-Q33))*HLOOKUP($U$34,$AV$24:$BF$34,Q33+1))*V34</f>
        <v>7.8407840244756361E-6</v>
      </c>
      <c r="AR33" s="28">
        <v>8</v>
      </c>
      <c r="AS33" s="204">
        <f>((($W$25)^Q33)*((1-($W$25))^($U$35-Q33))*HLOOKUP($U$35,$AV$24:$BF$34,Q33+1))*V35</f>
        <v>6.1945567214966552E-6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1.2181852393894658E-3</v>
      </c>
      <c r="BQ33" s="31">
        <f t="shared" si="24"/>
        <v>8</v>
      </c>
      <c r="BR33" s="31">
        <v>2</v>
      </c>
      <c r="BS33" s="107">
        <f t="shared" si="25"/>
        <v>7.5736862431927097E-5</v>
      </c>
    </row>
    <row r="34" spans="1:71" x14ac:dyDescent="0.25">
      <c r="A34" s="40" t="s">
        <v>123</v>
      </c>
      <c r="B34" s="56">
        <f>B23*2</f>
        <v>1.0985722283978931</v>
      </c>
      <c r="C34" s="57">
        <f>C23*2</f>
        <v>8.9014277716021066</v>
      </c>
      <c r="G34" s="87">
        <v>9</v>
      </c>
      <c r="H34" s="126">
        <f>J34*L25+J33*L26+J32*L27+J31*L28</f>
        <v>3.1511136796894318E-5</v>
      </c>
      <c r="I34" s="138">
        <v>9</v>
      </c>
      <c r="J34" s="86">
        <f t="shared" si="18"/>
        <v>1.1624238750881871E-6</v>
      </c>
      <c r="K34" s="138">
        <v>9</v>
      </c>
      <c r="L34" s="86"/>
      <c r="M34" s="85"/>
      <c r="N34" s="202"/>
      <c r="O34" s="202"/>
      <c r="P34" s="202"/>
      <c r="Q34" s="28">
        <v>9</v>
      </c>
      <c r="R34" s="202">
        <f>P29*N30+P30*N29</f>
        <v>2.0745180411015832E-8</v>
      </c>
      <c r="S34" s="72">
        <v>9</v>
      </c>
      <c r="T34" s="203">
        <f t="shared" si="20"/>
        <v>0</v>
      </c>
      <c r="U34" s="138">
        <v>9</v>
      </c>
      <c r="V34" s="86">
        <f>T34*R25+T33*R26+T32*R27+T31*R28+T30*R29+T29*R30+T28*R31+T27*R32+T26*R33+T25*R34</f>
        <v>7.2519888215035674E-3</v>
      </c>
      <c r="W34" s="205"/>
      <c r="X34" s="28">
        <v>9</v>
      </c>
      <c r="Y34" s="202"/>
      <c r="Z34" s="28">
        <v>9</v>
      </c>
      <c r="AA34" s="204"/>
      <c r="AB34" s="28">
        <v>9</v>
      </c>
      <c r="AC34" s="204"/>
      <c r="AD34" s="28">
        <v>9</v>
      </c>
      <c r="AE34" s="204"/>
      <c r="AF34" s="28">
        <v>9</v>
      </c>
      <c r="AG34" s="204"/>
      <c r="AH34" s="28">
        <v>9</v>
      </c>
      <c r="AI34" s="204"/>
      <c r="AJ34" s="28">
        <v>9</v>
      </c>
      <c r="AK34" s="204"/>
      <c r="AL34" s="28">
        <v>9</v>
      </c>
      <c r="AM34" s="204"/>
      <c r="AN34" s="28">
        <v>9</v>
      </c>
      <c r="AO34" s="204"/>
      <c r="AP34" s="28">
        <v>9</v>
      </c>
      <c r="AQ34" s="204">
        <f>((($W$25)^Q34)*((1-($W$25))^($U$34-Q34))*HLOOKUP($U$34,$AV$24:$BF$34,Q34+1))*V34</f>
        <v>4.5053686327955731E-7</v>
      </c>
      <c r="AR34" s="28">
        <v>9</v>
      </c>
      <c r="AS34" s="204">
        <f>((($W$25)^Q34)*((1-($W$25))^($U$35-Q34))*HLOOKUP($U$35,$AV$24:$BF$34,Q34+1))*V35</f>
        <v>7.1188701180862986E-7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2.1759925314504173E-4</v>
      </c>
      <c r="BQ34" s="31">
        <f t="shared" si="24"/>
        <v>8</v>
      </c>
      <c r="BR34" s="31">
        <v>3</v>
      </c>
      <c r="BS34" s="107">
        <f t="shared" si="25"/>
        <v>4.8374437041957543E-5</v>
      </c>
    </row>
    <row r="35" spans="1:71" ht="15.75" thickBot="1" x14ac:dyDescent="0.3">
      <c r="G35" s="88">
        <v>10</v>
      </c>
      <c r="H35" s="127">
        <f>J35*L25+J34*L26+J33*L27+J32*L28</f>
        <v>2.938211389142768E-6</v>
      </c>
      <c r="I35" s="94">
        <v>10</v>
      </c>
      <c r="J35" s="89">
        <f t="shared" si="18"/>
        <v>3.6814967263181324E-8</v>
      </c>
      <c r="K35" s="94">
        <v>10</v>
      </c>
      <c r="L35" s="89"/>
      <c r="M35" s="85"/>
      <c r="N35" s="202"/>
      <c r="O35" s="202"/>
      <c r="P35" s="202"/>
      <c r="Q35" s="28">
        <v>10</v>
      </c>
      <c r="R35" s="202">
        <f>P30*N30</f>
        <v>2.5602723133194795E-10</v>
      </c>
      <c r="S35" s="72">
        <v>10</v>
      </c>
      <c r="T35" s="203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1.7384623991391068E-3</v>
      </c>
      <c r="W35" s="205"/>
      <c r="X35" s="28">
        <v>10</v>
      </c>
      <c r="Y35" s="202"/>
      <c r="Z35" s="28">
        <v>10</v>
      </c>
      <c r="AA35" s="204"/>
      <c r="AB35" s="28">
        <v>10</v>
      </c>
      <c r="AC35" s="204"/>
      <c r="AD35" s="28">
        <v>10</v>
      </c>
      <c r="AE35" s="204"/>
      <c r="AF35" s="28">
        <v>10</v>
      </c>
      <c r="AG35" s="204"/>
      <c r="AH35" s="28">
        <v>10</v>
      </c>
      <c r="AI35" s="204"/>
      <c r="AJ35" s="28">
        <v>10</v>
      </c>
      <c r="AK35" s="204"/>
      <c r="AL35" s="28">
        <v>10</v>
      </c>
      <c r="AM35" s="204"/>
      <c r="AN35" s="28">
        <v>10</v>
      </c>
      <c r="AO35" s="204"/>
      <c r="AP35" s="28">
        <v>10</v>
      </c>
      <c r="AQ35" s="204"/>
      <c r="AR35" s="28">
        <v>10</v>
      </c>
      <c r="AS35" s="204">
        <f>((($W$25)^Q35)*((1-($W$25))^($U$35-Q35))*HLOOKUP($U$35,$AV$24:$BF$34,Q35+1))*V35</f>
        <v>3.6814967263181324E-8</v>
      </c>
      <c r="BI35" s="31">
        <f t="shared" si="22"/>
        <v>3</v>
      </c>
      <c r="BJ35" s="31">
        <v>8</v>
      </c>
      <c r="BK35" s="107">
        <f t="shared" si="23"/>
        <v>2.9403826708434182E-5</v>
      </c>
      <c r="BQ35" s="31">
        <f t="shared" si="24"/>
        <v>8</v>
      </c>
      <c r="BR35" s="31">
        <v>4</v>
      </c>
      <c r="BS35" s="107">
        <f t="shared" si="25"/>
        <v>2.1163460668828734E-5</v>
      </c>
    </row>
    <row r="36" spans="1:71" ht="15.75" x14ac:dyDescent="0.25">
      <c r="A36" s="109" t="s">
        <v>124</v>
      </c>
      <c r="B36" s="210">
        <f>SUM(BO4:BO14)</f>
        <v>0.21884312390773045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99">
        <f>SUM(V39:V49)</f>
        <v>1</v>
      </c>
      <c r="W36" s="158"/>
      <c r="X36" s="158"/>
      <c r="AS36" s="82">
        <f>Y37+AA37+AC37+AE37+AG37+AI37+AK37+AM37+AO37+AQ37+AS37</f>
        <v>1.0000000000000002</v>
      </c>
      <c r="BI36" s="31">
        <f t="shared" si="22"/>
        <v>3</v>
      </c>
      <c r="BJ36" s="31">
        <v>9</v>
      </c>
      <c r="BK36" s="107">
        <f t="shared" si="23"/>
        <v>2.9700664387146969E-6</v>
      </c>
      <c r="BQ36" s="31">
        <f t="shared" si="24"/>
        <v>8</v>
      </c>
      <c r="BR36" s="31">
        <v>5</v>
      </c>
      <c r="BS36" s="107">
        <f t="shared" si="25"/>
        <v>6.7049945985645689E-6</v>
      </c>
    </row>
    <row r="37" spans="1:71" ht="16.5" thickBot="1" x14ac:dyDescent="0.3">
      <c r="A37" s="110" t="s">
        <v>125</v>
      </c>
      <c r="B37" s="210">
        <f>SUM(BK4:BK59)</f>
        <v>0.36820601296675332</v>
      </c>
      <c r="G37" s="158"/>
      <c r="H37" s="257">
        <f>SUM(H39:H49)</f>
        <v>0.99999994293562644</v>
      </c>
      <c r="I37" s="258"/>
      <c r="J37" s="257">
        <f>SUM(J39:J49)</f>
        <v>1.0000000000000004</v>
      </c>
      <c r="K37" s="257"/>
      <c r="L37" s="257">
        <f>SUM(L39:L49)</f>
        <v>1</v>
      </c>
      <c r="M37" s="258"/>
      <c r="N37" s="259">
        <f>SUM(N39:N49)</f>
        <v>1</v>
      </c>
      <c r="O37" s="258"/>
      <c r="P37" s="259">
        <f>SUM(P39:P49)</f>
        <v>1</v>
      </c>
      <c r="Q37" s="258"/>
      <c r="R37" s="257">
        <f>SUM(R39:R49)</f>
        <v>0.99999999999999989</v>
      </c>
      <c r="S37" s="258"/>
      <c r="T37" s="257">
        <f>SUM(T39:T49)</f>
        <v>1.0050760126517704</v>
      </c>
      <c r="U37" s="258"/>
      <c r="V37" s="199">
        <f>SUM(V39:V48)</f>
        <v>0.68920543556152913</v>
      </c>
      <c r="W37" s="158"/>
      <c r="X37" s="158"/>
      <c r="Y37" s="196">
        <f>SUM(Y39:Y49)</f>
        <v>2.560272313319496E-10</v>
      </c>
      <c r="Z37" s="81"/>
      <c r="AA37" s="196">
        <f>SUM(AA39:AA49)</f>
        <v>2.0746466980017619E-8</v>
      </c>
      <c r="AB37" s="81"/>
      <c r="AC37" s="196">
        <f>SUM(AC39:AC49)</f>
        <v>7.5652039838670057E-7</v>
      </c>
      <c r="AD37" s="81"/>
      <c r="AE37" s="196">
        <f>SUM(AE39:AE49)</f>
        <v>1.6347885715547652E-5</v>
      </c>
      <c r="AF37" s="81"/>
      <c r="AG37" s="196">
        <f>SUM(AG39:AG49)</f>
        <v>2.3183747178800285E-4</v>
      </c>
      <c r="AH37" s="81"/>
      <c r="AI37" s="196">
        <f>SUM(AI39:AI49)</f>
        <v>2.2545845806889449E-3</v>
      </c>
      <c r="AJ37" s="81"/>
      <c r="AK37" s="196">
        <f>SUM(AK39:AK49)</f>
        <v>1.5227030346262251E-2</v>
      </c>
      <c r="AL37" s="81"/>
      <c r="AM37" s="196">
        <f>SUM(AM39:AM49)</f>
        <v>7.0527191435526951E-2</v>
      </c>
      <c r="AN37" s="81"/>
      <c r="AO37" s="196">
        <f>SUM(AO39:AO49)</f>
        <v>0.21442051129977169</v>
      </c>
      <c r="AP37" s="81"/>
      <c r="AQ37" s="196">
        <f>SUM(AQ39:AQ49)</f>
        <v>0.38652715501888335</v>
      </c>
      <c r="AR37" s="81"/>
      <c r="AS37" s="196">
        <f>SUM(AS39:AS49)</f>
        <v>0.31079456443847092</v>
      </c>
      <c r="BI37" s="31">
        <f t="shared" si="22"/>
        <v>3</v>
      </c>
      <c r="BJ37" s="31">
        <v>10</v>
      </c>
      <c r="BK37" s="107">
        <f t="shared" si="23"/>
        <v>2.1801291269755522E-7</v>
      </c>
      <c r="BQ37" s="31">
        <f t="shared" si="24"/>
        <v>8</v>
      </c>
      <c r="BR37" s="31">
        <v>6</v>
      </c>
      <c r="BS37" s="107">
        <f t="shared" si="25"/>
        <v>1.5844123751680637E-6</v>
      </c>
    </row>
    <row r="38" spans="1:71" ht="16.5" thickBot="1" x14ac:dyDescent="0.3">
      <c r="A38" s="111" t="s">
        <v>126</v>
      </c>
      <c r="B38" s="210">
        <f>SUM(BS4:BS47)</f>
        <v>0.41294765842271536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2.417638342343203E-3</v>
      </c>
      <c r="BQ38" s="31">
        <f>BM11+1</f>
        <v>8</v>
      </c>
      <c r="BR38" s="31">
        <v>7</v>
      </c>
      <c r="BS38" s="107">
        <f t="shared" si="25"/>
        <v>2.8301685028060572E-7</v>
      </c>
    </row>
    <row r="39" spans="1:71" x14ac:dyDescent="0.25">
      <c r="G39" s="128">
        <v>0</v>
      </c>
      <c r="H39" s="129">
        <f>L39*J39</f>
        <v>0.12472141577519362</v>
      </c>
      <c r="I39" s="97">
        <v>0</v>
      </c>
      <c r="J39" s="98">
        <f t="shared" ref="J39:J49" si="29">Y39+AA39+AC39+AE39+AG39+AI39+AK39+AM39+AO39+AQ39+AS39</f>
        <v>0.1964792173294862</v>
      </c>
      <c r="K39" s="102">
        <v>0</v>
      </c>
      <c r="L39" s="98">
        <f>AH18</f>
        <v>0.63478172129544774</v>
      </c>
      <c r="M39" s="85">
        <v>0</v>
      </c>
      <c r="N39" s="201">
        <f>(1-$C$24)^$B$21</f>
        <v>1.6000850956494457E-5</v>
      </c>
      <c r="O39" s="72">
        <v>0</v>
      </c>
      <c r="P39" s="201">
        <f t="shared" ref="P39:P44" si="30">N39</f>
        <v>1.6000850956494457E-5</v>
      </c>
      <c r="Q39" s="28">
        <v>0</v>
      </c>
      <c r="R39" s="202">
        <f>P39*N39</f>
        <v>2.560272313319496E-10</v>
      </c>
      <c r="S39" s="72">
        <v>0</v>
      </c>
      <c r="T39" s="203">
        <f>(1-$C$33)^(INT(B23*2*(1-B31)))</f>
        <v>1</v>
      </c>
      <c r="U39" s="138">
        <v>0</v>
      </c>
      <c r="V39" s="86">
        <f>R39*T39</f>
        <v>2.560272313319496E-10</v>
      </c>
      <c r="W39" s="134">
        <f>C31</f>
        <v>0.1687385066143563</v>
      </c>
      <c r="X39" s="28">
        <v>0</v>
      </c>
      <c r="Y39" s="204">
        <f>V39</f>
        <v>2.560272313319496E-10</v>
      </c>
      <c r="Z39" s="28">
        <v>0</v>
      </c>
      <c r="AA39" s="204">
        <f>((1-W39)^Z40)*V40</f>
        <v>1.724573912428539E-8</v>
      </c>
      <c r="AB39" s="28">
        <v>0</v>
      </c>
      <c r="AC39" s="204">
        <f>(((1-$W$39)^AB41))*V41</f>
        <v>5.2275231984369811E-7</v>
      </c>
      <c r="AD39" s="28">
        <v>0</v>
      </c>
      <c r="AE39" s="204">
        <f>(((1-$W$39)^AB42))*V42</f>
        <v>9.3901943777592004E-6</v>
      </c>
      <c r="AF39" s="28">
        <v>0</v>
      </c>
      <c r="AG39" s="204">
        <f>(((1-$W$39)^AB43))*V43</f>
        <v>1.1069660066539973E-4</v>
      </c>
      <c r="AH39" s="28">
        <v>0</v>
      </c>
      <c r="AI39" s="204">
        <f>(((1-$W$39)^AB44))*V44</f>
        <v>8.9485948965445047E-4</v>
      </c>
      <c r="AJ39" s="28">
        <v>0</v>
      </c>
      <c r="AK39" s="204">
        <f>(((1-$W$39)^AB45))*V45</f>
        <v>5.0239023783252698E-3</v>
      </c>
      <c r="AL39" s="28">
        <v>0</v>
      </c>
      <c r="AM39" s="204">
        <f>(((1-$W$39)^AB46))*V46</f>
        <v>1.9342839633851083E-2</v>
      </c>
      <c r="AN39" s="28">
        <v>0</v>
      </c>
      <c r="AO39" s="204">
        <f>(((1-$W$39)^AB47))*V47</f>
        <v>4.8884100925729604E-2</v>
      </c>
      <c r="AP39" s="28">
        <v>0</v>
      </c>
      <c r="AQ39" s="204">
        <f>(((1-$W$39)^AB48))*V48</f>
        <v>7.3251914204156734E-2</v>
      </c>
      <c r="AR39" s="28">
        <v>0</v>
      </c>
      <c r="AS39" s="204">
        <f>(((1-$W$39)^AB49))*V49</f>
        <v>4.8960973648639702E-2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5.7129592753280228E-4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3.9301135939944594E-6</v>
      </c>
    </row>
    <row r="40" spans="1:71" x14ac:dyDescent="0.25">
      <c r="G40" s="91">
        <v>1</v>
      </c>
      <c r="H40" s="130">
        <f>L39*J40+L40*J39</f>
        <v>0.28085365105729226</v>
      </c>
      <c r="I40" s="138">
        <v>1</v>
      </c>
      <c r="J40" s="86">
        <f t="shared" si="29"/>
        <v>0.34720360444565324</v>
      </c>
      <c r="K40" s="95">
        <v>1</v>
      </c>
      <c r="L40" s="86">
        <f>AI18</f>
        <v>0.30769233616152053</v>
      </c>
      <c r="M40" s="85">
        <v>1</v>
      </c>
      <c r="N40" s="201">
        <f>(($C$24)^M26)*((1-($C$24))^($B$21-M26))*HLOOKUP($B$21,$AV$24:$BF$34,M26+1)</f>
        <v>6.4825241068181612E-4</v>
      </c>
      <c r="O40" s="72">
        <v>1</v>
      </c>
      <c r="P40" s="201">
        <f t="shared" si="30"/>
        <v>6.4825241068181612E-4</v>
      </c>
      <c r="Q40" s="28">
        <v>1</v>
      </c>
      <c r="R40" s="202">
        <f>P40*N39+P39*N40</f>
        <v>2.0745180411015951E-8</v>
      </c>
      <c r="S40" s="72">
        <v>1</v>
      </c>
      <c r="T40" s="203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2.0746466980017619E-8</v>
      </c>
      <c r="W40" s="205"/>
      <c r="X40" s="28">
        <v>1</v>
      </c>
      <c r="Y40" s="202"/>
      <c r="Z40" s="28">
        <v>1</v>
      </c>
      <c r="AA40" s="204">
        <f>(1-((1-W39)^Z40))*V40</f>
        <v>3.5007278557322275E-9</v>
      </c>
      <c r="AB40" s="28">
        <v>1</v>
      </c>
      <c r="AC40" s="204">
        <f>((($W$39)^M40)*((1-($W$39))^($U$27-M40))*HLOOKUP($U$27,$AV$24:$BF$34,M40+1))*V41</f>
        <v>2.1222791259186539E-7</v>
      </c>
      <c r="AD40" s="28">
        <v>1</v>
      </c>
      <c r="AE40" s="204">
        <f>((($W$39)^M40)*((1-($W$39))^($U$28-M40))*HLOOKUP($U$28,$AV$24:$BF$34,M40+1))*V42</f>
        <v>5.7183716149348719E-6</v>
      </c>
      <c r="AF40" s="28">
        <v>1</v>
      </c>
      <c r="AG40" s="204">
        <f>((($W$39)^M40)*((1-($W$39))^($U$29-M40))*HLOOKUP($U$29,$AV$24:$BF$34,M40+1))*V43</f>
        <v>8.9881603958285323E-5</v>
      </c>
      <c r="AH40" s="28">
        <v>1</v>
      </c>
      <c r="AI40" s="204">
        <f>((($W$39)^M40)*((1-($W$39))^($U$30-M40))*HLOOKUP($U$30,$AV$24:$BF$34,M40+1))*V44</f>
        <v>9.082416009610915E-4</v>
      </c>
      <c r="AJ40" s="28">
        <v>1</v>
      </c>
      <c r="AK40" s="204">
        <f>((($W$39)^M40)*((1-($W$39))^($U$31-M40))*HLOOKUP($U$31,$AV$24:$BF$34,M40+1))*V45</f>
        <v>6.1188383542864558E-3</v>
      </c>
      <c r="AL40" s="28">
        <v>1</v>
      </c>
      <c r="AM40" s="204">
        <f>((($W$39)^Q40)*((1-($W$39))^($U$32-Q40))*HLOOKUP($U$32,$AV$24:$BF$34,Q40+1))*V46</f>
        <v>2.7484941015882839E-2</v>
      </c>
      <c r="AN40" s="28">
        <v>1</v>
      </c>
      <c r="AO40" s="204">
        <f>((($W$39)^Q40)*((1-($W$39))^($U$33-Q40))*HLOOKUP($U$33,$AV$24:$BF$34,Q40+1))*V47</f>
        <v>7.9384215465554644E-2</v>
      </c>
      <c r="AP40" s="28">
        <v>1</v>
      </c>
      <c r="AQ40" s="204">
        <f>((($W$39)^Q40)*((1-($W$39))^($U$34-Q40))*HLOOKUP($U$34,$AV$24:$BF$34,Q40+1))*V48</f>
        <v>0.13382523835187732</v>
      </c>
      <c r="AR40" s="28">
        <v>1</v>
      </c>
      <c r="AS40" s="204">
        <f>((($W$39)^Q40)*((1-($W$39))^($U$35-Q40))*HLOOKUP($U$35,$AV$24:$BF$34,Q40+1))*V49</f>
        <v>9.9386313952877198E-2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1.0204816405282135E-4</v>
      </c>
      <c r="BQ40" s="31">
        <f t="shared" si="31"/>
        <v>9</v>
      </c>
      <c r="BR40" s="31">
        <v>1</v>
      </c>
      <c r="BS40" s="107">
        <f t="shared" si="32"/>
        <v>8.8500178183735585E-6</v>
      </c>
    </row>
    <row r="41" spans="1:71" x14ac:dyDescent="0.25">
      <c r="G41" s="91">
        <v>2</v>
      </c>
      <c r="H41" s="130">
        <f>L39*J41+J40*L40+J39*L41</f>
        <v>0.29254662204713355</v>
      </c>
      <c r="I41" s="138">
        <v>2</v>
      </c>
      <c r="J41" s="86">
        <f t="shared" si="29"/>
        <v>0.27608651679276153</v>
      </c>
      <c r="K41" s="95">
        <v>2</v>
      </c>
      <c r="L41" s="86">
        <f>AJ18</f>
        <v>5.323748566157669E-2</v>
      </c>
      <c r="M41" s="85">
        <v>2</v>
      </c>
      <c r="N41" s="201">
        <f>(($C$24)^M27)*((1-($C$24))^($B$21-M27))*HLOOKUP($B$21,$AV$24:$BF$34,M27+1)</f>
        <v>1.0505220980993437E-2</v>
      </c>
      <c r="O41" s="72">
        <v>2</v>
      </c>
      <c r="P41" s="201">
        <f t="shared" si="30"/>
        <v>1.0505220980993437E-2</v>
      </c>
      <c r="Q41" s="28">
        <v>2</v>
      </c>
      <c r="R41" s="202">
        <f>P41*N39+P40*N40+P39*N41</f>
        <v>7.564161383186149E-7</v>
      </c>
      <c r="S41" s="72">
        <v>2</v>
      </c>
      <c r="T41" s="203">
        <f t="shared" si="33"/>
        <v>5.0503775157192999E-5</v>
      </c>
      <c r="U41" s="138">
        <v>2</v>
      </c>
      <c r="V41" s="86">
        <f>R41*T39+T40*R40+R39*T41</f>
        <v>7.5652039838670047E-7</v>
      </c>
      <c r="W41" s="205"/>
      <c r="X41" s="28">
        <v>2</v>
      </c>
      <c r="Y41" s="202"/>
      <c r="Z41" s="28">
        <v>2</v>
      </c>
      <c r="AA41" s="204"/>
      <c r="AB41" s="28">
        <v>2</v>
      </c>
      <c r="AC41" s="204">
        <f>((($W$39)^M41)*((1-($W$39))^($U$27-M41))*HLOOKUP($U$27,$AV$24:$BF$34,M41+1))*V41</f>
        <v>2.1540165951137021E-8</v>
      </c>
      <c r="AD41" s="28">
        <v>2</v>
      </c>
      <c r="AE41" s="204">
        <f>((($W$39)^M41)*((1-($W$39))^($U$28-M41))*HLOOKUP($U$28,$AV$24:$BF$34,M41+1))*V42</f>
        <v>1.1607773176645735E-6</v>
      </c>
      <c r="AF41" s="28">
        <v>2</v>
      </c>
      <c r="AG41" s="204">
        <f>((($W$39)^M41)*((1-($W$39))^($U$29-M41))*HLOOKUP($U$29,$AV$24:$BF$34,M41+1))*V43</f>
        <v>2.7367719564849289E-5</v>
      </c>
      <c r="AH41" s="28">
        <v>2</v>
      </c>
      <c r="AI41" s="204">
        <f>((($W$39)^M41)*((1-($W$39))^($U$30-M41))*HLOOKUP($U$30,$AV$24:$BF$34,M41+1))*V44</f>
        <v>3.6872953363210247E-4</v>
      </c>
      <c r="AJ41" s="28">
        <v>2</v>
      </c>
      <c r="AK41" s="204">
        <f>((($W$39)^M41)*((1-($W$39))^($U$31-M41))*HLOOKUP($U$31,$AV$24:$BF$34,M41+1))*V45</f>
        <v>3.1051710392350214E-3</v>
      </c>
      <c r="AL41" s="28">
        <v>2</v>
      </c>
      <c r="AM41" s="204">
        <f>((($W$39)^Q41)*((1-($W$39))^($U$32-Q41))*HLOOKUP($U$32,$AV$24:$BF$34,Q41+1))*V46</f>
        <v>1.6737577543191308E-2</v>
      </c>
      <c r="AN41" s="28">
        <v>2</v>
      </c>
      <c r="AO41" s="204">
        <f>((($W$39)^Q41)*((1-($W$39))^($U$33-Q41))*HLOOKUP($U$33,$AV$24:$BF$34,Q41+1))*V47</f>
        <v>5.63999526689066E-2</v>
      </c>
      <c r="AP41" s="28">
        <v>2</v>
      </c>
      <c r="AQ41" s="204">
        <f>((($W$39)^Q41)*((1-($W$39))^($U$34-Q41))*HLOOKUP($U$34,$AV$24:$BF$34,Q41+1))*V48</f>
        <v>0.10866121453471408</v>
      </c>
      <c r="AR41" s="28">
        <v>2</v>
      </c>
      <c r="AS41" s="204">
        <f>((($W$39)^Q41)*((1-($W$39))^($U$35-Q41))*HLOOKUP($U$35,$AV$24:$BF$34,Q41+1))*V49</f>
        <v>9.0785321436033961E-2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1.3789599405118152E-5</v>
      </c>
      <c r="BQ41" s="31">
        <f t="shared" si="31"/>
        <v>9</v>
      </c>
      <c r="BR41" s="31">
        <v>2</v>
      </c>
      <c r="BS41" s="107">
        <f t="shared" si="32"/>
        <v>9.2184766267965655E-6</v>
      </c>
    </row>
    <row r="42" spans="1:71" ht="15" customHeight="1" x14ac:dyDescent="0.25">
      <c r="G42" s="91">
        <v>3</v>
      </c>
      <c r="H42" s="130">
        <f>J42*L39+J41*L40+L42*J39+L41*J40</f>
        <v>0.18685456058832833</v>
      </c>
      <c r="I42" s="138">
        <v>3</v>
      </c>
      <c r="J42" s="86">
        <f t="shared" si="29"/>
        <v>0.13008883671098886</v>
      </c>
      <c r="K42" s="95">
        <v>3</v>
      </c>
      <c r="L42" s="86">
        <f>AK18</f>
        <v>4.288456881455037E-3</v>
      </c>
      <c r="M42" s="85">
        <v>3</v>
      </c>
      <c r="N42" s="201">
        <f>(($C$24)^M28)*((1-($C$24))^($B$21-M28))*HLOOKUP($B$21,$AV$24:$BF$34,M28+1)</f>
        <v>8.5120908184075278E-2</v>
      </c>
      <c r="O42" s="72">
        <v>3</v>
      </c>
      <c r="P42" s="201">
        <f t="shared" si="30"/>
        <v>8.5120908184075278E-2</v>
      </c>
      <c r="Q42" s="28">
        <v>3</v>
      </c>
      <c r="R42" s="202">
        <f>P42*N39+P41*N40+P40*N41+P39*N42</f>
        <v>1.6344083581618052E-5</v>
      </c>
      <c r="S42" s="72">
        <v>3</v>
      </c>
      <c r="T42" s="203">
        <f t="shared" si="33"/>
        <v>3.8068172229039952E-7</v>
      </c>
      <c r="U42" s="138">
        <v>3</v>
      </c>
      <c r="V42" s="86">
        <f>R42*T39+R41*T40+R40*T41+R39*T42</f>
        <v>1.6347885715547649E-5</v>
      </c>
      <c r="W42" s="205"/>
      <c r="X42" s="28">
        <v>3</v>
      </c>
      <c r="Y42" s="202"/>
      <c r="Z42" s="28">
        <v>3</v>
      </c>
      <c r="AA42" s="204"/>
      <c r="AB42" s="28">
        <v>3</v>
      </c>
      <c r="AC42" s="204"/>
      <c r="AD42" s="28">
        <v>3</v>
      </c>
      <c r="AE42" s="204">
        <f>((($W$39)^M42)*((1-($W$39))^($U$28-M42))*HLOOKUP($U$28,$AV$24:$BF$34,M42+1))*V42</f>
        <v>7.8542405189005201E-8</v>
      </c>
      <c r="AF42" s="28">
        <v>3</v>
      </c>
      <c r="AG42" s="204">
        <f>((($W$39)^M42)*((1-($W$39))^($U$29-M42))*HLOOKUP($U$29,$AV$24:$BF$34,M42+1))*V43</f>
        <v>3.7035984188357492E-6</v>
      </c>
      <c r="AH42" s="28">
        <v>3</v>
      </c>
      <c r="AI42" s="204">
        <f>((($W$39)^M42)*((1-($W$39))^($U$30-M42))*HLOOKUP($U$30,$AV$24:$BF$34,M42+1))*V44</f>
        <v>7.4848734537525462E-5</v>
      </c>
      <c r="AJ42" s="28">
        <v>3</v>
      </c>
      <c r="AK42" s="204">
        <f>((($W$39)^M42)*((1-($W$39))^($U$31-M42))*HLOOKUP($U$31,$AV$24:$BF$34,M42+1))*V45</f>
        <v>8.4042855846098432E-4</v>
      </c>
      <c r="AL42" s="28">
        <v>3</v>
      </c>
      <c r="AM42" s="204">
        <f>((($W$39)^Q42)*((1-($W$39))^($U$32-Q42))*HLOOKUP($U$32,$AV$24:$BF$34,Q42+1))*V46</f>
        <v>5.6626261440250016E-3</v>
      </c>
      <c r="AN42" s="28">
        <v>3</v>
      </c>
      <c r="AO42" s="204">
        <f>((($W$39)^Q42)*((1-($W$39))^($U$33-Q42))*HLOOKUP($U$33,$AV$24:$BF$34,Q42+1))*V47</f>
        <v>2.2897352667475408E-2</v>
      </c>
      <c r="AP42" s="28">
        <v>3</v>
      </c>
      <c r="AQ42" s="204">
        <f>((($W$39)^Q42)*((1-($W$39))^($U$34-Q42))*HLOOKUP($U$34,$AV$24:$BF$34,Q42+1))*V48</f>
        <v>5.1466884365385136E-2</v>
      </c>
      <c r="AR42" s="28">
        <v>3</v>
      </c>
      <c r="AS42" s="204">
        <f>((($W$39)^Q42)*((1-($W$39))^($U$35-Q42))*HLOOKUP($U$35,$AV$24:$BF$34,Q42+1))*V49</f>
        <v>4.914291410028078E-2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1.3928808247503976E-6</v>
      </c>
      <c r="BQ42" s="31">
        <f t="shared" si="31"/>
        <v>9</v>
      </c>
      <c r="BR42" s="31">
        <v>3</v>
      </c>
      <c r="BS42" s="107">
        <f t="shared" si="32"/>
        <v>5.8879996198223917E-6</v>
      </c>
    </row>
    <row r="43" spans="1:71" ht="15" customHeight="1" x14ac:dyDescent="0.25">
      <c r="G43" s="91">
        <v>4</v>
      </c>
      <c r="H43" s="130">
        <f>J43*L39+J42*L40+J41*L41+J40*L42</f>
        <v>8.1747496934640049E-2</v>
      </c>
      <c r="I43" s="138">
        <v>4</v>
      </c>
      <c r="J43" s="86">
        <f t="shared" si="29"/>
        <v>4.0223337150499298E-2</v>
      </c>
      <c r="K43" s="95">
        <v>4</v>
      </c>
      <c r="L43" s="86"/>
      <c r="M43" s="85">
        <v>4</v>
      </c>
      <c r="N43" s="201">
        <f>(($C$24)^M29)*((1-($C$24))^($B$21-M29))*HLOOKUP($B$21,$AV$24:$BF$34,M29+1)</f>
        <v>0.34485562099030631</v>
      </c>
      <c r="O43" s="72">
        <v>4</v>
      </c>
      <c r="P43" s="201">
        <f t="shared" si="30"/>
        <v>0.34485562099030631</v>
      </c>
      <c r="Q43" s="28">
        <v>4</v>
      </c>
      <c r="R43" s="202">
        <f>P43*N39+P42*N40+P41*N41+P40*N42+P39*N43</f>
        <v>2.3175530250495982E-4</v>
      </c>
      <c r="S43" s="72">
        <v>4</v>
      </c>
      <c r="T43" s="203">
        <f t="shared" si="33"/>
        <v>2.5506313051283046E-9</v>
      </c>
      <c r="U43" s="138">
        <v>4</v>
      </c>
      <c r="V43" s="86">
        <f>T43*R39+T42*R40+T41*R41+T40*R42+T39*R43</f>
        <v>2.3183747178800283E-4</v>
      </c>
      <c r="W43" s="205"/>
      <c r="X43" s="28">
        <v>4</v>
      </c>
      <c r="Y43" s="202"/>
      <c r="Z43" s="28">
        <v>4</v>
      </c>
      <c r="AA43" s="204"/>
      <c r="AB43" s="28">
        <v>4</v>
      </c>
      <c r="AC43" s="204"/>
      <c r="AD43" s="28">
        <v>4</v>
      </c>
      <c r="AE43" s="204"/>
      <c r="AF43" s="28">
        <v>4</v>
      </c>
      <c r="AG43" s="204">
        <f>((($W$39)^M43)*((1-($W$39))^($U$29-M43))*HLOOKUP($U$29,$AV$24:$BF$34,M43+1))*V43</f>
        <v>1.8794918063277528E-7</v>
      </c>
      <c r="AH43" s="28">
        <v>4</v>
      </c>
      <c r="AI43" s="204">
        <f>((($W$39)^M43)*((1-($W$39))^($U$30-M43))*HLOOKUP($U$30,$AV$24:$BF$34,M43+1))*V44</f>
        <v>7.5968054507109951E-6</v>
      </c>
      <c r="AJ43" s="28">
        <v>4</v>
      </c>
      <c r="AK43" s="204">
        <f>((($W$39)^M43)*((1-($W$39))^($U$31-M43))*HLOOKUP($U$31,$AV$24:$BF$34,M43+1))*V45</f>
        <v>1.2794950295349374E-4</v>
      </c>
      <c r="AL43" s="28">
        <v>4</v>
      </c>
      <c r="AM43" s="204">
        <f>((($W$39)^Q43)*((1-($W$39))^($U$32-Q43))*HLOOKUP($U$32,$AV$24:$BF$34,Q43+1))*V46</f>
        <v>1.1494614951626384E-3</v>
      </c>
      <c r="AN43" s="28">
        <v>4</v>
      </c>
      <c r="AO43" s="204">
        <f>((($W$39)^Q43)*((1-($W$39))^($U$33-Q43))*HLOOKUP($U$33,$AV$24:$BF$34,Q43+1))*V47</f>
        <v>5.809942366624808E-3</v>
      </c>
      <c r="AP43" s="28">
        <v>4</v>
      </c>
      <c r="AQ43" s="204">
        <f>((($W$39)^Q43)*((1-($W$39))^($U$34-Q43))*HLOOKUP($U$34,$AV$24:$BF$34,Q43+1))*V48</f>
        <v>1.567096264595029E-2</v>
      </c>
      <c r="AR43" s="28">
        <v>4</v>
      </c>
      <c r="AS43" s="204">
        <f>((($W$39)^Q43)*((1-($W$39))^($U$35-Q43))*HLOOKUP($U$35,$AV$24:$BF$34,Q43+1))*V49</f>
        <v>1.7457236385176725E-2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1.0224215919419611E-7</v>
      </c>
      <c r="BQ43" s="31">
        <f t="shared" si="31"/>
        <v>9</v>
      </c>
      <c r="BR43" s="31">
        <v>4</v>
      </c>
      <c r="BS43" s="107">
        <f t="shared" si="32"/>
        <v>2.5759565587111415E-6</v>
      </c>
    </row>
    <row r="44" spans="1:71" ht="15" customHeight="1" thickBot="1" x14ac:dyDescent="0.3">
      <c r="G44" s="91">
        <v>5</v>
      </c>
      <c r="H44" s="130">
        <f>J44*L39+J43*L40+J42*L41+J41*L42</f>
        <v>2.5899191723414393E-2</v>
      </c>
      <c r="I44" s="138">
        <v>5</v>
      </c>
      <c r="J44" s="86">
        <f t="shared" si="29"/>
        <v>8.5276422805123306E-3</v>
      </c>
      <c r="K44" s="95">
        <v>5</v>
      </c>
      <c r="L44" s="86"/>
      <c r="M44" s="85">
        <v>5</v>
      </c>
      <c r="N44" s="201">
        <f>(($C$24)^M30)*((1-($C$24))^($B$21-M30))*HLOOKUP($B$21,$AV$24:$BF$34,M30+1)</f>
        <v>0.55885399658298662</v>
      </c>
      <c r="O44" s="72">
        <v>5</v>
      </c>
      <c r="P44" s="201">
        <f t="shared" si="30"/>
        <v>0.55885399658298662</v>
      </c>
      <c r="Q44" s="28">
        <v>5</v>
      </c>
      <c r="R44" s="202">
        <f>P44*N39+P43*N40+P42*N41+P41*N42+P40*N43+P39*N44</f>
        <v>2.25341915545294E-3</v>
      </c>
      <c r="S44" s="72">
        <v>5</v>
      </c>
      <c r="T44" s="203">
        <f t="shared" si="33"/>
        <v>1.6021553424172769E-11</v>
      </c>
      <c r="U44" s="138">
        <v>5</v>
      </c>
      <c r="V44" s="86">
        <f>T44*R39+T43*R40+T42*R41+T41*R42+T40*R43+T39*R44</f>
        <v>2.2545845806889444E-3</v>
      </c>
      <c r="W44" s="205"/>
      <c r="X44" s="28">
        <v>5</v>
      </c>
      <c r="Y44" s="202"/>
      <c r="Z44" s="28">
        <v>5</v>
      </c>
      <c r="AA44" s="204"/>
      <c r="AB44" s="28">
        <v>5</v>
      </c>
      <c r="AC44" s="204"/>
      <c r="AD44" s="28">
        <v>5</v>
      </c>
      <c r="AE44" s="204"/>
      <c r="AF44" s="28">
        <v>5</v>
      </c>
      <c r="AG44" s="204"/>
      <c r="AH44" s="28">
        <v>5</v>
      </c>
      <c r="AI44" s="204">
        <f>((($W$39)^M44)*((1-($W$39))^($U$30-M44))*HLOOKUP($U$30,$AV$24:$BF$34,M44+1))*V44</f>
        <v>3.084164530638449E-7</v>
      </c>
      <c r="AJ44" s="28">
        <v>5</v>
      </c>
      <c r="AK44" s="204">
        <f>((($W$39)^M44)*((1-($W$39))^($U$31-M44))*HLOOKUP($U$31,$AV$24:$BF$34,M44+1))*V45</f>
        <v>1.0389033160907187E-5</v>
      </c>
      <c r="AL44" s="28">
        <v>5</v>
      </c>
      <c r="AM44" s="204">
        <f>((($W$39)^Q44)*((1-($W$39))^($U$32-Q44))*HLOOKUP($U$32,$AV$24:$BF$34,Q44+1))*V46</f>
        <v>1.3999812404239423E-4</v>
      </c>
      <c r="AN44" s="28">
        <v>5</v>
      </c>
      <c r="AO44" s="204">
        <f>((($W$39)^Q44)*((1-($W$39))^($U$33-Q44))*HLOOKUP($U$33,$AV$24:$BF$34,Q44+1))*V47</f>
        <v>9.4349227650792602E-4</v>
      </c>
      <c r="AP44" s="28">
        <v>5</v>
      </c>
      <c r="AQ44" s="204">
        <f>((($W$39)^Q44)*((1-($W$39))^($U$34-Q44))*HLOOKUP($U$34,$AV$24:$BF$34,Q44+1))*V48</f>
        <v>3.1810625839494484E-3</v>
      </c>
      <c r="AR44" s="28">
        <v>5</v>
      </c>
      <c r="AS44" s="204">
        <f>((($W$39)^Q44)*((1-($W$39))^($U$35-Q44))*HLOOKUP($U$35,$AV$24:$BF$34,Q44+1))*V49</f>
        <v>4.2523918463985922E-3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1.9570426260334941E-4</v>
      </c>
      <c r="BQ44" s="31">
        <f t="shared" si="31"/>
        <v>9</v>
      </c>
      <c r="BR44" s="31">
        <v>5</v>
      </c>
      <c r="BS44" s="107">
        <f t="shared" si="32"/>
        <v>8.1611297332550402E-7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6.1200645683164292E-3</v>
      </c>
      <c r="I45" s="138">
        <v>6</v>
      </c>
      <c r="J45" s="86">
        <f t="shared" si="29"/>
        <v>1.2553995563157297E-3</v>
      </c>
      <c r="K45" s="95">
        <v>6</v>
      </c>
      <c r="L45" s="86"/>
      <c r="M45" s="85"/>
      <c r="N45" s="202"/>
      <c r="O45" s="202"/>
      <c r="P45" s="202"/>
      <c r="Q45" s="28">
        <v>6</v>
      </c>
      <c r="R45" s="202">
        <f>P44*N40+P43*N41+P42*N42+P41*N43+P40*N44</f>
        <v>1.5215694921171722E-2</v>
      </c>
      <c r="S45" s="72">
        <v>6</v>
      </c>
      <c r="T45" s="203">
        <f t="shared" si="33"/>
        <v>9.6612382457323207E-14</v>
      </c>
      <c r="U45" s="138">
        <v>6</v>
      </c>
      <c r="V45" s="86">
        <f>T45*R39+T44*R40+T43*R41+T42*R42+T41*R43+T40*R44+T39*R45</f>
        <v>1.5227030346262245E-2</v>
      </c>
      <c r="W45" s="205"/>
      <c r="X45" s="28">
        <v>6</v>
      </c>
      <c r="Y45" s="202"/>
      <c r="Z45" s="28">
        <v>6</v>
      </c>
      <c r="AA45" s="204"/>
      <c r="AB45" s="28">
        <v>6</v>
      </c>
      <c r="AC45" s="204"/>
      <c r="AD45" s="28">
        <v>6</v>
      </c>
      <c r="AE45" s="204"/>
      <c r="AF45" s="28">
        <v>6</v>
      </c>
      <c r="AG45" s="204"/>
      <c r="AH45" s="28">
        <v>6</v>
      </c>
      <c r="AI45" s="204"/>
      <c r="AJ45" s="28">
        <v>6</v>
      </c>
      <c r="AK45" s="204">
        <f>((($W$39)^Q45)*((1-($W$39))^($U$31-Q45))*HLOOKUP($U$31,$AV$24:$BF$34,Q45+1))*V45</f>
        <v>3.5147984011597265E-7</v>
      </c>
      <c r="AL45" s="28">
        <v>6</v>
      </c>
      <c r="AM45" s="204">
        <f>((($W$39)^Q45)*((1-($W$39))^($U$32-Q45))*HLOOKUP($U$32,$AV$24:$BF$34,Q45+1))*V46</f>
        <v>9.472781055337406E-6</v>
      </c>
      <c r="AN45" s="28">
        <v>6</v>
      </c>
      <c r="AO45" s="204">
        <f>((($W$39)^Q45)*((1-($W$39))^($U$33-Q45))*HLOOKUP($U$33,$AV$24:$BF$34,Q45+1))*V47</f>
        <v>9.5760166329675122E-5</v>
      </c>
      <c r="AP45" s="28">
        <v>6</v>
      </c>
      <c r="AQ45" s="204">
        <f>((($W$39)^Q45)*((1-($W$39))^($U$34-Q45))*HLOOKUP($U$34,$AV$24:$BF$34,Q45+1))*V48</f>
        <v>4.3048447380557693E-4</v>
      </c>
      <c r="AR45" s="28">
        <v>6</v>
      </c>
      <c r="AS45" s="204">
        <f>((($W$39)^Q45)*((1-($W$39))^($U$35-Q45))*HLOOKUP($U$35,$AV$24:$BF$34,Q45+1))*V49</f>
        <v>7.1933065528502428E-4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3.4957820865677946E-5</v>
      </c>
      <c r="BQ45" s="31">
        <f t="shared" si="31"/>
        <v>9</v>
      </c>
      <c r="BR45" s="31">
        <v>6</v>
      </c>
      <c r="BS45" s="107">
        <f t="shared" si="32"/>
        <v>1.9285019181804498E-7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1.0932011291915865E-3</v>
      </c>
      <c r="I46" s="138">
        <v>7</v>
      </c>
      <c r="J46" s="86">
        <f t="shared" si="29"/>
        <v>1.2671761577276046E-4</v>
      </c>
      <c r="K46" s="95">
        <v>7</v>
      </c>
      <c r="L46" s="86"/>
      <c r="M46" s="85"/>
      <c r="N46" s="202"/>
      <c r="O46" s="202"/>
      <c r="P46" s="202"/>
      <c r="Q46" s="28">
        <v>7</v>
      </c>
      <c r="R46" s="202">
        <f>P44*N41+P43*N42+P42*N43+P41*N44</f>
        <v>7.0450616762587515E-2</v>
      </c>
      <c r="S46" s="72">
        <v>7</v>
      </c>
      <c r="T46" s="203">
        <f t="shared" si="33"/>
        <v>5.6640425226236405E-16</v>
      </c>
      <c r="U46" s="138">
        <v>7</v>
      </c>
      <c r="V46" s="86">
        <f>T46*R39+T45*R40+T44*R41+T43*R42+T42*R43+T41*R44+T40*R45+T39*R46</f>
        <v>7.0527191435526937E-2</v>
      </c>
      <c r="W46" s="205"/>
      <c r="X46" s="28">
        <v>7</v>
      </c>
      <c r="Y46" s="202"/>
      <c r="Z46" s="28">
        <v>7</v>
      </c>
      <c r="AA46" s="204"/>
      <c r="AB46" s="28">
        <v>7</v>
      </c>
      <c r="AC46" s="204"/>
      <c r="AD46" s="28">
        <v>7</v>
      </c>
      <c r="AE46" s="204"/>
      <c r="AF46" s="28">
        <v>7</v>
      </c>
      <c r="AG46" s="204"/>
      <c r="AH46" s="28">
        <v>7</v>
      </c>
      <c r="AI46" s="204"/>
      <c r="AJ46" s="28">
        <v>7</v>
      </c>
      <c r="AK46" s="204"/>
      <c r="AL46" s="28">
        <v>7</v>
      </c>
      <c r="AM46" s="204">
        <f>((($W$39)^Q46)*((1-($W$39))^($U$32-Q46))*HLOOKUP($U$32,$AV$24:$BF$34,Q46+1))*V46</f>
        <v>2.7469831635086595E-7</v>
      </c>
      <c r="AN46" s="28">
        <v>7</v>
      </c>
      <c r="AO46" s="204">
        <f>((($W$39)^Q46)*((1-($W$39))^($U$33-Q46))*HLOOKUP($U$33,$AV$24:$BF$34,Q46+1))*V47</f>
        <v>5.5538402736372957E-6</v>
      </c>
      <c r="AP46" s="28">
        <v>7</v>
      </c>
      <c r="AQ46" s="204">
        <f>((($W$39)^Q46)*((1-($W$39))^($U$34-Q46))*HLOOKUP($U$34,$AV$24:$BF$34,Q46+1))*V48</f>
        <v>3.7450467654253771E-5</v>
      </c>
      <c r="AR46" s="28">
        <v>7</v>
      </c>
      <c r="AS46" s="204">
        <f>((($W$39)^Q46)*((1-($W$39))^($U$35-Q46))*HLOOKUP($U$35,$AV$24:$BF$34,Q46+1))*V49</f>
        <v>8.3438609528518529E-5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4.7237924394608653E-6</v>
      </c>
      <c r="BQ46" s="31">
        <f t="shared" si="31"/>
        <v>9</v>
      </c>
      <c r="BR46" s="31">
        <v>7</v>
      </c>
      <c r="BS46" s="107">
        <f t="shared" si="32"/>
        <v>3.4448010328475421E-8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1.4772245812253804E-4</v>
      </c>
      <c r="I47" s="138">
        <v>8</v>
      </c>
      <c r="J47" s="86">
        <f t="shared" si="29"/>
        <v>8.3929272291716598E-6</v>
      </c>
      <c r="K47" s="95">
        <v>8</v>
      </c>
      <c r="L47" s="86"/>
      <c r="M47" s="85"/>
      <c r="N47" s="202"/>
      <c r="O47" s="202"/>
      <c r="P47" s="202"/>
      <c r="Q47" s="28">
        <v>8</v>
      </c>
      <c r="R47" s="202">
        <f>P44*N42+P43*N43+P42*N44</f>
        <v>0.21406571879149761</v>
      </c>
      <c r="S47" s="72">
        <v>8</v>
      </c>
      <c r="T47" s="203">
        <f t="shared" si="33"/>
        <v>3.2528600273502595E-18</v>
      </c>
      <c r="U47" s="138">
        <v>8</v>
      </c>
      <c r="V47" s="86">
        <f>T47*R39+T46*R40+T45*R41+T44*R42+T43*R43+T42*R44+T41*R45+T40*R46+T39*R47</f>
        <v>0.21442051129977163</v>
      </c>
      <c r="W47" s="205"/>
      <c r="X47" s="28">
        <v>8</v>
      </c>
      <c r="Y47" s="202"/>
      <c r="Z47" s="28">
        <v>8</v>
      </c>
      <c r="AA47" s="204"/>
      <c r="AB47" s="28">
        <v>8</v>
      </c>
      <c r="AC47" s="204"/>
      <c r="AD47" s="28">
        <v>8</v>
      </c>
      <c r="AE47" s="204"/>
      <c r="AF47" s="28">
        <v>8</v>
      </c>
      <c r="AG47" s="204"/>
      <c r="AH47" s="28">
        <v>8</v>
      </c>
      <c r="AI47" s="204"/>
      <c r="AJ47" s="28">
        <v>8</v>
      </c>
      <c r="AK47" s="204"/>
      <c r="AL47" s="28">
        <v>8</v>
      </c>
      <c r="AM47" s="204"/>
      <c r="AN47" s="28">
        <v>8</v>
      </c>
      <c r="AO47" s="204">
        <f>((($W$39)^Q47)*((1-($W$39))^($U$33-Q47))*HLOOKUP($U$33,$AV$24:$BF$34,Q47+1))*V47</f>
        <v>1.4092236937550806E-7</v>
      </c>
      <c r="AP47" s="28">
        <v>8</v>
      </c>
      <c r="AQ47" s="204">
        <f>((($W$39)^Q47)*((1-($W$39))^($U$34-Q47))*HLOOKUP($U$34,$AV$24:$BF$34,Q47+1))*V48</f>
        <v>1.9005258977683485E-6</v>
      </c>
      <c r="AR47" s="28">
        <v>8</v>
      </c>
      <c r="AS47" s="204">
        <f>((($W$39)^Q47)*((1-($W$39))^($U$35-Q47))*HLOOKUP($U$35,$AV$24:$BF$34,Q47+1))*V49</f>
        <v>6.3514789620278028E-6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4.7714800957769853E-7</v>
      </c>
      <c r="BQ47" s="31">
        <f>BM12+1</f>
        <v>9</v>
      </c>
      <c r="BR47" s="31">
        <v>8</v>
      </c>
      <c r="BS47" s="107">
        <f t="shared" si="32"/>
        <v>4.654902585872788E-9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1.4921374672240805E-5</v>
      </c>
      <c r="I48" s="138">
        <v>9</v>
      </c>
      <c r="J48" s="86">
        <f t="shared" si="29"/>
        <v>3.2937490135560538E-7</v>
      </c>
      <c r="K48" s="95">
        <v>9</v>
      </c>
      <c r="L48" s="86"/>
      <c r="M48" s="85"/>
      <c r="N48" s="202"/>
      <c r="O48" s="202"/>
      <c r="P48" s="202"/>
      <c r="Q48" s="28">
        <v>9</v>
      </c>
      <c r="R48" s="202">
        <f>P44*N43+P43*N44</f>
        <v>0.38544788406908076</v>
      </c>
      <c r="S48" s="72">
        <v>9</v>
      </c>
      <c r="T48" s="203">
        <f t="shared" si="33"/>
        <v>1.8389284074216291E-20</v>
      </c>
      <c r="U48" s="138">
        <v>9</v>
      </c>
      <c r="V48" s="86">
        <f>T48*R39+T47*R40+T46*R41+T45*R42+T44*R43+T43*R44+T42*R45+T41*R46+T40*R47+T39*R48</f>
        <v>0.38652715501888324</v>
      </c>
      <c r="W48" s="205"/>
      <c r="X48" s="28">
        <v>9</v>
      </c>
      <c r="Y48" s="202"/>
      <c r="Z48" s="28">
        <v>9</v>
      </c>
      <c r="AA48" s="204"/>
      <c r="AB48" s="28">
        <v>9</v>
      </c>
      <c r="AC48" s="204"/>
      <c r="AD48" s="28">
        <v>9</v>
      </c>
      <c r="AE48" s="204"/>
      <c r="AF48" s="28">
        <v>9</v>
      </c>
      <c r="AG48" s="204"/>
      <c r="AH48" s="28">
        <v>9</v>
      </c>
      <c r="AI48" s="204"/>
      <c r="AJ48" s="28">
        <v>9</v>
      </c>
      <c r="AK48" s="204"/>
      <c r="AL48" s="28">
        <v>9</v>
      </c>
      <c r="AM48" s="204"/>
      <c r="AN48" s="28">
        <v>9</v>
      </c>
      <c r="AO48" s="204"/>
      <c r="AP48" s="28">
        <v>9</v>
      </c>
      <c r="AQ48" s="204">
        <f>((($W$39)^Q48)*((1-($W$39))^($U$34-Q48))*HLOOKUP($U$34,$AV$24:$BF$34,Q48+1))*V48</f>
        <v>4.2865492764522983E-8</v>
      </c>
      <c r="AR48" s="28">
        <v>9</v>
      </c>
      <c r="AS48" s="204">
        <f>((($W$39)^Q48)*((1-($W$39))^($U$35-Q48))*HLOOKUP($U$35,$AV$24:$BF$34,Q48+1))*V49</f>
        <v>2.8650940859108237E-7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3.5024276224908911E-8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1.095279321480267E-6</v>
      </c>
      <c r="I49" s="94">
        <v>10</v>
      </c>
      <c r="J49" s="89">
        <f t="shared" si="29"/>
        <v>5.8158798550521929E-9</v>
      </c>
      <c r="K49" s="96">
        <v>10</v>
      </c>
      <c r="L49" s="89"/>
      <c r="M49" s="85"/>
      <c r="N49" s="202"/>
      <c r="O49" s="202"/>
      <c r="P49" s="202"/>
      <c r="Q49" s="28">
        <v>10</v>
      </c>
      <c r="R49" s="202">
        <f>P44*N44</f>
        <v>0.3123177894967768</v>
      </c>
      <c r="S49" s="72">
        <v>10</v>
      </c>
      <c r="T49" s="203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0.31079456443847087</v>
      </c>
      <c r="W49" s="205"/>
      <c r="X49" s="28">
        <v>10</v>
      </c>
      <c r="Y49" s="202"/>
      <c r="Z49" s="28">
        <v>10</v>
      </c>
      <c r="AA49" s="204"/>
      <c r="AB49" s="28">
        <v>10</v>
      </c>
      <c r="AC49" s="204"/>
      <c r="AD49" s="28">
        <v>10</v>
      </c>
      <c r="AE49" s="204"/>
      <c r="AF49" s="28">
        <v>10</v>
      </c>
      <c r="AG49" s="204"/>
      <c r="AH49" s="28">
        <v>10</v>
      </c>
      <c r="AI49" s="204"/>
      <c r="AJ49" s="28">
        <v>10</v>
      </c>
      <c r="AK49" s="204"/>
      <c r="AL49" s="28">
        <v>10</v>
      </c>
      <c r="AM49" s="204"/>
      <c r="AN49" s="28">
        <v>10</v>
      </c>
      <c r="AO49" s="204"/>
      <c r="AP49" s="28">
        <v>10</v>
      </c>
      <c r="AQ49" s="204"/>
      <c r="AR49" s="28">
        <v>10</v>
      </c>
      <c r="AS49" s="204">
        <f>((($W$39)^Q49)*((1-($W$39))^($U$35-Q49))*HLOOKUP($U$35,$AV$24:$BF$34,Q49+1))*V49</f>
        <v>5.8158798550521929E-9</v>
      </c>
      <c r="BI49" s="31">
        <f>BQ14+1</f>
        <v>6</v>
      </c>
      <c r="BJ49" s="31">
        <v>0</v>
      </c>
      <c r="BK49" s="107">
        <f>$H$31*H39</f>
        <v>1.0334227166128212E-3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08"/>
      <c r="H50" s="77"/>
      <c r="I50" s="296"/>
      <c r="J50" s="296"/>
      <c r="K50" s="77"/>
      <c r="L50" s="77"/>
      <c r="O50" s="195"/>
      <c r="P50" s="195"/>
      <c r="Q50" s="195"/>
      <c r="R50" s="195"/>
      <c r="S50" s="208"/>
      <c r="T50" s="208"/>
      <c r="U50" s="208"/>
      <c r="V50" s="77"/>
      <c r="W50" s="296"/>
      <c r="X50" s="158"/>
      <c r="Y50" s="158"/>
      <c r="BI50" s="31">
        <f>BI45+1</f>
        <v>6</v>
      </c>
      <c r="BJ50" s="31">
        <v>7</v>
      </c>
      <c r="BK50" s="107">
        <f>$H$31*H46</f>
        <v>9.0580985928646874E-6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1.2240058616146669E-6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1.2363624525541831E-7</v>
      </c>
    </row>
    <row r="53" spans="1:63" x14ac:dyDescent="0.25">
      <c r="BI53" s="31">
        <f>BI48+1</f>
        <v>6</v>
      </c>
      <c r="BJ53" s="31">
        <v>10</v>
      </c>
      <c r="BK53" s="107">
        <f>$H$31*H49</f>
        <v>9.0753181786692858E-9</v>
      </c>
    </row>
    <row r="54" spans="1:63" x14ac:dyDescent="0.25">
      <c r="BI54" s="31">
        <f>BI51+1</f>
        <v>7</v>
      </c>
      <c r="BJ54" s="31">
        <v>8</v>
      </c>
      <c r="BK54" s="107">
        <f>$H$32*H47</f>
        <v>2.4493611093103055E-7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2.4740879135193814E-8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1.8160641299647044E-9</v>
      </c>
    </row>
    <row r="57" spans="1:63" x14ac:dyDescent="0.25">
      <c r="BI57" s="31">
        <f>BI55+1</f>
        <v>8</v>
      </c>
      <c r="BJ57" s="31">
        <v>9</v>
      </c>
      <c r="BK57" s="107">
        <f>$H$33*H48</f>
        <v>3.8629675261287678E-9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2.8355486969909532E-10</v>
      </c>
    </row>
    <row r="59" spans="1:63" x14ac:dyDescent="0.25">
      <c r="BI59" s="31">
        <f>BI58+1</f>
        <v>9</v>
      </c>
      <c r="BJ59" s="31">
        <v>10</v>
      </c>
      <c r="BK59" s="107">
        <f>$H$34*H49</f>
        <v>3.4513496529974283E-11</v>
      </c>
    </row>
  </sheetData>
  <mergeCells count="1"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tabSelected="1" zoomScale="90" zoomScaleNormal="90" workbookViewId="0">
      <selection activeCell="H6" sqref="H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6" t="s">
        <v>143</v>
      </c>
      <c r="B1" s="31" t="s">
        <v>0</v>
      </c>
      <c r="E1" s="276">
        <v>1.5</v>
      </c>
      <c r="F1" s="276">
        <v>2.5</v>
      </c>
      <c r="G1" s="276">
        <v>3.5</v>
      </c>
      <c r="H1" s="212"/>
      <c r="I1" s="211"/>
      <c r="J1" s="213"/>
      <c r="K1" s="212"/>
      <c r="L1" s="212"/>
      <c r="M1" s="212"/>
      <c r="N1" s="212">
        <f>COUNTIF(B17:C17,"JC")</f>
        <v>0</v>
      </c>
      <c r="O1" s="211"/>
      <c r="P1" s="212">
        <f>COUNTIF(F5:H5,"CAB")+COUNTIF(E4:I4,"CAB")</f>
        <v>0</v>
      </c>
      <c r="Q1" s="294">
        <f>COUNTIF(F10:H10,"CAB")+COUNTIF(E9:I9,"CAB")</f>
        <v>0</v>
      </c>
      <c r="R1" s="293"/>
      <c r="S1" s="214"/>
      <c r="T1" s="214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5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71" ht="15.75" x14ac:dyDescent="0.25">
      <c r="A2" s="286" t="s">
        <v>145</v>
      </c>
      <c r="B2" s="31" t="s">
        <v>0</v>
      </c>
      <c r="E2" s="236"/>
      <c r="F2" s="236"/>
      <c r="G2" s="236"/>
      <c r="H2" s="236"/>
      <c r="I2" s="236"/>
      <c r="J2" s="236"/>
      <c r="K2" s="236"/>
      <c r="L2" s="236"/>
      <c r="M2" s="236"/>
      <c r="N2" s="252">
        <f>SUM(N4:N15)</f>
        <v>3.9000000000000004</v>
      </c>
      <c r="O2" s="236"/>
      <c r="P2" s="238"/>
      <c r="Q2" s="238"/>
      <c r="R2" s="189">
        <f>SUM(R4:R15)</f>
        <v>2.62</v>
      </c>
      <c r="S2" s="189">
        <f>SUM(S4:S15)</f>
        <v>3.9000000000000004</v>
      </c>
      <c r="T2" s="247">
        <f t="shared" ref="T2:U2" si="0">SUM(T4:T15)</f>
        <v>1.2862509980670949</v>
      </c>
      <c r="U2" s="247">
        <f t="shared" si="0"/>
        <v>0.33481174498797883</v>
      </c>
      <c r="V2" s="158"/>
      <c r="W2" s="158"/>
      <c r="X2" s="281">
        <f t="shared" ref="X2:Y2" si="1">SUM(X4:X15)</f>
        <v>0.70892988524738421</v>
      </c>
      <c r="Y2" s="282">
        <f t="shared" si="1"/>
        <v>0.17507307411605594</v>
      </c>
      <c r="Z2" s="211"/>
      <c r="AA2" s="217" t="s">
        <v>19</v>
      </c>
      <c r="AB2" s="217" t="s">
        <v>20</v>
      </c>
      <c r="AC2" s="217" t="s">
        <v>21</v>
      </c>
      <c r="AD2" s="217" t="s">
        <v>22</v>
      </c>
      <c r="AE2" s="285"/>
      <c r="AF2" s="211"/>
      <c r="AG2" s="218" t="s">
        <v>24</v>
      </c>
      <c r="AH2" s="218" t="s">
        <v>20</v>
      </c>
      <c r="AI2" s="218" t="s">
        <v>21</v>
      </c>
      <c r="AJ2" s="218" t="s">
        <v>22</v>
      </c>
      <c r="AK2" s="220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</row>
    <row r="3" spans="1:71" ht="15.75" x14ac:dyDescent="0.25">
      <c r="A3" s="157" t="s">
        <v>4</v>
      </c>
      <c r="B3" s="300" t="s">
        <v>5</v>
      </c>
      <c r="C3" s="300"/>
      <c r="D3" s="31" t="str">
        <f>IF(B3="Sol","SI",IF(B3="Lluvia","SI","NO"))</f>
        <v>SI</v>
      </c>
      <c r="E3" s="239"/>
      <c r="F3" s="240"/>
      <c r="G3" s="270" t="s">
        <v>157</v>
      </c>
      <c r="H3" s="239"/>
      <c r="I3" s="239"/>
      <c r="J3" s="236"/>
      <c r="K3" s="248" t="s">
        <v>161</v>
      </c>
      <c r="L3" s="248" t="s">
        <v>162</v>
      </c>
      <c r="M3" s="248" t="s">
        <v>28</v>
      </c>
      <c r="N3" s="248" t="s">
        <v>28</v>
      </c>
      <c r="O3" s="248" t="s">
        <v>163</v>
      </c>
      <c r="P3" s="253" t="s">
        <v>164</v>
      </c>
      <c r="Q3" s="255" t="s">
        <v>165</v>
      </c>
      <c r="R3" s="248" t="s">
        <v>28</v>
      </c>
      <c r="S3" s="248" t="s">
        <v>166</v>
      </c>
      <c r="T3" s="253" t="s">
        <v>167</v>
      </c>
      <c r="U3" s="255" t="s">
        <v>168</v>
      </c>
      <c r="V3" s="253" t="s">
        <v>169</v>
      </c>
      <c r="W3" s="255" t="s">
        <v>170</v>
      </c>
      <c r="X3" s="277" t="s">
        <v>171</v>
      </c>
      <c r="Y3" s="278" t="s">
        <v>172</v>
      </c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6"/>
      <c r="AO3" s="216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71" ht="15.75" x14ac:dyDescent="0.25">
      <c r="A4" s="122"/>
      <c r="B4" s="8" t="s">
        <v>9</v>
      </c>
      <c r="C4" s="9" t="s">
        <v>10</v>
      </c>
      <c r="D4" s="158"/>
      <c r="E4" s="270" t="s">
        <v>37</v>
      </c>
      <c r="F4" s="270" t="s">
        <v>157</v>
      </c>
      <c r="G4" s="270" t="s">
        <v>157</v>
      </c>
      <c r="H4" s="270" t="s">
        <v>157</v>
      </c>
      <c r="I4" s="270" t="s">
        <v>37</v>
      </c>
      <c r="J4" s="236"/>
      <c r="K4" s="237">
        <v>5</v>
      </c>
      <c r="L4" s="237">
        <v>6</v>
      </c>
      <c r="M4" s="250">
        <v>0.45</v>
      </c>
      <c r="N4" s="250">
        <f>IF($N$1=2,M4*$G$1/$E$1,IF($N$1=1,M4*$F$1/$E$1,M4))</f>
        <v>0.45</v>
      </c>
      <c r="O4" s="237" t="s">
        <v>173</v>
      </c>
      <c r="P4" s="240">
        <f>COUNTIF(E3:I4,"IMP")</f>
        <v>2</v>
      </c>
      <c r="Q4" s="242">
        <f>COUNTIF(E8:I9,"IMP")</f>
        <v>0</v>
      </c>
      <c r="R4" s="249">
        <f t="shared" ref="R4:R14" si="2">IF(P4+Q4=0,0,N4)</f>
        <v>0.45</v>
      </c>
      <c r="S4" s="249">
        <f t="shared" ref="S4:S15" si="3">R4*$N$2/$R$2</f>
        <v>0.66984732824427484</v>
      </c>
      <c r="T4" s="254">
        <f>IF(S4=0,0,S4*(P4^2.7/(P4^2.7+Q4^2.7))*P4/L4)</f>
        <v>0.22328244274809161</v>
      </c>
      <c r="U4" s="256">
        <f>IF(S4=0,0,S4*Q4^2.7/(P4^2.7+Q4^2.7)*Q4/L4)</f>
        <v>0</v>
      </c>
      <c r="V4" s="246">
        <f>$G$17</f>
        <v>0.56999999999999995</v>
      </c>
      <c r="W4" s="244">
        <f>$H$17</f>
        <v>0.56999999999999995</v>
      </c>
      <c r="X4" s="279">
        <f>V4*T4</f>
        <v>0.12727099236641221</v>
      </c>
      <c r="Y4" s="280">
        <f>W4*U4</f>
        <v>0</v>
      </c>
      <c r="Z4" s="218"/>
      <c r="AA4" s="272">
        <f t="shared" ref="AA4:AA14" si="4">X5</f>
        <v>0</v>
      </c>
      <c r="AB4" s="273">
        <f t="shared" ref="AB4:AB15" si="5">(1-AA4)</f>
        <v>1</v>
      </c>
      <c r="AC4" s="273">
        <f>AA4*AB3*PRODUCT(AB5:AB17)</f>
        <v>0</v>
      </c>
      <c r="AD4" s="273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11"/>
      <c r="AF4" s="218"/>
      <c r="AG4" s="274">
        <f>Y4</f>
        <v>0</v>
      </c>
      <c r="AH4" s="275">
        <f t="shared" ref="AH4:AH15" si="6">(1-AG4)</f>
        <v>1</v>
      </c>
      <c r="AI4" s="275">
        <f>AG4*AH3*PRODUCT(AH5:AH17)</f>
        <v>0</v>
      </c>
      <c r="AJ4" s="275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11"/>
      <c r="AL4" s="218"/>
      <c r="AM4" s="218"/>
      <c r="AN4" s="212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I4" s="31">
        <v>0</v>
      </c>
      <c r="BJ4" s="31">
        <v>1</v>
      </c>
      <c r="BK4" s="107">
        <f t="shared" ref="BK4:BK13" si="7">$H$25*H40</f>
        <v>8.3162298987796771E-3</v>
      </c>
      <c r="BM4" s="31">
        <v>0</v>
      </c>
      <c r="BN4" s="31">
        <v>0</v>
      </c>
      <c r="BO4" s="107">
        <f>H25*H39</f>
        <v>1.5796830596982604E-3</v>
      </c>
      <c r="BQ4" s="31">
        <v>1</v>
      </c>
      <c r="BR4" s="31">
        <v>0</v>
      </c>
      <c r="BS4" s="107">
        <f>$H$26*H39</f>
        <v>3.7050562237938068E-3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0" t="s">
        <v>1</v>
      </c>
      <c r="F5" s="270" t="s">
        <v>1</v>
      </c>
      <c r="G5" s="270" t="s">
        <v>157</v>
      </c>
      <c r="H5" s="270" t="s">
        <v>2</v>
      </c>
      <c r="I5" s="270" t="s">
        <v>1</v>
      </c>
      <c r="J5" s="236"/>
      <c r="K5" s="237">
        <v>6</v>
      </c>
      <c r="L5" s="237">
        <v>8</v>
      </c>
      <c r="M5" s="250">
        <v>0.35</v>
      </c>
      <c r="N5" s="250">
        <f t="shared" ref="N5:N15" si="8">IF($N$1=2,M5*$G$1/$E$1,IF($N$1=1,M5*$F$1/$E$1,M5))</f>
        <v>0.35</v>
      </c>
      <c r="O5" s="237" t="s">
        <v>174</v>
      </c>
      <c r="P5" s="240">
        <f>COUNTIF(E5:I6,"IMP")</f>
        <v>0</v>
      </c>
      <c r="Q5" s="242">
        <f>COUNTIF(E10:I11,"IMP")</f>
        <v>1</v>
      </c>
      <c r="R5" s="249">
        <f t="shared" si="2"/>
        <v>0.35</v>
      </c>
      <c r="S5" s="249">
        <f t="shared" si="3"/>
        <v>0.52099236641221369</v>
      </c>
      <c r="T5" s="254">
        <f t="shared" ref="T5:T9" si="9">IF(S5=0,0,S5*(P5^2.7/(P5^2.7+Q5^2.7))*P5/L5)</f>
        <v>0</v>
      </c>
      <c r="U5" s="256">
        <f t="shared" ref="U5:U9" si="10">IF(S5=0,0,S5*Q5^2.7/(P5^2.7+Q5^2.7)*Q5/L5)</f>
        <v>6.5124045801526712E-2</v>
      </c>
      <c r="V5" s="246">
        <f>$G$17</f>
        <v>0.56999999999999995</v>
      </c>
      <c r="W5" s="244">
        <f>$H$17</f>
        <v>0.56999999999999995</v>
      </c>
      <c r="X5" s="279">
        <f t="shared" ref="X5:Y15" si="11">V5*T5</f>
        <v>0</v>
      </c>
      <c r="Y5" s="280">
        <f t="shared" si="11"/>
        <v>3.7120706106870224E-2</v>
      </c>
      <c r="Z5" s="227"/>
      <c r="AA5" s="272">
        <f t="shared" si="4"/>
        <v>4.0189206213250464E-2</v>
      </c>
      <c r="AB5" s="273">
        <f t="shared" si="5"/>
        <v>0.95981079378674949</v>
      </c>
      <c r="AC5" s="273">
        <f>AA5*PRODUCT(AB3:AB4)*PRODUCT(AB6:AB17)</f>
        <v>2.2148624087331849E-2</v>
      </c>
      <c r="AD5" s="273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1.4590581333671396E-2</v>
      </c>
      <c r="AE5" s="211"/>
      <c r="AF5" s="225"/>
      <c r="AG5" s="274">
        <f t="shared" ref="AG5:AG15" si="12">Y5</f>
        <v>3.7120706106870224E-2</v>
      </c>
      <c r="AH5" s="275">
        <f t="shared" si="6"/>
        <v>0.96287929389312976</v>
      </c>
      <c r="AI5" s="275">
        <f>AG5*PRODUCT(AH3:AH4)*PRODUCT(AH6:AH17)</f>
        <v>3.2195296153444207E-2</v>
      </c>
      <c r="AJ5" s="275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4.7317309940513013E-3</v>
      </c>
      <c r="AK5" s="211"/>
      <c r="AL5" s="228"/>
      <c r="AM5" s="211"/>
      <c r="AN5" s="216"/>
      <c r="AO5" s="230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I5" s="31">
        <v>0</v>
      </c>
      <c r="BJ5" s="31">
        <v>2</v>
      </c>
      <c r="BK5" s="107">
        <f t="shared" si="7"/>
        <v>1.9852164924204888E-2</v>
      </c>
      <c r="BM5" s="31">
        <v>1</v>
      </c>
      <c r="BN5" s="31">
        <v>1</v>
      </c>
      <c r="BO5" s="107">
        <f>$H$26*H40</f>
        <v>1.950524135573074E-2</v>
      </c>
      <c r="BQ5" s="31">
        <f>BQ4+1</f>
        <v>2</v>
      </c>
      <c r="BR5" s="31">
        <v>0</v>
      </c>
      <c r="BS5" s="107">
        <f>$H$27*H39</f>
        <v>4.0147714189436579E-3</v>
      </c>
    </row>
    <row r="6" spans="1:71" ht="15.75" x14ac:dyDescent="0.25">
      <c r="A6" s="2" t="s">
        <v>35</v>
      </c>
      <c r="B6" s="260">
        <v>13</v>
      </c>
      <c r="C6" s="261">
        <v>13</v>
      </c>
      <c r="E6" s="239"/>
      <c r="F6" s="270" t="s">
        <v>157</v>
      </c>
      <c r="G6" s="270" t="s">
        <v>2</v>
      </c>
      <c r="H6" s="270" t="s">
        <v>1</v>
      </c>
      <c r="I6" s="239"/>
      <c r="J6" s="236"/>
      <c r="K6" s="237">
        <v>8</v>
      </c>
      <c r="L6" s="237">
        <v>13</v>
      </c>
      <c r="M6" s="250">
        <v>0.45</v>
      </c>
      <c r="N6" s="250">
        <f t="shared" si="8"/>
        <v>0.45</v>
      </c>
      <c r="O6" s="237" t="s">
        <v>37</v>
      </c>
      <c r="P6" s="240">
        <f>COUNTIF(E4:I6,"IMP")</f>
        <v>2</v>
      </c>
      <c r="Q6" s="242">
        <f>COUNTIF(E9:I11,"IMP")</f>
        <v>1</v>
      </c>
      <c r="R6" s="249">
        <f t="shared" si="2"/>
        <v>0.45</v>
      </c>
      <c r="S6" s="249">
        <f t="shared" si="3"/>
        <v>0.66984732824427484</v>
      </c>
      <c r="T6" s="254">
        <f t="shared" si="9"/>
        <v>8.9309347140556578E-2</v>
      </c>
      <c r="U6" s="256">
        <f t="shared" si="10"/>
        <v>6.8720439869736239E-3</v>
      </c>
      <c r="V6" s="246">
        <f>$G$18</f>
        <v>0.45</v>
      </c>
      <c r="W6" s="244">
        <f>$H$18</f>
        <v>0.45</v>
      </c>
      <c r="X6" s="279">
        <f t="shared" si="11"/>
        <v>4.0189206213250464E-2</v>
      </c>
      <c r="Y6" s="280">
        <f t="shared" si="11"/>
        <v>3.092419794138131E-3</v>
      </c>
      <c r="Z6" s="227"/>
      <c r="AA6" s="272">
        <f t="shared" si="4"/>
        <v>4.4668285915328552E-4</v>
      </c>
      <c r="AB6" s="273">
        <f t="shared" si="5"/>
        <v>0.99955331714084672</v>
      </c>
      <c r="AC6" s="273">
        <f>AA6*PRODUCT(AB3:AB5)*PRODUCT(AB7:AB17)</f>
        <v>2.363830195296129E-4</v>
      </c>
      <c r="AD6" s="273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1.5561354869531775E-4</v>
      </c>
      <c r="AE6" s="211"/>
      <c r="AF6" s="225"/>
      <c r="AG6" s="274">
        <f t="shared" si="12"/>
        <v>3.092419794138131E-3</v>
      </c>
      <c r="AH6" s="275">
        <f t="shared" si="6"/>
        <v>0.9969075802058619</v>
      </c>
      <c r="AI6" s="275">
        <f>AG6*PRODUCT(AH3:AH5)*PRODUCT(AH7:AH17)</f>
        <v>2.5905476762103333E-3</v>
      </c>
      <c r="AJ6" s="275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3.7269594070522892E-4</v>
      </c>
      <c r="AK6" s="211"/>
      <c r="AL6" s="228"/>
      <c r="AM6" s="211"/>
      <c r="AN6" s="216"/>
      <c r="AO6" s="230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I6" s="31">
        <v>0</v>
      </c>
      <c r="BJ6" s="31">
        <v>3</v>
      </c>
      <c r="BK6" s="107">
        <f t="shared" si="7"/>
        <v>2.8369975775629223E-2</v>
      </c>
      <c r="BM6" s="31">
        <f>BI14+1</f>
        <v>2</v>
      </c>
      <c r="BN6" s="31">
        <v>2</v>
      </c>
      <c r="BO6" s="107">
        <f>$H$27*H41</f>
        <v>5.0454364153957348E-2</v>
      </c>
      <c r="BQ6" s="31">
        <f>BM5+1</f>
        <v>2</v>
      </c>
      <c r="BR6" s="31">
        <v>1</v>
      </c>
      <c r="BS6" s="107">
        <f>$H$27*H40</f>
        <v>2.1135734732360075E-2</v>
      </c>
    </row>
    <row r="7" spans="1:71" ht="15.75" x14ac:dyDescent="0.25">
      <c r="A7" s="5" t="s">
        <v>40</v>
      </c>
      <c r="B7" s="260">
        <v>10</v>
      </c>
      <c r="C7" s="261">
        <v>12</v>
      </c>
      <c r="E7" s="238"/>
      <c r="F7" s="238"/>
      <c r="G7" s="238"/>
      <c r="H7" s="238"/>
      <c r="I7" s="238"/>
      <c r="J7" s="236"/>
      <c r="K7" s="237">
        <v>9</v>
      </c>
      <c r="L7" s="237">
        <v>8</v>
      </c>
      <c r="M7" s="250">
        <v>0.04</v>
      </c>
      <c r="N7" s="250">
        <f t="shared" si="8"/>
        <v>0.04</v>
      </c>
      <c r="O7" s="237" t="s">
        <v>175</v>
      </c>
      <c r="P7" s="240">
        <f>COUNTIF(E9:I9,"IMP")+COUNTIF(F10:H10,"IMP")</f>
        <v>1</v>
      </c>
      <c r="Q7" s="242">
        <f>COUNTIF(E4:I4,"IMP")+COUNTIF(F5:H5,"IMP")</f>
        <v>2</v>
      </c>
      <c r="R7" s="249">
        <f t="shared" si="2"/>
        <v>0.04</v>
      </c>
      <c r="S7" s="249">
        <f t="shared" si="3"/>
        <v>5.9541984732824432E-2</v>
      </c>
      <c r="T7" s="254">
        <f t="shared" si="9"/>
        <v>9.9262857589619007E-4</v>
      </c>
      <c r="U7" s="256">
        <f t="shared" si="10"/>
        <v>1.2900239031413727E-2</v>
      </c>
      <c r="V7" s="246">
        <f>$G$18</f>
        <v>0.45</v>
      </c>
      <c r="W7" s="244">
        <f>$H$18</f>
        <v>0.45</v>
      </c>
      <c r="X7" s="279">
        <f t="shared" si="11"/>
        <v>4.4668285915328552E-4</v>
      </c>
      <c r="Y7" s="280">
        <f t="shared" si="11"/>
        <v>5.8051075641361773E-3</v>
      </c>
      <c r="Z7" s="227"/>
      <c r="AA7" s="272">
        <f t="shared" si="4"/>
        <v>0.20721092938520011</v>
      </c>
      <c r="AB7" s="273">
        <f t="shared" si="5"/>
        <v>0.79278907061479986</v>
      </c>
      <c r="AC7" s="273">
        <f>AA7*PRODUCT(AB3:AB6)*PRODUCT(AB8:AB17)</f>
        <v>0.13825408035674083</v>
      </c>
      <c r="AD7" s="273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5.487877788116409E-2</v>
      </c>
      <c r="AE7" s="211"/>
      <c r="AF7" s="225"/>
      <c r="AG7" s="274">
        <f t="shared" si="12"/>
        <v>5.8051075641361773E-3</v>
      </c>
      <c r="AH7" s="275">
        <f t="shared" si="6"/>
        <v>0.99419489243586379</v>
      </c>
      <c r="AI7" s="275">
        <f>AG7*PRODUCT(AH3:AH6)*PRODUCT(AH8:AH17)</f>
        <v>4.8762592463966288E-3</v>
      </c>
      <c r="AJ7" s="275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6.7306333959686018E-4</v>
      </c>
      <c r="AK7" s="211"/>
      <c r="AL7" s="228"/>
      <c r="AM7" s="211"/>
      <c r="AN7" s="216"/>
      <c r="AO7" s="230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I7" s="31">
        <v>0</v>
      </c>
      <c r="BJ7" s="31">
        <v>4</v>
      </c>
      <c r="BK7" s="107">
        <f t="shared" si="7"/>
        <v>2.6979723652418474E-2</v>
      </c>
      <c r="BM7" s="31">
        <f>BI23+1</f>
        <v>3</v>
      </c>
      <c r="BN7" s="31">
        <v>3</v>
      </c>
      <c r="BO7" s="107">
        <f>$H$28*H42</f>
        <v>4.7885011327637526E-2</v>
      </c>
      <c r="BQ7" s="31">
        <f>BQ5+1</f>
        <v>3</v>
      </c>
      <c r="BR7" s="31">
        <v>0</v>
      </c>
      <c r="BS7" s="107">
        <f>$H$28*H39</f>
        <v>2.6663096861967838E-3</v>
      </c>
    </row>
    <row r="8" spans="1:71" ht="15.75" x14ac:dyDescent="0.25">
      <c r="A8" s="5" t="s">
        <v>44</v>
      </c>
      <c r="B8" s="260">
        <v>10</v>
      </c>
      <c r="C8" s="261">
        <v>12</v>
      </c>
      <c r="E8" s="241"/>
      <c r="F8" s="242"/>
      <c r="G8" s="271" t="s">
        <v>157</v>
      </c>
      <c r="H8" s="241"/>
      <c r="I8" s="241"/>
      <c r="J8" s="236"/>
      <c r="K8" s="237">
        <v>15</v>
      </c>
      <c r="L8" s="237">
        <v>8</v>
      </c>
      <c r="M8" s="250">
        <v>0.5</v>
      </c>
      <c r="N8" s="250">
        <f t="shared" si="8"/>
        <v>0.5</v>
      </c>
      <c r="O8" s="237" t="s">
        <v>176</v>
      </c>
      <c r="P8" s="240">
        <f>COUNTIF(E5:I6,"RAP")</f>
        <v>4</v>
      </c>
      <c r="Q8" s="242">
        <f>COUNTIF(E10:I11,"RAP")</f>
        <v>1</v>
      </c>
      <c r="R8" s="249">
        <f t="shared" si="2"/>
        <v>0.5</v>
      </c>
      <c r="S8" s="249">
        <f t="shared" si="3"/>
        <v>0.74427480916030542</v>
      </c>
      <c r="T8" s="254">
        <f t="shared" si="9"/>
        <v>0.36352794628982477</v>
      </c>
      <c r="U8" s="256">
        <f t="shared" si="10"/>
        <v>2.1523645725819904E-3</v>
      </c>
      <c r="V8" s="246">
        <f>$G$17</f>
        <v>0.56999999999999995</v>
      </c>
      <c r="W8" s="244">
        <f>$H$17</f>
        <v>0.56999999999999995</v>
      </c>
      <c r="X8" s="279">
        <f t="shared" si="11"/>
        <v>0.20721092938520011</v>
      </c>
      <c r="Y8" s="280">
        <f t="shared" si="11"/>
        <v>1.2268478063717345E-3</v>
      </c>
      <c r="Z8" s="227"/>
      <c r="AA8" s="272">
        <f t="shared" si="4"/>
        <v>0.20721092938520011</v>
      </c>
      <c r="AB8" s="273">
        <f t="shared" si="5"/>
        <v>0.79278907061479986</v>
      </c>
      <c r="AC8" s="273">
        <f>AA8*PRODUCT(AB3:AB7)*PRODUCT(AB9:AB17)</f>
        <v>0.13825408035674083</v>
      </c>
      <c r="AD8" s="273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1.8743369934886067E-2</v>
      </c>
      <c r="AE8" s="211"/>
      <c r="AF8" s="225"/>
      <c r="AG8" s="274">
        <f t="shared" si="12"/>
        <v>1.2268478063717345E-3</v>
      </c>
      <c r="AH8" s="275">
        <f t="shared" si="6"/>
        <v>0.99877315219362828</v>
      </c>
      <c r="AI8" s="275">
        <f>AG8*PRODUCT(AH3:AH7)*PRODUCT(AH9:AH17)</f>
        <v>1.0258216822381795E-3</v>
      </c>
      <c r="AJ8" s="275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1.4033267923035497E-4</v>
      </c>
      <c r="AK8" s="211"/>
      <c r="AL8" s="228"/>
      <c r="AM8" s="211"/>
      <c r="AN8" s="216"/>
      <c r="AO8" s="230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I8" s="31">
        <v>0</v>
      </c>
      <c r="BJ8" s="31">
        <v>5</v>
      </c>
      <c r="BK8" s="107">
        <f t="shared" si="7"/>
        <v>1.7946706186396207E-2</v>
      </c>
      <c r="BM8" s="31">
        <f>BI31+1</f>
        <v>4</v>
      </c>
      <c r="BN8" s="31">
        <v>4</v>
      </c>
      <c r="BO8" s="107">
        <f>$H$29*H43</f>
        <v>2.070346817336664E-2</v>
      </c>
      <c r="BQ8" s="31">
        <f>BQ6+1</f>
        <v>3</v>
      </c>
      <c r="BR8" s="31">
        <v>1</v>
      </c>
      <c r="BS8" s="107">
        <f>$H$28*H40</f>
        <v>1.4036767815938343E-2</v>
      </c>
    </row>
    <row r="9" spans="1:71" ht="15.75" x14ac:dyDescent="0.25">
      <c r="A9" s="5" t="s">
        <v>47</v>
      </c>
      <c r="B9" s="260">
        <v>10</v>
      </c>
      <c r="C9" s="261">
        <v>12</v>
      </c>
      <c r="E9" s="271" t="s">
        <v>157</v>
      </c>
      <c r="F9" s="271" t="s">
        <v>157</v>
      </c>
      <c r="G9" s="271" t="s">
        <v>157</v>
      </c>
      <c r="H9" s="271" t="s">
        <v>6</v>
      </c>
      <c r="I9" s="271" t="s">
        <v>157</v>
      </c>
      <c r="J9" s="236"/>
      <c r="K9" s="237">
        <v>16</v>
      </c>
      <c r="L9" s="237">
        <v>8</v>
      </c>
      <c r="M9" s="250">
        <v>0.5</v>
      </c>
      <c r="N9" s="250">
        <f t="shared" si="8"/>
        <v>0.5</v>
      </c>
      <c r="O9" s="237" t="s">
        <v>177</v>
      </c>
      <c r="P9" s="240">
        <f>COUNTIF(E5:I6,"RAP")</f>
        <v>4</v>
      </c>
      <c r="Q9" s="242">
        <f>COUNTIF(E10:I11,"RAP")</f>
        <v>1</v>
      </c>
      <c r="R9" s="249">
        <f t="shared" si="2"/>
        <v>0.5</v>
      </c>
      <c r="S9" s="249">
        <f t="shared" si="3"/>
        <v>0.74427480916030542</v>
      </c>
      <c r="T9" s="254">
        <f t="shared" si="9"/>
        <v>0.36352794628982477</v>
      </c>
      <c r="U9" s="256">
        <f t="shared" si="10"/>
        <v>2.1523645725819904E-3</v>
      </c>
      <c r="V9" s="246">
        <f>$G$17</f>
        <v>0.56999999999999995</v>
      </c>
      <c r="W9" s="244">
        <f>$H$17</f>
        <v>0.56999999999999995</v>
      </c>
      <c r="X9" s="279">
        <f t="shared" si="11"/>
        <v>0.20721092938520011</v>
      </c>
      <c r="Y9" s="280">
        <f t="shared" si="11"/>
        <v>1.2268478063717345E-3</v>
      </c>
      <c r="Z9" s="227"/>
      <c r="AA9" s="272">
        <f t="shared" si="4"/>
        <v>5.0238549618320617E-2</v>
      </c>
      <c r="AB9" s="273">
        <f t="shared" si="5"/>
        <v>0.94976145038167936</v>
      </c>
      <c r="AC9" s="273">
        <f>AA9*PRODUCT(AB3:AB8)*PRODUCT(AB10:AB17)</f>
        <v>2.7979858132493596E-2</v>
      </c>
      <c r="AD9" s="273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2.3132612168814777E-3</v>
      </c>
      <c r="AE9" s="211"/>
      <c r="AF9" s="225"/>
      <c r="AG9" s="274">
        <f t="shared" si="12"/>
        <v>1.2268478063717345E-3</v>
      </c>
      <c r="AH9" s="275">
        <f t="shared" si="6"/>
        <v>0.99877315219362828</v>
      </c>
      <c r="AI9" s="275">
        <f>AG9*PRODUCT(AH3:AH8)*PRODUCT(AH10:AH17)</f>
        <v>1.0258216822381797E-3</v>
      </c>
      <c r="AJ9" s="275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1.3907260623197858E-4</v>
      </c>
      <c r="AK9" s="211"/>
      <c r="AL9" s="228"/>
      <c r="AM9" s="211"/>
      <c r="AN9" s="216"/>
      <c r="AO9" s="230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I9" s="31">
        <v>0</v>
      </c>
      <c r="BJ9" s="31">
        <v>6</v>
      </c>
      <c r="BK9" s="107">
        <f t="shared" si="7"/>
        <v>8.5394713677579993E-3</v>
      </c>
      <c r="BM9" s="31">
        <f>BI38+1</f>
        <v>5</v>
      </c>
      <c r="BN9" s="31">
        <v>5</v>
      </c>
      <c r="BO9" s="107">
        <f>$H$30*H44</f>
        <v>4.5283788737808302E-3</v>
      </c>
      <c r="BQ9" s="31">
        <f>BM6+1</f>
        <v>3</v>
      </c>
      <c r="BR9" s="31">
        <v>2</v>
      </c>
      <c r="BS9" s="107">
        <f>$H$28*H41</f>
        <v>3.3507999787941146E-2</v>
      </c>
    </row>
    <row r="10" spans="1:71" ht="15.75" x14ac:dyDescent="0.25">
      <c r="A10" s="6" t="s">
        <v>50</v>
      </c>
      <c r="B10" s="260">
        <v>9</v>
      </c>
      <c r="C10" s="261">
        <v>14</v>
      </c>
      <c r="E10" s="271" t="s">
        <v>157</v>
      </c>
      <c r="F10" s="271" t="s">
        <v>157</v>
      </c>
      <c r="G10" s="271" t="s">
        <v>37</v>
      </c>
      <c r="H10" s="271" t="s">
        <v>157</v>
      </c>
      <c r="I10" s="271" t="s">
        <v>157</v>
      </c>
      <c r="J10" s="236"/>
      <c r="K10" s="237">
        <v>18</v>
      </c>
      <c r="L10" s="237" t="s">
        <v>178</v>
      </c>
      <c r="M10" s="250">
        <v>0.15</v>
      </c>
      <c r="N10" s="250">
        <f t="shared" si="8"/>
        <v>0.15</v>
      </c>
      <c r="O10" s="237" t="s">
        <v>179</v>
      </c>
      <c r="P10" s="240">
        <v>1</v>
      </c>
      <c r="Q10" s="242">
        <v>1</v>
      </c>
      <c r="R10" s="249">
        <f t="shared" si="2"/>
        <v>0.15</v>
      </c>
      <c r="S10" s="249">
        <f t="shared" si="3"/>
        <v>0.22328244274809161</v>
      </c>
      <c r="T10" s="254">
        <f>S10*G13</f>
        <v>0.11164122137404581</v>
      </c>
      <c r="U10" s="256">
        <f>S10*G14</f>
        <v>0.11164122137404581</v>
      </c>
      <c r="V10" s="246">
        <f>$G$18</f>
        <v>0.45</v>
      </c>
      <c r="W10" s="244">
        <f>$H$18</f>
        <v>0.45</v>
      </c>
      <c r="X10" s="279">
        <f t="shared" si="11"/>
        <v>5.0238549618320617E-2</v>
      </c>
      <c r="Y10" s="280">
        <f t="shared" si="11"/>
        <v>5.0238549618320617E-2</v>
      </c>
      <c r="Z10" s="227"/>
      <c r="AA10" s="272">
        <f t="shared" si="4"/>
        <v>0</v>
      </c>
      <c r="AB10" s="273">
        <f t="shared" si="5"/>
        <v>1</v>
      </c>
      <c r="AC10" s="273">
        <f>AA10*PRODUCT(AB3:AB9)*PRODUCT(AB11:AB17)</f>
        <v>0</v>
      </c>
      <c r="AD10" s="273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11"/>
      <c r="AF10" s="225"/>
      <c r="AG10" s="274">
        <f t="shared" si="12"/>
        <v>5.0238549618320617E-2</v>
      </c>
      <c r="AH10" s="275">
        <f t="shared" si="6"/>
        <v>0.94976145038167936</v>
      </c>
      <c r="AI10" s="275">
        <f>AG10*PRODUCT(AH3:AH9)*PRODUCT(AH11:AH17)</f>
        <v>4.4174393749250043E-2</v>
      </c>
      <c r="AJ10" s="275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3.6521597556179132E-3</v>
      </c>
      <c r="AK10" s="211"/>
      <c r="AL10" s="228"/>
      <c r="AM10" s="211"/>
      <c r="AN10" s="216"/>
      <c r="AO10" s="230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I10" s="31">
        <v>0</v>
      </c>
      <c r="BJ10" s="31">
        <v>7</v>
      </c>
      <c r="BK10" s="107">
        <f t="shared" si="7"/>
        <v>2.9200423347500574E-3</v>
      </c>
      <c r="BM10" s="31">
        <f>BI44+1</f>
        <v>6</v>
      </c>
      <c r="BN10" s="31">
        <v>6</v>
      </c>
      <c r="BO10" s="107">
        <f>$H$31*H45</f>
        <v>5.2718695841186909E-4</v>
      </c>
      <c r="BQ10" s="31">
        <f>BQ7+1</f>
        <v>4</v>
      </c>
      <c r="BR10" s="31">
        <v>0</v>
      </c>
      <c r="BS10" s="107">
        <f>$H$29*H39</f>
        <v>1.2122035930318986E-3</v>
      </c>
    </row>
    <row r="11" spans="1:71" ht="15.75" x14ac:dyDescent="0.25">
      <c r="A11" s="6" t="s">
        <v>53</v>
      </c>
      <c r="B11" s="260">
        <v>9</v>
      </c>
      <c r="C11" s="261">
        <v>14</v>
      </c>
      <c r="E11" s="241"/>
      <c r="F11" s="271" t="s">
        <v>157</v>
      </c>
      <c r="G11" s="271" t="s">
        <v>157</v>
      </c>
      <c r="H11" s="271" t="s">
        <v>1</v>
      </c>
      <c r="I11" s="241"/>
      <c r="J11" s="236"/>
      <c r="K11" s="237">
        <v>19</v>
      </c>
      <c r="L11" s="237">
        <v>9</v>
      </c>
      <c r="M11" s="250">
        <v>0.46</v>
      </c>
      <c r="N11" s="250">
        <f t="shared" si="8"/>
        <v>0.46</v>
      </c>
      <c r="O11" s="237" t="s">
        <v>180</v>
      </c>
      <c r="P11" s="240">
        <f>COUNTIF(E4:I6,"CAB")</f>
        <v>0</v>
      </c>
      <c r="Q11" s="242">
        <f>COUNTIF(E9:I11,"CAB")</f>
        <v>0</v>
      </c>
      <c r="R11" s="249">
        <f t="shared" si="2"/>
        <v>0</v>
      </c>
      <c r="S11" s="249">
        <f t="shared" si="3"/>
        <v>0</v>
      </c>
      <c r="T11" s="254">
        <f>IF(P11&gt;0,S11*G13,0)*P11/L11</f>
        <v>0</v>
      </c>
      <c r="U11" s="256">
        <f>IF(Q11&gt;0,S11*G14,0)*Q11/L11</f>
        <v>0</v>
      </c>
      <c r="V11" s="246">
        <f>IF(P11-Q11&gt;2,0.9,IF(P11-Q11&gt;1,0.75,IF(P11-Q11=0,0.5,0.15)))</f>
        <v>0.5</v>
      </c>
      <c r="W11" s="244">
        <f>IF(Q11-P11&gt;2,0.9,IF(Q11-P11&gt;1,0.75,IF(Q11-P11=0,0.5,0.15)))</f>
        <v>0.5</v>
      </c>
      <c r="X11" s="279">
        <f t="shared" si="11"/>
        <v>0</v>
      </c>
      <c r="Y11" s="280">
        <f t="shared" si="11"/>
        <v>0</v>
      </c>
      <c r="Z11" s="227"/>
      <c r="AA11" s="272">
        <f t="shared" si="4"/>
        <v>0</v>
      </c>
      <c r="AB11" s="273">
        <f t="shared" si="5"/>
        <v>1</v>
      </c>
      <c r="AC11" s="273">
        <f>AA11*PRODUCT(AB3:AB10)*PRODUCT(AB12:AB17)</f>
        <v>0</v>
      </c>
      <c r="AD11" s="273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11"/>
      <c r="AF11" s="225"/>
      <c r="AG11" s="274">
        <f t="shared" si="12"/>
        <v>0</v>
      </c>
      <c r="AH11" s="275">
        <f t="shared" si="6"/>
        <v>1</v>
      </c>
      <c r="AI11" s="275">
        <f>AG11*PRODUCT(AH3:AH10)*PRODUCT(AH12:AH17)</f>
        <v>0</v>
      </c>
      <c r="AJ11" s="275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11"/>
      <c r="AL11" s="228"/>
      <c r="AM11" s="211"/>
      <c r="AN11" s="216"/>
      <c r="AO11" s="230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I11" s="31">
        <v>0</v>
      </c>
      <c r="BJ11" s="31">
        <v>8</v>
      </c>
      <c r="BK11" s="107">
        <f t="shared" si="7"/>
        <v>7.1031427398412334E-4</v>
      </c>
      <c r="BM11" s="31">
        <f>BI50+1</f>
        <v>7</v>
      </c>
      <c r="BN11" s="31">
        <v>7</v>
      </c>
      <c r="BO11" s="107">
        <f>$H$32*H46</f>
        <v>3.3218536142339095E-5</v>
      </c>
      <c r="BQ11" s="31">
        <f>BQ8+1</f>
        <v>4</v>
      </c>
      <c r="BR11" s="31">
        <v>1</v>
      </c>
      <c r="BS11" s="107">
        <f>$H$29*H40</f>
        <v>6.3816369377953687E-3</v>
      </c>
    </row>
    <row r="12" spans="1:71" ht="15.75" x14ac:dyDescent="0.25">
      <c r="A12" s="6" t="s">
        <v>57</v>
      </c>
      <c r="B12" s="260">
        <v>9</v>
      </c>
      <c r="C12" s="261">
        <v>14</v>
      </c>
      <c r="E12" s="238"/>
      <c r="F12" s="238"/>
      <c r="G12" s="238"/>
      <c r="H12" s="238"/>
      <c r="I12" s="238"/>
      <c r="J12" s="236"/>
      <c r="K12" s="237">
        <v>25</v>
      </c>
      <c r="L12" s="237">
        <v>5</v>
      </c>
      <c r="M12" s="250">
        <v>0.04</v>
      </c>
      <c r="N12" s="250">
        <f t="shared" si="8"/>
        <v>0.04</v>
      </c>
      <c r="O12" s="237" t="s">
        <v>42</v>
      </c>
      <c r="P12" s="240">
        <f>COUNTIF(F6:H6,"IMP")+COUNTIF(E5,"IMP")+COUNTIF(I5,"IMP")</f>
        <v>0</v>
      </c>
      <c r="Q12" s="242">
        <f>COUNTIF(F11:H11,"IMP")+COUNTIF(E10,"IMP")+COUNTIF(I10,"IMP")</f>
        <v>0</v>
      </c>
      <c r="R12" s="249">
        <f t="shared" si="2"/>
        <v>0</v>
      </c>
      <c r="S12" s="249">
        <f t="shared" si="3"/>
        <v>0</v>
      </c>
      <c r="T12" s="254">
        <f t="shared" ref="T12" si="13">IF(S12=0,0,S12*(P12^2.7/(P12^2.7+Q12^2.7))*P12/L12)</f>
        <v>0</v>
      </c>
      <c r="U12" s="256">
        <f>IF(S12=0,0,S12*Q12^2.7/(P12^2.7+Q12^2.7)*Q12/L12)</f>
        <v>0</v>
      </c>
      <c r="V12" s="246">
        <f>$G$18</f>
        <v>0.45</v>
      </c>
      <c r="W12" s="244">
        <f>$H$18</f>
        <v>0.45</v>
      </c>
      <c r="X12" s="279">
        <f t="shared" si="11"/>
        <v>0</v>
      </c>
      <c r="Y12" s="280">
        <f t="shared" si="11"/>
        <v>0</v>
      </c>
      <c r="Z12" s="227"/>
      <c r="AA12" s="272">
        <f t="shared" si="4"/>
        <v>0</v>
      </c>
      <c r="AB12" s="273">
        <f t="shared" si="5"/>
        <v>1</v>
      </c>
      <c r="AC12" s="273">
        <f>AA12*PRODUCT(AB3:AB11)*PRODUCT(AB13:AB17)</f>
        <v>0</v>
      </c>
      <c r="AD12" s="273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11"/>
      <c r="AF12" s="225"/>
      <c r="AG12" s="274">
        <f t="shared" si="12"/>
        <v>0</v>
      </c>
      <c r="AH12" s="275">
        <f t="shared" si="6"/>
        <v>1</v>
      </c>
      <c r="AI12" s="275">
        <f>AG12*PRODUCT(AH3:AH11)*PRODUCT(AH13:AH17)</f>
        <v>0</v>
      </c>
      <c r="AJ12" s="275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11"/>
      <c r="AL12" s="228"/>
      <c r="AM12" s="211"/>
      <c r="AN12" s="216"/>
      <c r="AO12" s="230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I12" s="31">
        <v>0</v>
      </c>
      <c r="BJ12" s="31">
        <v>9</v>
      </c>
      <c r="BK12" s="107">
        <f t="shared" si="7"/>
        <v>1.1980723139049063E-4</v>
      </c>
      <c r="BM12" s="31">
        <f>BI54+1</f>
        <v>8</v>
      </c>
      <c r="BN12" s="31">
        <v>8</v>
      </c>
      <c r="BO12" s="107">
        <f>$H$33*H47</f>
        <v>1.1209168309483152E-6</v>
      </c>
      <c r="BQ12" s="31">
        <f>BQ9+1</f>
        <v>4</v>
      </c>
      <c r="BR12" s="31">
        <v>2</v>
      </c>
      <c r="BS12" s="107">
        <f>$H$29*H41</f>
        <v>1.5233983489814525E-2</v>
      </c>
    </row>
    <row r="13" spans="1:71" ht="15.75" x14ac:dyDescent="0.25">
      <c r="A13" s="7" t="s">
        <v>60</v>
      </c>
      <c r="B13" s="260">
        <v>9</v>
      </c>
      <c r="C13" s="261">
        <v>9</v>
      </c>
      <c r="E13" s="238"/>
      <c r="F13" s="238" t="s">
        <v>158</v>
      </c>
      <c r="G13" s="245">
        <f>B22</f>
        <v>0.5</v>
      </c>
      <c r="H13" s="238"/>
      <c r="I13" s="238"/>
      <c r="J13" s="236"/>
      <c r="K13" s="237">
        <v>37</v>
      </c>
      <c r="L13" s="237">
        <v>7</v>
      </c>
      <c r="M13" s="250">
        <v>0.18</v>
      </c>
      <c r="N13" s="250">
        <f t="shared" si="8"/>
        <v>0.18</v>
      </c>
      <c r="O13" s="237" t="s">
        <v>181</v>
      </c>
      <c r="P13" s="240">
        <f>COUNTIF(E5:I6,"CAB")</f>
        <v>0</v>
      </c>
      <c r="Q13" s="242">
        <f>COUNTIF(E10:I11,"CAB")</f>
        <v>0</v>
      </c>
      <c r="R13" s="249">
        <f t="shared" si="2"/>
        <v>0</v>
      </c>
      <c r="S13" s="249">
        <f t="shared" si="3"/>
        <v>0</v>
      </c>
      <c r="T13" s="254">
        <f>IF((Q13+P13)=0,0,S13*P14/4*P13/L13)</f>
        <v>0</v>
      </c>
      <c r="U13" s="256">
        <f>IF(P13+Q13=0,0,S13*Q14/4*Q13/L13)</f>
        <v>0</v>
      </c>
      <c r="V13" s="246">
        <v>1</v>
      </c>
      <c r="W13" s="244">
        <v>1</v>
      </c>
      <c r="X13" s="279">
        <f t="shared" si="11"/>
        <v>0</v>
      </c>
      <c r="Y13" s="280">
        <f t="shared" si="11"/>
        <v>0</v>
      </c>
      <c r="Z13" s="227"/>
      <c r="AA13" s="272">
        <f t="shared" si="4"/>
        <v>7.6362595419847329E-2</v>
      </c>
      <c r="AB13" s="273">
        <f t="shared" si="5"/>
        <v>0.92363740458015264</v>
      </c>
      <c r="AC13" s="273">
        <f>AA13*PRODUCT(AB3:AB12)*PRODUCT(AB14:AB17)</f>
        <v>4.3732280194168631E-2</v>
      </c>
      <c r="AD13" s="273">
        <f>AA13*AA14*PRODUCT(AB3:AB12)*PRODUCT(AB15:AB17)+AA13*AA15*PRODUCT(AB3:AB12)*AB14*PRODUCT(AB16:AB17)+AA13*AA16*PRODUCT(AB3:AB12)*AB14*AB15*AB17+AA13*AA17*PRODUCT(AB3:AB12)*AB14*AB15*AB16</f>
        <v>0</v>
      </c>
      <c r="AE13" s="211"/>
      <c r="AF13" s="225"/>
      <c r="AG13" s="274">
        <f t="shared" si="12"/>
        <v>0</v>
      </c>
      <c r="AH13" s="275">
        <f t="shared" si="6"/>
        <v>1</v>
      </c>
      <c r="AI13" s="275">
        <f>AG13*PRODUCT(AH3:AH12)*PRODUCT(AH14:AH17)</f>
        <v>0</v>
      </c>
      <c r="AJ13" s="275">
        <f>AG13*AG14*PRODUCT(AH3:AH12)*PRODUCT(AH15:AH17)+AG13*AG15*PRODUCT(AH3:AH12)*AH14*PRODUCT(AH16:AH17)+AG13*AG16*PRODUCT(AH3:AH12)*AH14*AH15*AH17+AG13*AG17*PRODUCT(AH3:AH12)*AH14*AH15*AH16</f>
        <v>0</v>
      </c>
      <c r="AK13" s="211"/>
      <c r="AL13" s="228"/>
      <c r="AM13" s="211"/>
      <c r="AN13" s="216"/>
      <c r="AO13" s="230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I13" s="31">
        <v>0</v>
      </c>
      <c r="BJ13" s="31">
        <v>10</v>
      </c>
      <c r="BK13" s="107">
        <f t="shared" si="7"/>
        <v>1.3385222110345998E-5</v>
      </c>
      <c r="BM13" s="31">
        <f>BI57+1</f>
        <v>9</v>
      </c>
      <c r="BN13" s="31">
        <v>9</v>
      </c>
      <c r="BO13" s="107">
        <f>$H$34*H48</f>
        <v>1.9489553769482297E-8</v>
      </c>
      <c r="BQ13" s="31">
        <f>BM7+1</f>
        <v>4</v>
      </c>
      <c r="BR13" s="31">
        <v>3</v>
      </c>
      <c r="BS13" s="107">
        <f>$H$29*H42</f>
        <v>2.1770307884427544E-2</v>
      </c>
    </row>
    <row r="14" spans="1:71" ht="15.75" x14ac:dyDescent="0.25">
      <c r="A14" s="7" t="s">
        <v>63</v>
      </c>
      <c r="B14" s="260">
        <v>4</v>
      </c>
      <c r="C14" s="261">
        <v>4</v>
      </c>
      <c r="E14" s="238"/>
      <c r="F14" s="238" t="s">
        <v>159</v>
      </c>
      <c r="G14" s="243">
        <f>C22</f>
        <v>0.5</v>
      </c>
      <c r="H14" s="238"/>
      <c r="I14" s="238"/>
      <c r="J14" s="236"/>
      <c r="K14" s="237">
        <v>38</v>
      </c>
      <c r="L14" s="237">
        <v>2</v>
      </c>
      <c r="M14" s="250">
        <v>0.18</v>
      </c>
      <c r="N14" s="250">
        <f t="shared" si="8"/>
        <v>0.18</v>
      </c>
      <c r="O14" s="237" t="s">
        <v>182</v>
      </c>
      <c r="P14" s="240">
        <f>COUNTA(E5,I5)</f>
        <v>2</v>
      </c>
      <c r="Q14" s="242">
        <f>COUNTA(E10,I10)</f>
        <v>2</v>
      </c>
      <c r="R14" s="249">
        <f t="shared" si="2"/>
        <v>0.18</v>
      </c>
      <c r="S14" s="249">
        <f t="shared" si="3"/>
        <v>0.26793893129770996</v>
      </c>
      <c r="T14" s="254">
        <f>S14*P14^2.7/(Q14^2.7+P14^2.7)</f>
        <v>0.13396946564885498</v>
      </c>
      <c r="U14" s="256">
        <f>S14*Q14^2.7/(Q14^2.7+P14^2.7)</f>
        <v>0.13396946564885498</v>
      </c>
      <c r="V14" s="246">
        <f>$G$17</f>
        <v>0.56999999999999995</v>
      </c>
      <c r="W14" s="244">
        <f>$H$17</f>
        <v>0.56999999999999995</v>
      </c>
      <c r="X14" s="279">
        <f t="shared" si="11"/>
        <v>7.6362595419847329E-2</v>
      </c>
      <c r="Y14" s="280">
        <f t="shared" si="11"/>
        <v>7.6362595419847329E-2</v>
      </c>
      <c r="Z14" s="227"/>
      <c r="AA14" s="272">
        <f t="shared" si="4"/>
        <v>0</v>
      </c>
      <c r="AB14" s="273">
        <f t="shared" si="5"/>
        <v>1</v>
      </c>
      <c r="AC14" s="273">
        <f>AA14*PRODUCT(AB3:AB13)*PRODUCT(AB15:AB17)</f>
        <v>0</v>
      </c>
      <c r="AD14" s="273">
        <f>AA14*AA15*PRODUCT(AB3:AB13)*PRODUCT(AB16:AB17)+AA14*AA16*PRODUCT(AB3:AB13)*AB15*AB17+AA14*AA17*PRODUCT(AB3:AB13)*AB15*AB16</f>
        <v>0</v>
      </c>
      <c r="AE14" s="211"/>
      <c r="AF14" s="225"/>
      <c r="AG14" s="274">
        <f t="shared" si="12"/>
        <v>7.6362595419847329E-2</v>
      </c>
      <c r="AH14" s="275">
        <f t="shared" si="6"/>
        <v>0.92363740458015264</v>
      </c>
      <c r="AI14" s="275">
        <f>AG14*PRODUCT(AH3:AH13)*PRODUCT(AH15:AH17)</f>
        <v>6.9044201571781372E-2</v>
      </c>
      <c r="AJ14" s="275">
        <f>AG14*AG15*PRODUCT(AH3:AH13)*PRODUCT(AH16:AH17)+AG14*AG16*PRODUCT(AH3:AH13)*AH15*AH17+AG14*AG17*PRODUCT(AH3:AH13)*AH15*AH16</f>
        <v>0</v>
      </c>
      <c r="AK14" s="211"/>
      <c r="AL14" s="228"/>
      <c r="AM14" s="211"/>
      <c r="AN14" s="216"/>
      <c r="AO14" s="230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I14" s="31">
        <v>1</v>
      </c>
      <c r="BJ14" s="31">
        <v>2</v>
      </c>
      <c r="BK14" s="107">
        <f t="shared" ref="BK14:BK22" si="14">$H$26*H41</f>
        <v>4.6562116847828995E-2</v>
      </c>
      <c r="BM14" s="31">
        <f>BQ39+1</f>
        <v>10</v>
      </c>
      <c r="BN14" s="31">
        <v>10</v>
      </c>
      <c r="BO14" s="107">
        <f>$H$35*H49</f>
        <v>1.6207659488871572E-10</v>
      </c>
      <c r="BQ14" s="31">
        <f>BQ10+1</f>
        <v>5</v>
      </c>
      <c r="BR14" s="31">
        <v>0</v>
      </c>
      <c r="BS14" s="107">
        <f>$H$30*H39</f>
        <v>3.9859143625081575E-4</v>
      </c>
    </row>
    <row r="15" spans="1:71" ht="15.75" x14ac:dyDescent="0.25">
      <c r="A15" s="179" t="s">
        <v>67</v>
      </c>
      <c r="B15" s="262">
        <v>5</v>
      </c>
      <c r="C15" s="263">
        <v>5</v>
      </c>
      <c r="E15" s="238"/>
      <c r="F15" s="238"/>
      <c r="G15" s="238"/>
      <c r="H15" s="238"/>
      <c r="I15" s="238"/>
      <c r="J15" s="236"/>
      <c r="K15" s="237">
        <v>39</v>
      </c>
      <c r="L15" s="237">
        <v>8</v>
      </c>
      <c r="M15" s="250">
        <v>0.6</v>
      </c>
      <c r="N15" s="250">
        <f t="shared" si="8"/>
        <v>0.6</v>
      </c>
      <c r="O15" s="237" t="s">
        <v>183</v>
      </c>
      <c r="P15" s="240">
        <f>COUNTIF(E5:I6,"TEC")</f>
        <v>2</v>
      </c>
      <c r="Q15" s="242">
        <f>COUNTIF(E10:I11,"TEC")</f>
        <v>0</v>
      </c>
      <c r="R15" s="249">
        <f>IF(P15&lt;&gt;0,IF(Q1&lt;&gt;0,M15,IF(Q15&lt;&gt;0,IF(P1&lt;&gt;0,M15,0),0)),IF(Q15&lt;&gt;0,IF(P1&lt;&gt;0,M15,0),0))</f>
        <v>0</v>
      </c>
      <c r="S15" s="249">
        <f t="shared" si="3"/>
        <v>0</v>
      </c>
      <c r="T15" s="254">
        <f>IF(P15&lt;&gt;0,IF(Q1&lt;&gt;0,IF(Q15&lt;&gt;0,IF(P1&lt;&gt;0,S15*P15^2.7/(P15^2.7+Q15^2.7)*P15/L15,S15*P15/L15),S15*P15/L15),0),0)</f>
        <v>0</v>
      </c>
      <c r="U15" s="256">
        <f>IF(Q15&lt;&gt;0,IF(P1&lt;&gt;0,IF(P15&lt;&gt;0,IF(Q1&lt;&gt;0,S15*Q15^2.7/(P15^2.7+Q15^2.7)*Q15/L15,S15*Q15/L15),S15*Q15/L15),0),0)</f>
        <v>0</v>
      </c>
      <c r="V15" s="246">
        <f>$G$17</f>
        <v>0.56999999999999995</v>
      </c>
      <c r="W15" s="244">
        <f>$H$17</f>
        <v>0.56999999999999995</v>
      </c>
      <c r="X15" s="279">
        <f t="shared" si="11"/>
        <v>0</v>
      </c>
      <c r="Y15" s="280">
        <f t="shared" si="11"/>
        <v>0</v>
      </c>
      <c r="Z15" s="227"/>
      <c r="AA15" s="272">
        <f>X16</f>
        <v>0</v>
      </c>
      <c r="AB15" s="273">
        <f t="shared" si="5"/>
        <v>1</v>
      </c>
      <c r="AC15" s="273">
        <f>AA15*PRODUCT(AB3:AB14)*PRODUCT(AB16:AB17)</f>
        <v>0</v>
      </c>
      <c r="AD15" s="273">
        <f>AA15*AA16*PRODUCT(AB3:AB14)*AB17+AA15*AA17*PRODUCT(AB3:AB14)*AB16</f>
        <v>0</v>
      </c>
      <c r="AE15" s="211"/>
      <c r="AF15" s="225"/>
      <c r="AG15" s="274">
        <f t="shared" si="12"/>
        <v>0</v>
      </c>
      <c r="AH15" s="275">
        <f t="shared" si="6"/>
        <v>1</v>
      </c>
      <c r="AI15" s="275">
        <f>AG15*PRODUCT(AH3:AH14)*PRODUCT(AH16:AH17)</f>
        <v>0</v>
      </c>
      <c r="AJ15" s="275">
        <f>AG15*AG16*PRODUCT(AH3:AH14)*AH17+AG15*AG17*PRODUCT(AH3:AH14)*AH16</f>
        <v>0</v>
      </c>
      <c r="AK15" s="211"/>
      <c r="AL15" s="228"/>
      <c r="AM15" s="211"/>
      <c r="AN15" s="216"/>
      <c r="AO15" s="230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I15" s="31">
        <v>1</v>
      </c>
      <c r="BJ15" s="31">
        <v>3</v>
      </c>
      <c r="BK15" s="107">
        <f t="shared" si="14"/>
        <v>6.654015479310918E-2</v>
      </c>
      <c r="BQ15" s="31">
        <f>BQ11+1</f>
        <v>5</v>
      </c>
      <c r="BR15" s="31">
        <v>1</v>
      </c>
      <c r="BS15" s="107">
        <f>$H$30*H40</f>
        <v>2.0983816970093559E-3</v>
      </c>
    </row>
    <row r="16" spans="1:71" x14ac:dyDescent="0.25">
      <c r="A16" s="179" t="s">
        <v>70</v>
      </c>
      <c r="B16" s="52">
        <v>12</v>
      </c>
      <c r="C16" s="54">
        <v>12</v>
      </c>
      <c r="E16" s="238"/>
      <c r="F16" s="238" t="s">
        <v>8</v>
      </c>
      <c r="G16" s="268">
        <v>0.7</v>
      </c>
      <c r="H16" s="269">
        <v>0.7</v>
      </c>
      <c r="I16" s="238"/>
      <c r="J16" s="236"/>
      <c r="K16" s="236"/>
      <c r="L16" s="236"/>
      <c r="M16" s="236"/>
      <c r="N16" s="236"/>
      <c r="O16" s="236"/>
      <c r="P16" s="238"/>
      <c r="Q16" s="238"/>
      <c r="V16" s="158"/>
      <c r="W16" s="158"/>
      <c r="X16" s="158"/>
      <c r="Y16" s="158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11"/>
      <c r="AN16" s="216"/>
      <c r="AO16" s="230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I16" s="31">
        <v>1</v>
      </c>
      <c r="BJ16" s="31">
        <v>4</v>
      </c>
      <c r="BK16" s="107">
        <f t="shared" si="14"/>
        <v>6.3279397991217262E-2</v>
      </c>
      <c r="BQ16" s="31">
        <f>BQ12+1</f>
        <v>5</v>
      </c>
      <c r="BR16" s="31">
        <v>2</v>
      </c>
      <c r="BS16" s="107">
        <f>$H$30*H41</f>
        <v>5.0091712266246364E-3</v>
      </c>
    </row>
    <row r="17" spans="1:71" x14ac:dyDescent="0.25">
      <c r="A17" s="178" t="s">
        <v>74</v>
      </c>
      <c r="B17" s="264" t="s">
        <v>75</v>
      </c>
      <c r="C17" s="265" t="s">
        <v>75</v>
      </c>
      <c r="E17" s="238"/>
      <c r="F17" s="238" t="s">
        <v>160</v>
      </c>
      <c r="G17" s="268">
        <v>0.56999999999999995</v>
      </c>
      <c r="H17" s="269">
        <v>0.56999999999999995</v>
      </c>
      <c r="I17" s="238"/>
      <c r="J17" s="236"/>
      <c r="K17" s="237"/>
      <c r="L17" s="237"/>
      <c r="M17" s="237"/>
      <c r="N17" s="237"/>
      <c r="O17" s="237"/>
      <c r="P17" s="237"/>
      <c r="Q17" s="238"/>
      <c r="V17" s="158"/>
      <c r="W17" s="158"/>
      <c r="X17" s="158"/>
      <c r="Y17" s="158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8"/>
      <c r="AM17" s="211"/>
      <c r="AN17" s="216"/>
      <c r="AO17" s="230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I17" s="31">
        <v>1</v>
      </c>
      <c r="BJ17" s="31">
        <v>5</v>
      </c>
      <c r="BK17" s="107">
        <f t="shared" si="14"/>
        <v>4.2092972412584584E-2</v>
      </c>
      <c r="BQ17" s="31">
        <f>BQ13+1</f>
        <v>5</v>
      </c>
      <c r="BR17" s="31">
        <v>3</v>
      </c>
      <c r="BS17" s="107">
        <f>$H$30*H42</f>
        <v>7.1584165705802279E-3</v>
      </c>
    </row>
    <row r="18" spans="1:71" x14ac:dyDescent="0.25">
      <c r="A18" s="178" t="s">
        <v>78</v>
      </c>
      <c r="B18" s="264">
        <v>20</v>
      </c>
      <c r="C18" s="265">
        <v>20</v>
      </c>
      <c r="E18" s="238"/>
      <c r="F18" s="237" t="s">
        <v>3</v>
      </c>
      <c r="G18" s="268">
        <v>0.45</v>
      </c>
      <c r="H18" s="269">
        <v>0.45</v>
      </c>
      <c r="I18" s="238"/>
      <c r="J18" s="236"/>
      <c r="K18" s="237"/>
      <c r="L18" s="237"/>
      <c r="M18" s="237"/>
      <c r="N18" s="237"/>
      <c r="O18" s="237"/>
      <c r="P18" s="251"/>
      <c r="Q18" s="238"/>
      <c r="V18" s="158"/>
      <c r="W18" s="158"/>
      <c r="X18" s="158"/>
      <c r="Y18" s="158"/>
      <c r="Z18" s="227"/>
      <c r="AB18" s="173">
        <f>PRODUCT(AB3:AB17)</f>
        <v>0.52896014799957258</v>
      </c>
      <c r="AC18" s="174">
        <f>SUM(AC3:AC17)</f>
        <v>0.37060530614700538</v>
      </c>
      <c r="AD18" s="174">
        <f>SUM(AD3:AD17)</f>
        <v>9.0681603915298351E-2</v>
      </c>
      <c r="AE18" s="174">
        <f>1-AB18-AC18-AD18</f>
        <v>9.7529419381236909E-3</v>
      </c>
      <c r="AF18" s="225"/>
      <c r="AG18" s="158"/>
      <c r="AH18" s="175">
        <f>PRODUCT(AH3:AH17)</f>
        <v>0.83511838211426448</v>
      </c>
      <c r="AI18" s="174">
        <f>SUM(AI3:AI17)</f>
        <v>0.15493234176155896</v>
      </c>
      <c r="AJ18" s="174">
        <f>SUM(AJ3:AJ17)</f>
        <v>9.709055315433637E-3</v>
      </c>
      <c r="AK18" s="174">
        <f>1-AH18-AI18-AJ18</f>
        <v>2.4022080874292785E-4</v>
      </c>
      <c r="AL18" s="228"/>
      <c r="AM18" s="211"/>
      <c r="AN18" s="216"/>
      <c r="AO18" s="230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I18" s="31">
        <v>1</v>
      </c>
      <c r="BJ18" s="31">
        <v>6</v>
      </c>
      <c r="BK18" s="107">
        <f t="shared" si="14"/>
        <v>2.0028841446881301E-2</v>
      </c>
      <c r="BQ18" s="31">
        <f>BM8+1</f>
        <v>5</v>
      </c>
      <c r="BR18" s="31">
        <v>4</v>
      </c>
      <c r="BS18" s="107">
        <f>$H$30*H43</f>
        <v>6.8076230445376258E-3</v>
      </c>
    </row>
    <row r="19" spans="1:71" ht="9" customHeight="1" x14ac:dyDescent="0.25">
      <c r="E19" s="211"/>
      <c r="F19" s="211"/>
      <c r="G19" s="211"/>
      <c r="H19" s="212"/>
      <c r="I19" s="211"/>
      <c r="J19" s="211"/>
      <c r="K19" s="211"/>
      <c r="L19" s="212"/>
      <c r="M19" s="212"/>
      <c r="N19" s="211"/>
      <c r="O19" s="211"/>
      <c r="P19" s="221"/>
      <c r="Q19" s="222"/>
      <c r="R19" s="223"/>
      <c r="S19" s="224"/>
      <c r="T19" s="225"/>
      <c r="U19" s="225"/>
      <c r="V19" s="225"/>
      <c r="W19" s="231"/>
      <c r="X19" s="211"/>
      <c r="Y19" s="226"/>
      <c r="Z19" s="227"/>
      <c r="AA19" s="227"/>
      <c r="AB19" s="227"/>
      <c r="AC19" s="224"/>
      <c r="AD19" s="225"/>
      <c r="AE19" s="225"/>
      <c r="AF19" s="225"/>
      <c r="AG19" s="231"/>
      <c r="AH19" s="228"/>
      <c r="AI19" s="211"/>
      <c r="AJ19" s="229"/>
      <c r="AK19" s="211"/>
      <c r="AL19" s="228"/>
      <c r="AM19" s="211"/>
      <c r="AN19" s="216"/>
      <c r="AO19" s="230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I19" s="31">
        <v>1</v>
      </c>
      <c r="BJ19" s="31">
        <v>7</v>
      </c>
      <c r="BK19" s="107">
        <f t="shared" si="14"/>
        <v>6.8487922053007593E-3</v>
      </c>
      <c r="BQ19" s="31">
        <f>BQ15+1</f>
        <v>6</v>
      </c>
      <c r="BR19" s="31">
        <v>1</v>
      </c>
      <c r="BS19" s="107">
        <f>$H$31*H40</f>
        <v>5.1340507590958275E-4</v>
      </c>
    </row>
    <row r="20" spans="1:71" x14ac:dyDescent="0.25">
      <c r="A20" s="180" t="s">
        <v>85</v>
      </c>
      <c r="B20" s="31">
        <f>IF(B17="Pres",IF(C17="Pres",2,1),IF(C17="Pres",1,0))</f>
        <v>0</v>
      </c>
      <c r="D20" s="196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32"/>
      <c r="Q20" s="232"/>
      <c r="R20" s="232"/>
      <c r="S20" s="211"/>
      <c r="T20" s="233"/>
      <c r="U20" s="234"/>
      <c r="V20" s="234"/>
      <c r="W20" s="234"/>
      <c r="X20" s="211"/>
      <c r="Y20" s="232"/>
      <c r="Z20" s="232"/>
      <c r="AA20" s="232"/>
      <c r="AB20" s="232"/>
      <c r="AC20" s="212"/>
      <c r="AD20" s="235"/>
      <c r="AE20" s="234"/>
      <c r="AF20" s="234"/>
      <c r="AG20" s="234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I20" s="31">
        <v>1</v>
      </c>
      <c r="BJ20" s="31">
        <v>8</v>
      </c>
      <c r="BK20" s="107">
        <f t="shared" si="14"/>
        <v>1.6660014839794219E-3</v>
      </c>
      <c r="BQ20" s="31">
        <f>BQ16+1</f>
        <v>6</v>
      </c>
      <c r="BR20" s="31">
        <v>2</v>
      </c>
      <c r="BS20" s="107">
        <f>$H$31*H41</f>
        <v>1.2255796633732516E-3</v>
      </c>
    </row>
    <row r="21" spans="1:71" x14ac:dyDescent="0.25">
      <c r="A21" s="180" t="s">
        <v>86</v>
      </c>
      <c r="B21" s="181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2.8100100560908163E-4</v>
      </c>
      <c r="BQ21" s="31">
        <f>BQ17+1</f>
        <v>6</v>
      </c>
      <c r="BR21" s="31">
        <v>3</v>
      </c>
      <c r="BS21" s="107">
        <f>$H$31*H42</f>
        <v>1.7514294029770936E-3</v>
      </c>
    </row>
    <row r="22" spans="1:71" x14ac:dyDescent="0.25">
      <c r="A22" s="26" t="s">
        <v>87</v>
      </c>
      <c r="B22" s="197">
        <f>(B6)/((B6)+(C6))</f>
        <v>0.5</v>
      </c>
      <c r="C22" s="198">
        <f>1-B22</f>
        <v>0.5</v>
      </c>
      <c r="V22" s="199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4"/>
        <v>3.1394272529752141E-5</v>
      </c>
      <c r="BQ22" s="31">
        <f>BQ18+1</f>
        <v>6</v>
      </c>
      <c r="BR22" s="31">
        <v>4</v>
      </c>
      <c r="BS22" s="107">
        <f>$H$31*H43</f>
        <v>1.6656017496368208E-3</v>
      </c>
    </row>
    <row r="23" spans="1:71" ht="15.75" thickBot="1" x14ac:dyDescent="0.3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57">
        <f>SUM(H25:H35)</f>
        <v>0.99999992666100823</v>
      </c>
      <c r="I23" s="81"/>
      <c r="J23" s="257">
        <f>SUM(J25:J35)</f>
        <v>0.99999999999999967</v>
      </c>
      <c r="K23" s="257"/>
      <c r="L23" s="257">
        <f>SUM(L25:L35)</f>
        <v>1</v>
      </c>
      <c r="M23" s="81"/>
      <c r="N23" s="257">
        <f>SUM(N25:N35)</f>
        <v>1</v>
      </c>
      <c r="O23" s="81"/>
      <c r="P23" s="257">
        <f>SUM(P25:P35)</f>
        <v>1</v>
      </c>
      <c r="Q23" s="81"/>
      <c r="R23" s="257">
        <f>SUM(R25:R35)</f>
        <v>1</v>
      </c>
      <c r="S23" s="81"/>
      <c r="T23" s="257">
        <f>SUM(T25:T35)</f>
        <v>1</v>
      </c>
      <c r="V23" s="199">
        <f>SUM(V25:V34)</f>
        <v>0.99897460937500004</v>
      </c>
      <c r="Y23" s="196">
        <f>SUM(Y25:Y35)</f>
        <v>9.716796875E-4</v>
      </c>
      <c r="Z23" s="81"/>
      <c r="AA23" s="196">
        <f>SUM(AA25:AA35)</f>
        <v>9.7216796875000001E-3</v>
      </c>
      <c r="AB23" s="81"/>
      <c r="AC23" s="196">
        <f>SUM(AC25:AC35)</f>
        <v>4.3774414062500003E-2</v>
      </c>
      <c r="AD23" s="81"/>
      <c r="AE23" s="196">
        <f>SUM(AE25:AE35)</f>
        <v>0.11682128906250001</v>
      </c>
      <c r="AF23" s="81"/>
      <c r="AG23" s="196">
        <f>SUM(AG25:AG35)</f>
        <v>0.20463867187499998</v>
      </c>
      <c r="AH23" s="81"/>
      <c r="AI23" s="196">
        <f>SUM(AI25:AI35)</f>
        <v>0.24588867187499996</v>
      </c>
      <c r="AJ23" s="81"/>
      <c r="AK23" s="196">
        <f>SUM(AK25:AK35)</f>
        <v>0.20528320312499998</v>
      </c>
      <c r="AL23" s="81"/>
      <c r="AM23" s="196">
        <f>SUM(AM25:AM35)</f>
        <v>0.11762695312499996</v>
      </c>
      <c r="AN23" s="81"/>
      <c r="AO23" s="196">
        <f>SUM(AO25:AO35)</f>
        <v>4.4311523437499993E-2</v>
      </c>
      <c r="AP23" s="81"/>
      <c r="AQ23" s="196">
        <f>SUM(AQ25:AQ35)</f>
        <v>9.9365234374999972E-3</v>
      </c>
      <c r="AR23" s="81"/>
      <c r="AS23" s="196">
        <f>SUM(AS25:AS35)</f>
        <v>1.0253906249999556E-3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7.2102417760861653E-2</v>
      </c>
      <c r="BQ23" s="31">
        <f>BM9+1</f>
        <v>6</v>
      </c>
      <c r="BR23" s="31">
        <v>5</v>
      </c>
      <c r="BS23" s="107">
        <f>$H$31*H44</f>
        <v>1.107945567174108E-3</v>
      </c>
    </row>
    <row r="24" spans="1:71" ht="15.75" thickBot="1" x14ac:dyDescent="0.3">
      <c r="A24" s="26" t="s">
        <v>89</v>
      </c>
      <c r="B24" s="64">
        <f>B23/B21</f>
        <v>0.5</v>
      </c>
      <c r="C24" s="65">
        <f>C23/B21</f>
        <v>0.5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6.8569085897153256E-2</v>
      </c>
      <c r="BQ24" s="31">
        <f>BI49+1</f>
        <v>7</v>
      </c>
      <c r="BR24" s="31">
        <v>0</v>
      </c>
      <c r="BS24" s="107">
        <f t="shared" ref="BS24:BS30" si="17">$H$32*H39</f>
        <v>1.797054727171244E-5</v>
      </c>
    </row>
    <row r="25" spans="1:71" x14ac:dyDescent="0.25">
      <c r="A25" s="26" t="s">
        <v>114</v>
      </c>
      <c r="B25" s="200">
        <f>1/(1+EXP(-3.1416*4*((B11/(B11+C8))-(3.1416/6))))</f>
        <v>0.23251449252298675</v>
      </c>
      <c r="C25" s="198">
        <f>1/(1+EXP(-3.1416*4*((C11/(C11+B8))-(3.1416/6))))</f>
        <v>0.6793166023460353</v>
      </c>
      <c r="D25" s="195">
        <f>IF(B17="AOW",0.36-0.08,IF(B17="AIM",0.36+0.08,IF(B17="TL",(0.361)-(0.36*B32),0.36)))</f>
        <v>0.36</v>
      </c>
      <c r="E25" s="195">
        <f>IF(C17="AOW",0.36-0.08,IF(C17="AIM",0.36+0.08,IF(C17="TL",(0.361)-(0.36*C32),0.36)))</f>
        <v>0.36</v>
      </c>
      <c r="G25" s="124">
        <v>0</v>
      </c>
      <c r="H25" s="125">
        <f>L25*J25</f>
        <v>0.11534845686470653</v>
      </c>
      <c r="I25" s="97">
        <v>0</v>
      </c>
      <c r="J25" s="98">
        <f t="shared" ref="J25:J35" si="18">Y25+AA25+AC25+AE25+AG25+AI25+AK25+AM25+AO25+AQ25+AS25</f>
        <v>0.21806644092363597</v>
      </c>
      <c r="K25" s="97">
        <v>0</v>
      </c>
      <c r="L25" s="98">
        <f>AB18</f>
        <v>0.52896014799957258</v>
      </c>
      <c r="M25" s="85">
        <v>0</v>
      </c>
      <c r="N25" s="201">
        <f>(1-$B$24)^$B$21</f>
        <v>3.125E-2</v>
      </c>
      <c r="O25" s="72">
        <v>0</v>
      </c>
      <c r="P25" s="201">
        <f t="shared" ref="P25:P30" si="19">N25</f>
        <v>3.125E-2</v>
      </c>
      <c r="Q25" s="28">
        <v>0</v>
      </c>
      <c r="R25" s="202">
        <f>P25*N25</f>
        <v>9.765625E-4</v>
      </c>
      <c r="S25" s="72">
        <v>0</v>
      </c>
      <c r="T25" s="20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204">
        <f>V25</f>
        <v>9.716796875E-4</v>
      </c>
      <c r="Z25" s="28">
        <v>0</v>
      </c>
      <c r="AA25" s="204">
        <f>((1-W25)^Z26)*V26</f>
        <v>6.9773608301285373E-3</v>
      </c>
      <c r="AB25" s="28">
        <v>0</v>
      </c>
      <c r="AC25" s="204">
        <f>(((1-$W$25)^AB27))*V27</f>
        <v>2.2548626443418214E-2</v>
      </c>
      <c r="AD25" s="28">
        <v>0</v>
      </c>
      <c r="AE25" s="204">
        <f>(((1-$W$25)^AB28))*V28</f>
        <v>4.3188847948569239E-2</v>
      </c>
      <c r="AF25" s="28">
        <v>0</v>
      </c>
      <c r="AG25" s="204">
        <f>(((1-$W$25)^AB29))*V29</f>
        <v>5.4298422067802943E-2</v>
      </c>
      <c r="AH25" s="28">
        <v>0</v>
      </c>
      <c r="AI25" s="204">
        <f>(((1-$W$25)^AB30))*V30</f>
        <v>4.68260901391572E-2</v>
      </c>
      <c r="AJ25" s="28">
        <v>0</v>
      </c>
      <c r="AK25" s="204">
        <f>(((1-$W$25)^AB31))*V31</f>
        <v>2.8057738696930269E-2</v>
      </c>
      <c r="AL25" s="28">
        <v>0</v>
      </c>
      <c r="AM25" s="204">
        <f>(((1-$W$25)^AB32))*V32</f>
        <v>1.153867586134321E-2</v>
      </c>
      <c r="AN25" s="28">
        <v>0</v>
      </c>
      <c r="AO25" s="204">
        <f>(((1-$W$25)^AB33))*V33</f>
        <v>3.1197204687111713E-3</v>
      </c>
      <c r="AP25" s="28">
        <v>0</v>
      </c>
      <c r="AQ25" s="204">
        <f>(((1-$W$25)^AB34))*V34</f>
        <v>5.0209204124622984E-4</v>
      </c>
      <c r="AR25" s="28">
        <v>0</v>
      </c>
      <c r="AS25" s="204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4.5611632421433741E-2</v>
      </c>
      <c r="BQ25" s="31">
        <f>BQ19+1</f>
        <v>7</v>
      </c>
      <c r="BR25" s="31">
        <v>1</v>
      </c>
      <c r="BS25" s="107">
        <f t="shared" si="17"/>
        <v>9.4605814502432439E-5</v>
      </c>
    </row>
    <row r="26" spans="1:71" x14ac:dyDescent="0.25">
      <c r="A26" s="40" t="s">
        <v>115</v>
      </c>
      <c r="B26" s="197">
        <f>1/(1+EXP(-3.1416*4*((B10/(B10+C9))-(3.1416/6))))</f>
        <v>0.23251449252298675</v>
      </c>
      <c r="C26" s="198">
        <f>1/(1+EXP(-3.1416*4*((C10/(C10+B9))-(3.1416/6))))</f>
        <v>0.6793166023460353</v>
      </c>
      <c r="D26" s="195">
        <f>IF(B17="AOW",0.257+0.04,IF(B17="AIM",0.257-0.04,IF(B17="TL",(0.257)-(0.257*B32),0.257)))</f>
        <v>0.25700000000000001</v>
      </c>
      <c r="E26" s="195">
        <f>IF(C17="AOW",0.257+0.04,IF(C17="AIM",0.257-0.04,IF(C17="TL",(0.257)-(0.257*C32),0.257)))</f>
        <v>0.25700000000000001</v>
      </c>
      <c r="G26" s="87">
        <v>1</v>
      </c>
      <c r="H26" s="126">
        <f>L25*J26+L26*J25</f>
        <v>0.27054320509914564</v>
      </c>
      <c r="I26" s="138">
        <v>1</v>
      </c>
      <c r="J26" s="86">
        <f t="shared" si="18"/>
        <v>0.3586784859270854</v>
      </c>
      <c r="K26" s="138">
        <v>1</v>
      </c>
      <c r="L26" s="86">
        <f>AC18</f>
        <v>0.37060530614700538</v>
      </c>
      <c r="M26" s="85">
        <v>1</v>
      </c>
      <c r="N26" s="201">
        <f>(($B$24)^M26)*((1-($B$24))^($B$21-M26))*HLOOKUP($B$21,$AV$24:$BF$34,M26+1)</f>
        <v>0.15625</v>
      </c>
      <c r="O26" s="72">
        <v>1</v>
      </c>
      <c r="P26" s="201">
        <f t="shared" si="19"/>
        <v>0.15625</v>
      </c>
      <c r="Q26" s="28">
        <v>1</v>
      </c>
      <c r="R26" s="202">
        <f>N26*P25+P26*N25</f>
        <v>9.765625E-3</v>
      </c>
      <c r="S26" s="72">
        <v>1</v>
      </c>
      <c r="T26" s="203">
        <f t="shared" ref="T26:T35" si="20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205"/>
      <c r="X26" s="28">
        <v>1</v>
      </c>
      <c r="Y26" s="202"/>
      <c r="Z26" s="28">
        <v>1</v>
      </c>
      <c r="AA26" s="204">
        <f>(1-((1-W25)^Z26))*V26</f>
        <v>2.7443188573714633E-3</v>
      </c>
      <c r="AB26" s="28">
        <v>1</v>
      </c>
      <c r="AC26" s="204">
        <f>((($W$25)^M26)*((1-($W$25))^($U$27-M26))*HLOOKUP($U$27,$AV$24:$BF$34,M26+1))*V27</f>
        <v>1.7737543539182988E-2</v>
      </c>
      <c r="AD26" s="28">
        <v>1</v>
      </c>
      <c r="AE26" s="204">
        <f>((($W$25)^M26)*((1-($W$25))^($U$28-M26))*HLOOKUP($U$28,$AV$24:$BF$34,M26+1))*V28</f>
        <v>5.0960802833192716E-2</v>
      </c>
      <c r="AF26" s="28">
        <v>1</v>
      </c>
      <c r="AG26" s="204">
        <f>((($W$25)^M26)*((1-($W$25))^($U$29-M26))*HLOOKUP($U$29,$AV$24:$BF$34,M26+1))*V29</f>
        <v>8.5426101492556084E-2</v>
      </c>
      <c r="AH26" s="28">
        <v>1</v>
      </c>
      <c r="AI26" s="204">
        <f>((($W$25)^M26)*((1-($W$25))^($U$30-M26))*HLOOKUP($U$30,$AV$24:$BF$34,M26+1))*V30</f>
        <v>9.2087628341486871E-2</v>
      </c>
      <c r="AJ26" s="28">
        <v>1</v>
      </c>
      <c r="AK26" s="204">
        <f>((($W$25)^M26)*((1-($W$25))^($U$31-M26))*HLOOKUP($U$31,$AV$24:$BF$34,M26+1))*V31</f>
        <v>6.6213615671444306E-2</v>
      </c>
      <c r="AL26" s="28">
        <v>1</v>
      </c>
      <c r="AM26" s="204">
        <f>((($W$25)^Q26)*((1-($W$25))^($U$32-Q26))*HLOOKUP($U$32,$AV$24:$BF$34,Q26+1))*V32</f>
        <v>3.1768550557185977E-2</v>
      </c>
      <c r="AN26" s="28">
        <v>1</v>
      </c>
      <c r="AO26" s="204">
        <f>((($W$25)^Q26)*((1-($W$25))^($U$33-Q26))*HLOOKUP($U$33,$AV$24:$BF$34,Q26+1))*V33</f>
        <v>9.8163278872353665E-3</v>
      </c>
      <c r="AP26" s="28">
        <v>1</v>
      </c>
      <c r="AQ26" s="204">
        <f>((($W$25)^Q26)*((1-($W$25))^($U$34-Q26))*HLOOKUP($U$34,$AV$24:$BF$34,Q26+1))*V34</f>
        <v>1.7773347565464774E-3</v>
      </c>
      <c r="AR26" s="28">
        <v>1</v>
      </c>
      <c r="AS26" s="204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2.1703103904090235E-2</v>
      </c>
      <c r="BQ26" s="31">
        <f>BQ20+1</f>
        <v>7</v>
      </c>
      <c r="BR26" s="31">
        <v>2</v>
      </c>
      <c r="BS26" s="107">
        <f t="shared" si="17"/>
        <v>2.2583914287490058E-4</v>
      </c>
    </row>
    <row r="27" spans="1:71" x14ac:dyDescent="0.25">
      <c r="A27" s="26" t="s">
        <v>116</v>
      </c>
      <c r="B27" s="197">
        <f>1/(1+EXP(-3.1416*4*((B12/(B12+C7))-(3.1416/6))))</f>
        <v>0.23251449252298675</v>
      </c>
      <c r="C27" s="198">
        <f>1/(1+EXP(-3.1416*4*((C12/(C12+B7))-(3.1416/6))))</f>
        <v>0.6793166023460353</v>
      </c>
      <c r="D27" s="195">
        <f>D26</f>
        <v>0.25700000000000001</v>
      </c>
      <c r="E27" s="195">
        <f>E26</f>
        <v>0.25700000000000001</v>
      </c>
      <c r="G27" s="87">
        <v>2</v>
      </c>
      <c r="H27" s="126">
        <f>L25*J27+J26*L26+J25*L27</f>
        <v>0.29315860861870402</v>
      </c>
      <c r="I27" s="138">
        <v>2</v>
      </c>
      <c r="J27" s="86">
        <f t="shared" si="18"/>
        <v>0.26553199601420585</v>
      </c>
      <c r="K27" s="138">
        <v>2</v>
      </c>
      <c r="L27" s="86">
        <f>AD18</f>
        <v>9.0681603915298351E-2</v>
      </c>
      <c r="M27" s="85">
        <v>2</v>
      </c>
      <c r="N27" s="201">
        <f>(($B$24)^M27)*((1-($B$24))^($B$21-M27))*HLOOKUP($B$21,$AV$24:$BF$34,M27+1)</f>
        <v>0.3125</v>
      </c>
      <c r="O27" s="72">
        <v>2</v>
      </c>
      <c r="P27" s="201">
        <f t="shared" si="19"/>
        <v>0.3125</v>
      </c>
      <c r="Q27" s="28">
        <v>2</v>
      </c>
      <c r="R27" s="202">
        <f>P25*N27+P26*N26+P27*N25</f>
        <v>4.39453125E-2</v>
      </c>
      <c r="S27" s="72">
        <v>2</v>
      </c>
      <c r="T27" s="203">
        <f t="shared" si="20"/>
        <v>0</v>
      </c>
      <c r="U27" s="138">
        <v>2</v>
      </c>
      <c r="V27" s="86">
        <f>R27*T25+T26*R26+R25*T27</f>
        <v>4.3774414062499996E-2</v>
      </c>
      <c r="W27" s="205"/>
      <c r="X27" s="28">
        <v>2</v>
      </c>
      <c r="Y27" s="202"/>
      <c r="Z27" s="28">
        <v>2</v>
      </c>
      <c r="AA27" s="204"/>
      <c r="AB27" s="28">
        <v>2</v>
      </c>
      <c r="AC27" s="204">
        <f>((($W$25)^M27)*((1-($W$25))^($U$27-M27))*HLOOKUP($U$27,$AV$24:$BF$34,M27+1))*V27</f>
        <v>3.4882440798987956E-3</v>
      </c>
      <c r="AD27" s="28">
        <v>2</v>
      </c>
      <c r="AE27" s="204">
        <f>((($W$25)^M27)*((1-($W$25))^($U$28-M27))*HLOOKUP($U$28,$AV$24:$BF$34,M27+1))*V28</f>
        <v>2.0043780966297466E-2</v>
      </c>
      <c r="AF27" s="28">
        <v>2</v>
      </c>
      <c r="AG27" s="204">
        <f>((($W$25)^M27)*((1-($W$25))^($U$29-M27))*HLOOKUP($U$29,$AV$24:$BF$34,M27+1))*V29</f>
        <v>5.0399384583661708E-2</v>
      </c>
      <c r="AH27" s="28">
        <v>2</v>
      </c>
      <c r="AI27" s="204">
        <f>((($W$25)^M27)*((1-($W$25))^($U$30-M27))*HLOOKUP($U$30,$AV$24:$BF$34,M27+1))*V30</f>
        <v>7.2439371028917163E-2</v>
      </c>
      <c r="AJ27" s="28">
        <v>2</v>
      </c>
      <c r="AK27" s="204">
        <f>((($W$25)^M27)*((1-($W$25))^($U$31-M27))*HLOOKUP($U$31,$AV$24:$BF$34,M27+1))*V31</f>
        <v>6.5107451988599449E-2</v>
      </c>
      <c r="AL27" s="28">
        <v>2</v>
      </c>
      <c r="AM27" s="204">
        <f>((($W$25)^Q27)*((1-($W$25))^($U$32-Q27))*HLOOKUP($U$32,$AV$24:$BF$34,Q27+1))*V32</f>
        <v>3.7485390746448508E-2</v>
      </c>
      <c r="AN27" s="28">
        <v>2</v>
      </c>
      <c r="AO27" s="204">
        <f>((($W$25)^Q27)*((1-($W$25))^($U$33-Q27))*HLOOKUP($U$33,$AV$24:$BF$34,Q27+1))*V33</f>
        <v>1.3513271042490706E-2</v>
      </c>
      <c r="AP27" s="28">
        <v>2</v>
      </c>
      <c r="AQ27" s="204">
        <f>((($W$25)^Q27)*((1-($W$25))^($U$34-Q27))*HLOOKUP($U$34,$AV$24:$BF$34,Q27+1))*V34</f>
        <v>2.7962282054788687E-3</v>
      </c>
      <c r="AR27" s="28">
        <v>2</v>
      </c>
      <c r="AS27" s="204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7.4213003904082765E-3</v>
      </c>
      <c r="BQ27" s="31">
        <f>BQ21+1</f>
        <v>7</v>
      </c>
      <c r="BR27" s="31">
        <v>3</v>
      </c>
      <c r="BS27" s="107">
        <f t="shared" si="17"/>
        <v>3.2273815158254885E-4</v>
      </c>
    </row>
    <row r="28" spans="1:71" x14ac:dyDescent="0.25">
      <c r="A28" s="26" t="s">
        <v>117</v>
      </c>
      <c r="B28" s="266">
        <v>0.9</v>
      </c>
      <c r="C28" s="267">
        <v>0.9</v>
      </c>
      <c r="D28" s="195">
        <v>8.5000000000000006E-2</v>
      </c>
      <c r="E28" s="195">
        <v>8.5000000000000006E-2</v>
      </c>
      <c r="G28" s="87">
        <v>3</v>
      </c>
      <c r="H28" s="126">
        <f>J28*L25+J27*L26+L28*J25+L27*J26</f>
        <v>0.19469393302537902</v>
      </c>
      <c r="I28" s="138">
        <v>3</v>
      </c>
      <c r="J28" s="86">
        <f t="shared" si="18"/>
        <v>0.11651924413027481</v>
      </c>
      <c r="K28" s="138">
        <v>3</v>
      </c>
      <c r="L28" s="86">
        <f>AE18</f>
        <v>9.7529419381236909E-3</v>
      </c>
      <c r="M28" s="85">
        <v>3</v>
      </c>
      <c r="N28" s="201">
        <f>(($B$24)^M28)*((1-($B$24))^($B$21-M28))*HLOOKUP($B$21,$AV$24:$BF$34,M28+1)</f>
        <v>0.3125</v>
      </c>
      <c r="O28" s="72">
        <v>3</v>
      </c>
      <c r="P28" s="201">
        <f t="shared" si="19"/>
        <v>0.3125</v>
      </c>
      <c r="Q28" s="28">
        <v>3</v>
      </c>
      <c r="R28" s="202">
        <f>P25*N28+P26*N27+P27*N26+P28*N25</f>
        <v>0.1171875</v>
      </c>
      <c r="S28" s="72">
        <v>3</v>
      </c>
      <c r="T28" s="203">
        <f t="shared" si="20"/>
        <v>0</v>
      </c>
      <c r="U28" s="138">
        <v>3</v>
      </c>
      <c r="V28" s="86">
        <f>R28*T25+R27*T26+R26*T27+R25*T28</f>
        <v>0.1168212890625</v>
      </c>
      <c r="W28" s="205"/>
      <c r="X28" s="28">
        <v>3</v>
      </c>
      <c r="Y28" s="202"/>
      <c r="Z28" s="28">
        <v>3</v>
      </c>
      <c r="AA28" s="204"/>
      <c r="AB28" s="28">
        <v>3</v>
      </c>
      <c r="AC28" s="204"/>
      <c r="AD28" s="28">
        <v>3</v>
      </c>
      <c r="AE28" s="204">
        <f>((($W$25)^M28)*((1-($W$25))^($U$28-M28))*HLOOKUP($U$28,$AV$24:$BF$34,M28+1))*V28</f>
        <v>2.6278573144405764E-3</v>
      </c>
      <c r="AF28" s="28">
        <v>3</v>
      </c>
      <c r="AG28" s="204">
        <f>((($W$25)^M28)*((1-($W$25))^($U$29-M28))*HLOOKUP($U$29,$AV$24:$BF$34,M28+1))*V29</f>
        <v>1.3215310189646728E-2</v>
      </c>
      <c r="AH28" s="28">
        <v>3</v>
      </c>
      <c r="AI28" s="204">
        <f>((($W$25)^M28)*((1-($W$25))^($U$30-M28))*HLOOKUP($U$30,$AV$24:$BF$34,M28+1))*V30</f>
        <v>2.8491679987707214E-2</v>
      </c>
      <c r="AJ28" s="28">
        <v>3</v>
      </c>
      <c r="AK28" s="204">
        <f>((($W$25)^M28)*((1-($W$25))^($U$31-M28))*HLOOKUP($U$31,$AV$24:$BF$34,M28+1))*V31</f>
        <v>3.4143876191924771E-2</v>
      </c>
      <c r="AL28" s="28">
        <v>3</v>
      </c>
      <c r="AM28" s="204">
        <f>((($W$25)^Q28)*((1-($W$25))^($U$32-Q28))*HLOOKUP($U$32,$AV$24:$BF$34,Q28+1))*V32</f>
        <v>2.4572773575841499E-2</v>
      </c>
      <c r="AN28" s="28">
        <v>3</v>
      </c>
      <c r="AO28" s="204">
        <f>((($W$25)^Q28)*((1-($W$25))^($U$33-Q28))*HLOOKUP($U$33,$AV$24:$BF$34,Q28+1))*V33</f>
        <v>1.0630014829259102E-2</v>
      </c>
      <c r="AP28" s="28">
        <v>3</v>
      </c>
      <c r="AQ28" s="204">
        <f>((($W$25)^Q28)*((1-($W$25))^($U$34-Q28))*HLOOKUP($U$34,$AV$24:$BF$34,Q28+1))*V34</f>
        <v>2.5662134945885081E-3</v>
      </c>
      <c r="AR28" s="28">
        <v>3</v>
      </c>
      <c r="AS28" s="204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1.8052668401748219E-3</v>
      </c>
      <c r="BQ28" s="31">
        <f>BQ22+1</f>
        <v>7</v>
      </c>
      <c r="BR28" s="31">
        <v>4</v>
      </c>
      <c r="BS28" s="107">
        <f t="shared" si="17"/>
        <v>3.0692257937243127E-4</v>
      </c>
    </row>
    <row r="29" spans="1:71" x14ac:dyDescent="0.25">
      <c r="A29" s="26" t="s">
        <v>118</v>
      </c>
      <c r="B29" s="197">
        <f>1/(1+EXP(-3.1416*4*((B14/(B14+C13))-(3.1416/6))))</f>
        <v>6.2199958135446112E-2</v>
      </c>
      <c r="C29" s="198">
        <f>1/(1+EXP(-3.1416*4*((C14/(C14+B13))-(3.1416/6))))</f>
        <v>6.2199958135446112E-2</v>
      </c>
      <c r="D29" s="195">
        <v>0.04</v>
      </c>
      <c r="E29" s="195">
        <v>0.04</v>
      </c>
      <c r="G29" s="87">
        <v>4</v>
      </c>
      <c r="H29" s="126">
        <f>J29*L25+J28*L26+J27*L27+J26*L28</f>
        <v>8.8515106244660705E-2</v>
      </c>
      <c r="I29" s="138">
        <v>4</v>
      </c>
      <c r="J29" s="86">
        <f t="shared" si="18"/>
        <v>3.3566646621282149E-2</v>
      </c>
      <c r="K29" s="138">
        <v>4</v>
      </c>
      <c r="L29" s="86"/>
      <c r="M29" s="85">
        <v>4</v>
      </c>
      <c r="N29" s="201">
        <f>(($B$24)^M29)*((1-($B$24))^($B$21-M29))*HLOOKUP($B$21,$AV$24:$BF$34,M29+1)</f>
        <v>0.15625</v>
      </c>
      <c r="O29" s="72">
        <v>4</v>
      </c>
      <c r="P29" s="201">
        <f t="shared" si="19"/>
        <v>0.15625</v>
      </c>
      <c r="Q29" s="28">
        <v>4</v>
      </c>
      <c r="R29" s="202">
        <f>P25*N29+P26*N28+P27*N27+P28*N26+P29*N25</f>
        <v>0.205078125</v>
      </c>
      <c r="S29" s="72">
        <v>4</v>
      </c>
      <c r="T29" s="203">
        <f t="shared" si="20"/>
        <v>0</v>
      </c>
      <c r="U29" s="138">
        <v>4</v>
      </c>
      <c r="V29" s="86">
        <f>T29*R25+T28*R26+T27*R27+T26*R28+T25*R29</f>
        <v>0.20463867187499998</v>
      </c>
      <c r="W29" s="205"/>
      <c r="X29" s="28">
        <v>4</v>
      </c>
      <c r="Y29" s="202"/>
      <c r="Z29" s="28">
        <v>4</v>
      </c>
      <c r="AA29" s="204"/>
      <c r="AB29" s="28">
        <v>4</v>
      </c>
      <c r="AC29" s="204"/>
      <c r="AD29" s="28">
        <v>4</v>
      </c>
      <c r="AE29" s="204"/>
      <c r="AF29" s="28">
        <v>4</v>
      </c>
      <c r="AG29" s="204">
        <f>((($W$25)^M29)*((1-($W$25))^($U$29-M29))*HLOOKUP($U$29,$AV$24:$BF$34,M29+1))*V29</f>
        <v>1.2994535413324991E-3</v>
      </c>
      <c r="AH29" s="28">
        <v>4</v>
      </c>
      <c r="AI29" s="204">
        <f>((($W$25)^M29)*((1-($W$25))^($U$30-M29))*HLOOKUP($U$30,$AV$24:$BF$34,M29+1))*V30</f>
        <v>5.6031396807535916E-3</v>
      </c>
      <c r="AJ29" s="28">
        <v>4</v>
      </c>
      <c r="AK29" s="204">
        <f>((($W$25)^M29)*((1-($W$25))^($U$31-M29))*HLOOKUP($U$31,$AV$24:$BF$34,M29+1))*V31</f>
        <v>1.0072040730570494E-2</v>
      </c>
      <c r="AL29" s="28">
        <v>4</v>
      </c>
      <c r="AM29" s="204">
        <f>((($W$25)^Q29)*((1-($W$25))^($U$32-Q29))*HLOOKUP($U$32,$AV$24:$BF$34,Q29+1))*V32</f>
        <v>9.6649044737533978E-3</v>
      </c>
      <c r="AN29" s="28">
        <v>4</v>
      </c>
      <c r="AO29" s="204">
        <f>((($W$25)^Q29)*((1-($W$25))^($U$33-Q29))*HLOOKUP($U$33,$AV$24:$BF$34,Q29+1))*V33</f>
        <v>5.2262149794710857E-3</v>
      </c>
      <c r="AP29" s="28">
        <v>4</v>
      </c>
      <c r="AQ29" s="204">
        <f>((($W$25)^Q29)*((1-($W$25))^($U$34-Q29))*HLOOKUP($U$34,$AV$24:$BF$34,Q29+1))*V34</f>
        <v>1.5140054219706935E-3</v>
      </c>
      <c r="AR29" s="28">
        <v>4</v>
      </c>
      <c r="AS29" s="204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3.044906036158849E-4</v>
      </c>
      <c r="BQ29" s="31">
        <f>BQ23+1</f>
        <v>7</v>
      </c>
      <c r="BR29" s="31">
        <v>5</v>
      </c>
      <c r="BS29" s="107">
        <f t="shared" si="17"/>
        <v>2.0416255647874774E-4</v>
      </c>
    </row>
    <row r="30" spans="1:71" x14ac:dyDescent="0.25">
      <c r="A30" s="26" t="s">
        <v>119</v>
      </c>
      <c r="B30" s="266">
        <v>0.15</v>
      </c>
      <c r="C30" s="267">
        <v>0.15</v>
      </c>
      <c r="D30" s="195">
        <f>IF(B17="TL",0.875*B32,0.001)</f>
        <v>1E-3</v>
      </c>
      <c r="E30" s="195">
        <f>IF(C17="TL",0.875*C32,0.001)</f>
        <v>1E-3</v>
      </c>
      <c r="G30" s="87">
        <v>5</v>
      </c>
      <c r="H30" s="126">
        <f>J30*L25+J29*L26+J28*L27+J27*L28</f>
        <v>2.9105146636060539E-2</v>
      </c>
      <c r="I30" s="138">
        <v>5</v>
      </c>
      <c r="J30" s="86">
        <f t="shared" si="18"/>
        <v>6.6343357195268009E-3</v>
      </c>
      <c r="K30" s="138">
        <v>5</v>
      </c>
      <c r="L30" s="86"/>
      <c r="M30" s="85">
        <v>5</v>
      </c>
      <c r="N30" s="201">
        <f>(($B$24)^M30)*((1-($B$24))^($B$21-M30))*HLOOKUP($B$21,$AV$24:$BF$34,M30+1)</f>
        <v>3.125E-2</v>
      </c>
      <c r="O30" s="72">
        <v>5</v>
      </c>
      <c r="P30" s="201">
        <f t="shared" si="19"/>
        <v>3.125E-2</v>
      </c>
      <c r="Q30" s="28">
        <v>5</v>
      </c>
      <c r="R30" s="202">
        <f>P25*N30+P26*N29+P27*N28+P28*N27+P29*N26+P30*N25</f>
        <v>0.24609375</v>
      </c>
      <c r="S30" s="72">
        <v>5</v>
      </c>
      <c r="T30" s="203">
        <f t="shared" si="20"/>
        <v>0</v>
      </c>
      <c r="U30" s="138">
        <v>5</v>
      </c>
      <c r="V30" s="86">
        <f>T30*R25+T29*R26+T28*R27+T27*R28+T26*R29+T25*R30</f>
        <v>0.24588867187500002</v>
      </c>
      <c r="W30" s="205"/>
      <c r="X30" s="28">
        <v>5</v>
      </c>
      <c r="Y30" s="202"/>
      <c r="Z30" s="28">
        <v>5</v>
      </c>
      <c r="AA30" s="204"/>
      <c r="AB30" s="28">
        <v>5</v>
      </c>
      <c r="AC30" s="204"/>
      <c r="AD30" s="28">
        <v>5</v>
      </c>
      <c r="AE30" s="204"/>
      <c r="AF30" s="28">
        <v>5</v>
      </c>
      <c r="AG30" s="204"/>
      <c r="AH30" s="28">
        <v>5</v>
      </c>
      <c r="AI30" s="204">
        <f>((($W$25)^M30)*((1-($W$25))^($U$30-M30))*HLOOKUP($U$30,$AV$24:$BF$34,M30+1))*V30</f>
        <v>4.4076269697793829E-4</v>
      </c>
      <c r="AJ30" s="28">
        <v>5</v>
      </c>
      <c r="AK30" s="204">
        <f>((($W$25)^M30)*((1-($W$25))^($U$31-M30))*HLOOKUP($U$31,$AV$24:$BF$34,M30+1))*V31</f>
        <v>1.5846043787653078E-3</v>
      </c>
      <c r="AL30" s="28">
        <v>5</v>
      </c>
      <c r="AM30" s="204">
        <f>((($W$25)^Q30)*((1-($W$25))^($U$32-Q30))*HLOOKUP($U$32,$AV$24:$BF$34,Q30+1))*V32</f>
        <v>2.2808262534583569E-3</v>
      </c>
      <c r="AN30" s="28">
        <v>5</v>
      </c>
      <c r="AO30" s="204">
        <f>((($W$25)^Q30)*((1-($W$25))^($U$33-Q30))*HLOOKUP($U$33,$AV$24:$BF$34,Q30+1))*V33</f>
        <v>1.6444498910142215E-3</v>
      </c>
      <c r="AP30" s="28">
        <v>5</v>
      </c>
      <c r="AQ30" s="204">
        <f>((($W$25)^Q30)*((1-($W$25))^($U$34-Q30))*HLOOKUP($U$34,$AV$24:$BF$34,Q30+1))*V34</f>
        <v>5.9548498792490743E-4</v>
      </c>
      <c r="AR30" s="28">
        <v>5</v>
      </c>
      <c r="AS30" s="204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3.4018600652142579E-5</v>
      </c>
      <c r="BQ30" s="31">
        <f>BM10+1</f>
        <v>7</v>
      </c>
      <c r="BR30" s="31">
        <v>6</v>
      </c>
      <c r="BS30" s="107">
        <f t="shared" si="17"/>
        <v>9.7145419739477759E-5</v>
      </c>
    </row>
    <row r="31" spans="1:71" x14ac:dyDescent="0.25">
      <c r="A31" s="179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7.1210733677970952E-3</v>
      </c>
      <c r="I31" s="138">
        <v>6</v>
      </c>
      <c r="J31" s="86">
        <f t="shared" si="18"/>
        <v>9.1135518025398804E-4</v>
      </c>
      <c r="K31" s="138">
        <v>6</v>
      </c>
      <c r="L31" s="86"/>
      <c r="M31" s="85"/>
      <c r="N31" s="202"/>
      <c r="O31" s="202"/>
      <c r="P31" s="202"/>
      <c r="Q31" s="28">
        <v>6</v>
      </c>
      <c r="R31" s="202">
        <f>P26*N30+P27*N29+P28*N28+P29*N27+P30*N26</f>
        <v>0.205078125</v>
      </c>
      <c r="S31" s="72">
        <v>6</v>
      </c>
      <c r="T31" s="203">
        <f t="shared" si="20"/>
        <v>0</v>
      </c>
      <c r="U31" s="138">
        <v>6</v>
      </c>
      <c r="V31" s="86">
        <f>T31*R25+T30*R26+T29*R27+T28*R28+T27*R29+T26*R30+T25*R31</f>
        <v>0.20528320312499998</v>
      </c>
      <c r="W31" s="205"/>
      <c r="X31" s="28">
        <v>6</v>
      </c>
      <c r="Y31" s="202"/>
      <c r="Z31" s="28">
        <v>6</v>
      </c>
      <c r="AA31" s="204"/>
      <c r="AB31" s="28">
        <v>6</v>
      </c>
      <c r="AC31" s="204"/>
      <c r="AD31" s="28">
        <v>6</v>
      </c>
      <c r="AE31" s="204"/>
      <c r="AF31" s="28">
        <v>6</v>
      </c>
      <c r="AG31" s="204"/>
      <c r="AH31" s="28">
        <v>6</v>
      </c>
      <c r="AI31" s="204"/>
      <c r="AJ31" s="28">
        <v>6</v>
      </c>
      <c r="AK31" s="204">
        <f>((($W$25)^Q31)*((1-($W$25))^($U$31-Q31))*HLOOKUP($U$31,$AV$24:$BF$34,Q31+1))*V31</f>
        <v>1.0387546676534513E-4</v>
      </c>
      <c r="AL31" s="28">
        <v>6</v>
      </c>
      <c r="AM31" s="204">
        <f>((($W$25)^Q31)*((1-($W$25))^($U$32-Q31))*HLOOKUP($U$32,$AV$24:$BF$34,Q31+1))*V32</f>
        <v>2.99029707179334E-4</v>
      </c>
      <c r="AN31" s="28">
        <v>6</v>
      </c>
      <c r="AO31" s="204">
        <f>((($W$25)^Q31)*((1-($W$25))^($U$33-Q31))*HLOOKUP($U$33,$AV$24:$BF$34,Q31+1))*V33</f>
        <v>3.2339554709754341E-4</v>
      </c>
      <c r="AP31" s="28">
        <v>6</v>
      </c>
      <c r="AQ31" s="204">
        <f>((($W$25)^Q31)*((1-($W$25))^($U$34-Q31))*HLOOKUP($U$34,$AV$24:$BF$34,Q31+1))*V34</f>
        <v>1.5614315320939062E-4</v>
      </c>
      <c r="AR31" s="28">
        <v>6</v>
      </c>
      <c r="AS31" s="204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4.5538437640203974E-2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2.492830841266876E-6</v>
      </c>
    </row>
    <row r="32" spans="1:71" x14ac:dyDescent="0.25">
      <c r="A32" s="26" t="s">
        <v>121</v>
      </c>
      <c r="B32" s="206">
        <f>IF(B17&lt;&gt;"TL",0.001,IF(B18&lt;5,0.1,IF(B18&lt;10,0.2,IF(B18&lt;14,0.3,0.35))))</f>
        <v>1E-3</v>
      </c>
      <c r="C32" s="207">
        <f>IF(C17&lt;&gt;"TL",0.001,IF(C18&lt;5,0.1,IF(C18&lt;10,0.2,IF(C18&lt;14,0.3,0.35))))</f>
        <v>1E-3</v>
      </c>
      <c r="G32" s="87">
        <v>7</v>
      </c>
      <c r="H32" s="126">
        <f>J32*L25+J31*L26+J30*L27+J29*L28</f>
        <v>1.3122093600232932E-3</v>
      </c>
      <c r="I32" s="138">
        <v>7</v>
      </c>
      <c r="J32" s="86">
        <f t="shared" si="18"/>
        <v>8.596211849690371E-5</v>
      </c>
      <c r="K32" s="138">
        <v>7</v>
      </c>
      <c r="L32" s="86"/>
      <c r="M32" s="85"/>
      <c r="N32" s="202"/>
      <c r="O32" s="202"/>
      <c r="P32" s="202"/>
      <c r="Q32" s="28">
        <v>7</v>
      </c>
      <c r="R32" s="202">
        <f>P27*N30+P28*N29+P29*N28+P30*N27</f>
        <v>0.1171875</v>
      </c>
      <c r="S32" s="72">
        <v>7</v>
      </c>
      <c r="T32" s="203">
        <f t="shared" si="20"/>
        <v>0</v>
      </c>
      <c r="U32" s="138">
        <v>7</v>
      </c>
      <c r="V32" s="86">
        <f>T32*R25+T31*R26+T30*R27+T29*R28+T28*R29+T27*R30+T26*R31+T25*R32</f>
        <v>0.117626953125</v>
      </c>
      <c r="W32" s="205"/>
      <c r="X32" s="28">
        <v>7</v>
      </c>
      <c r="Y32" s="202"/>
      <c r="Z32" s="28">
        <v>7</v>
      </c>
      <c r="AA32" s="204"/>
      <c r="AB32" s="28">
        <v>7</v>
      </c>
      <c r="AC32" s="204"/>
      <c r="AD32" s="28">
        <v>7</v>
      </c>
      <c r="AE32" s="204"/>
      <c r="AF32" s="28">
        <v>7</v>
      </c>
      <c r="AG32" s="204"/>
      <c r="AH32" s="28">
        <v>7</v>
      </c>
      <c r="AI32" s="204"/>
      <c r="AJ32" s="28">
        <v>7</v>
      </c>
      <c r="AK32" s="204"/>
      <c r="AL32" s="28">
        <v>7</v>
      </c>
      <c r="AM32" s="204">
        <f>((($W$25)^Q32)*((1-($W$25))^($U$32-Q32))*HLOOKUP($U$32,$AV$24:$BF$34,Q32+1))*V32</f>
        <v>1.6801949789688508E-5</v>
      </c>
      <c r="AN32" s="28">
        <v>7</v>
      </c>
      <c r="AO32" s="204">
        <f>((($W$25)^Q32)*((1-($W$25))^($U$33-Q32))*HLOOKUP($U$33,$AV$24:$BF$34,Q32+1))*V33</f>
        <v>3.6342046385933742E-5</v>
      </c>
      <c r="AP32" s="28">
        <v>7</v>
      </c>
      <c r="AQ32" s="204">
        <f>((($W$25)^Q32)*((1-($W$25))^($U$34-Q32))*HLOOKUP($U$34,$AV$24:$BF$34,Q32+1))*V34</f>
        <v>2.632022194357885E-5</v>
      </c>
      <c r="AR32" s="28">
        <v>7</v>
      </c>
      <c r="AS32" s="204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3.0291821037351754E-2</v>
      </c>
      <c r="BQ32" s="31">
        <f t="shared" si="24"/>
        <v>8</v>
      </c>
      <c r="BR32" s="31">
        <v>1</v>
      </c>
      <c r="BS32" s="107">
        <f t="shared" si="25"/>
        <v>1.3123489707298351E-5</v>
      </c>
    </row>
    <row r="33" spans="1:71" x14ac:dyDescent="0.25">
      <c r="A33" s="26" t="s">
        <v>122</v>
      </c>
      <c r="B33" s="283">
        <f>IF(B17&lt;&gt;"CA",0.005,IF((B18-B16)&lt;0,0.1,0.1+0.055*(B18-B16)))</f>
        <v>5.0000000000000001E-3</v>
      </c>
      <c r="C33" s="284">
        <f>IF(C17&lt;&gt;"CA",0.005,IF((C18-C16)&lt;0,0.1,0.1+0.055*(C18-C16)))</f>
        <v>5.0000000000000001E-3</v>
      </c>
      <c r="G33" s="87">
        <v>8</v>
      </c>
      <c r="H33" s="126">
        <f>J33*L25+J32*L26+J31*L27+J30*L28</f>
        <v>1.8202650778555981E-4</v>
      </c>
      <c r="I33" s="138">
        <v>8</v>
      </c>
      <c r="J33" s="86">
        <f t="shared" si="18"/>
        <v>5.3331994879499605E-6</v>
      </c>
      <c r="K33" s="138">
        <v>8</v>
      </c>
      <c r="L33" s="86"/>
      <c r="M33" s="85"/>
      <c r="N33" s="202"/>
      <c r="O33" s="202"/>
      <c r="P33" s="202"/>
      <c r="Q33" s="28">
        <v>8</v>
      </c>
      <c r="R33" s="202">
        <f>P28*N30+P29*N29+P30*N28</f>
        <v>4.39453125E-2</v>
      </c>
      <c r="S33" s="72">
        <v>8</v>
      </c>
      <c r="T33" s="203">
        <f t="shared" si="20"/>
        <v>0</v>
      </c>
      <c r="U33" s="138">
        <v>8</v>
      </c>
      <c r="V33" s="86">
        <f>T33*R25+T32*R26+T31*R27+T30*R28+T29*R29+T28*R30+T27*R31+T26*R32+T25*R33</f>
        <v>4.43115234375E-2</v>
      </c>
      <c r="W33" s="205"/>
      <c r="X33" s="28">
        <v>8</v>
      </c>
      <c r="Y33" s="202"/>
      <c r="Z33" s="28">
        <v>8</v>
      </c>
      <c r="AA33" s="204"/>
      <c r="AB33" s="28">
        <v>8</v>
      </c>
      <c r="AC33" s="204"/>
      <c r="AD33" s="28">
        <v>8</v>
      </c>
      <c r="AE33" s="204"/>
      <c r="AF33" s="28">
        <v>8</v>
      </c>
      <c r="AG33" s="204"/>
      <c r="AH33" s="28">
        <v>8</v>
      </c>
      <c r="AI33" s="204"/>
      <c r="AJ33" s="28">
        <v>8</v>
      </c>
      <c r="AK33" s="204"/>
      <c r="AL33" s="28">
        <v>8</v>
      </c>
      <c r="AM33" s="204"/>
      <c r="AN33" s="28">
        <v>8</v>
      </c>
      <c r="AO33" s="204">
        <f>((($W$25)^Q33)*((1-($W$25))^($U$33-Q33))*HLOOKUP($U$33,$AV$24:$BF$34,Q33+1))*V33</f>
        <v>1.7867458348601181E-6</v>
      </c>
      <c r="AP33" s="28">
        <v>8</v>
      </c>
      <c r="AQ33" s="204">
        <f>((($W$25)^Q33)*((1-($W$25))^($U$34-Q33))*HLOOKUP($U$34,$AV$24:$BF$34,Q33+1))*V34</f>
        <v>2.5880516705567523E-6</v>
      </c>
      <c r="AR33" s="28">
        <v>8</v>
      </c>
      <c r="AS33" s="204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1.4413571813071412E-2</v>
      </c>
      <c r="BQ33" s="31">
        <f t="shared" si="24"/>
        <v>8</v>
      </c>
      <c r="BR33" s="31">
        <v>2</v>
      </c>
      <c r="BS33" s="107">
        <f t="shared" si="25"/>
        <v>3.1327859525459047E-5</v>
      </c>
    </row>
    <row r="34" spans="1:71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1.8764225883529958E-5</v>
      </c>
      <c r="I34" s="138">
        <v>9</v>
      </c>
      <c r="J34" s="86">
        <f t="shared" si="18"/>
        <v>1.9687100373719795E-7</v>
      </c>
      <c r="K34" s="138">
        <v>9</v>
      </c>
      <c r="L34" s="86"/>
      <c r="M34" s="85"/>
      <c r="N34" s="202"/>
      <c r="O34" s="202"/>
      <c r="P34" s="202"/>
      <c r="Q34" s="28">
        <v>9</v>
      </c>
      <c r="R34" s="202">
        <f>P29*N30+P30*N29</f>
        <v>9.765625E-3</v>
      </c>
      <c r="S34" s="72">
        <v>9</v>
      </c>
      <c r="T34" s="203">
        <f t="shared" si="20"/>
        <v>0</v>
      </c>
      <c r="U34" s="138">
        <v>9</v>
      </c>
      <c r="V34" s="86">
        <f>T34*R25+T33*R26+T32*R27+T31*R28+T30*R29+T29*R30+T28*R31+T27*R32+T26*R33+T25*R34</f>
        <v>9.936523437499999E-3</v>
      </c>
      <c r="W34" s="205"/>
      <c r="X34" s="28">
        <v>9</v>
      </c>
      <c r="Y34" s="202"/>
      <c r="Z34" s="28">
        <v>9</v>
      </c>
      <c r="AA34" s="204"/>
      <c r="AB34" s="28">
        <v>9</v>
      </c>
      <c r="AC34" s="204"/>
      <c r="AD34" s="28">
        <v>9</v>
      </c>
      <c r="AE34" s="204"/>
      <c r="AF34" s="28">
        <v>9</v>
      </c>
      <c r="AG34" s="204"/>
      <c r="AH34" s="28">
        <v>9</v>
      </c>
      <c r="AI34" s="204"/>
      <c r="AJ34" s="28">
        <v>9</v>
      </c>
      <c r="AK34" s="204"/>
      <c r="AL34" s="28">
        <v>9</v>
      </c>
      <c r="AM34" s="204"/>
      <c r="AN34" s="28">
        <v>9</v>
      </c>
      <c r="AO34" s="204"/>
      <c r="AP34" s="28">
        <v>9</v>
      </c>
      <c r="AQ34" s="204">
        <f>((($W$25)^Q34)*((1-($W$25))^($U$34-Q34))*HLOOKUP($U$34,$AV$24:$BF$34,Q34+1))*V34</f>
        <v>1.1310292078555903E-7</v>
      </c>
      <c r="AR34" s="28">
        <v>9</v>
      </c>
      <c r="AS34" s="204">
        <f>((($W$25)^Q34)*((1-($W$25))^($U$35-Q34))*HLOOKUP($U$35,$AV$24:$BF$34,Q34+1))*V35</f>
        <v>8.3768082951638928E-8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4.9286704148969757E-3</v>
      </c>
      <c r="BQ34" s="31">
        <f t="shared" si="24"/>
        <v>8</v>
      </c>
      <c r="BR34" s="31">
        <v>3</v>
      </c>
      <c r="BS34" s="107">
        <f t="shared" si="25"/>
        <v>4.4769455584964873E-5</v>
      </c>
    </row>
    <row r="35" spans="1:71" ht="15.75" thickBot="1" x14ac:dyDescent="0.3">
      <c r="G35" s="88">
        <v>10</v>
      </c>
      <c r="H35" s="127">
        <f>J35*L25+J34*L26+J33*L27+J32*L28</f>
        <v>1.3967108621865284E-6</v>
      </c>
      <c r="I35" s="94">
        <v>10</v>
      </c>
      <c r="J35" s="89">
        <f t="shared" si="18"/>
        <v>3.2947461839350611E-9</v>
      </c>
      <c r="K35" s="94">
        <v>10</v>
      </c>
      <c r="L35" s="89"/>
      <c r="M35" s="85"/>
      <c r="N35" s="202"/>
      <c r="O35" s="202"/>
      <c r="P35" s="202"/>
      <c r="Q35" s="28">
        <v>10</v>
      </c>
      <c r="R35" s="202">
        <f>P30*N30</f>
        <v>9.765625E-4</v>
      </c>
      <c r="S35" s="72">
        <v>10</v>
      </c>
      <c r="T35" s="203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205"/>
      <c r="X35" s="28">
        <v>10</v>
      </c>
      <c r="Y35" s="202"/>
      <c r="Z35" s="28">
        <v>10</v>
      </c>
      <c r="AA35" s="204"/>
      <c r="AB35" s="28">
        <v>10</v>
      </c>
      <c r="AC35" s="204"/>
      <c r="AD35" s="28">
        <v>10</v>
      </c>
      <c r="AE35" s="204"/>
      <c r="AF35" s="28">
        <v>10</v>
      </c>
      <c r="AG35" s="204"/>
      <c r="AH35" s="28">
        <v>10</v>
      </c>
      <c r="AI35" s="204"/>
      <c r="AJ35" s="28">
        <v>10</v>
      </c>
      <c r="AK35" s="204"/>
      <c r="AL35" s="28">
        <v>10</v>
      </c>
      <c r="AM35" s="204"/>
      <c r="AN35" s="28">
        <v>10</v>
      </c>
      <c r="AO35" s="204"/>
      <c r="AP35" s="28">
        <v>10</v>
      </c>
      <c r="AQ35" s="204"/>
      <c r="AR35" s="28">
        <v>10</v>
      </c>
      <c r="AS35" s="204">
        <f>((($W$25)^Q35)*((1-($W$25))^($U$35-Q35))*HLOOKUP($U$35,$AV$24:$BF$34,Q35+1))*V35</f>
        <v>3.2947461839350611E-9</v>
      </c>
      <c r="BI35" s="31">
        <f t="shared" si="22"/>
        <v>3</v>
      </c>
      <c r="BJ35" s="31">
        <v>8</v>
      </c>
      <c r="BK35" s="107">
        <f t="shared" si="23"/>
        <v>1.1989226682784498E-3</v>
      </c>
      <c r="BQ35" s="31">
        <f t="shared" si="24"/>
        <v>8</v>
      </c>
      <c r="BR35" s="31">
        <v>4</v>
      </c>
      <c r="BS35" s="107">
        <f t="shared" si="25"/>
        <v>4.2575557670696871E-5</v>
      </c>
    </row>
    <row r="36" spans="1:71" ht="15.75" x14ac:dyDescent="0.25">
      <c r="A36" s="109" t="s">
        <v>124</v>
      </c>
      <c r="B36" s="210">
        <f>SUM(BO4:BO14)</f>
        <v>0.14521769300718684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99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2.0221979312350305E-4</v>
      </c>
      <c r="BQ36" s="31">
        <f t="shared" si="24"/>
        <v>8</v>
      </c>
      <c r="BR36" s="31">
        <v>5</v>
      </c>
      <c r="BS36" s="107">
        <f t="shared" si="25"/>
        <v>2.8320935902895012E-5</v>
      </c>
    </row>
    <row r="37" spans="1:71" ht="16.5" thickBot="1" x14ac:dyDescent="0.3">
      <c r="A37" s="110" t="s">
        <v>125</v>
      </c>
      <c r="B37" s="210">
        <f>SUM(BK4:BK59)</f>
        <v>0.70190283821403943</v>
      </c>
      <c r="G37" s="158"/>
      <c r="H37" s="257">
        <f>SUM(H39:H49)</f>
        <v>0.99999173861868029</v>
      </c>
      <c r="I37" s="258"/>
      <c r="J37" s="257">
        <f>SUM(J39:J49)</f>
        <v>1.0000000000000002</v>
      </c>
      <c r="K37" s="257"/>
      <c r="L37" s="257">
        <f>SUM(L39:L49)</f>
        <v>1</v>
      </c>
      <c r="M37" s="258"/>
      <c r="N37" s="259">
        <f>SUM(N39:N49)</f>
        <v>1</v>
      </c>
      <c r="O37" s="258"/>
      <c r="P37" s="259">
        <f>SUM(P39:P49)</f>
        <v>1</v>
      </c>
      <c r="Q37" s="258"/>
      <c r="R37" s="257">
        <f>SUM(R39:R49)</f>
        <v>1</v>
      </c>
      <c r="S37" s="258"/>
      <c r="T37" s="257">
        <f>SUM(T39:T49)</f>
        <v>1</v>
      </c>
      <c r="U37" s="258"/>
      <c r="V37" s="199">
        <f>SUM(V39:V48)</f>
        <v>0.99887438476562496</v>
      </c>
      <c r="W37" s="158"/>
      <c r="X37" s="158"/>
      <c r="Y37" s="196">
        <f>SUM(Y39:Y49)</f>
        <v>9.6198718261718752E-4</v>
      </c>
      <c r="Z37" s="81"/>
      <c r="AA37" s="196">
        <f>SUM(AA39:AA49)</f>
        <v>9.6343741455078135E-3</v>
      </c>
      <c r="AB37" s="81"/>
      <c r="AC37" s="196">
        <f>SUM(AC39:AC49)</f>
        <v>4.3434519287109383E-2</v>
      </c>
      <c r="AD37" s="81"/>
      <c r="AE37" s="196">
        <f>SUM(AE39:AE49)</f>
        <v>0.11609179516601563</v>
      </c>
      <c r="AF37" s="81"/>
      <c r="AG37" s="196">
        <f>SUM(AG39:AG49)</f>
        <v>0.20376086730957033</v>
      </c>
      <c r="AH37" s="81"/>
      <c r="AI37" s="196">
        <f>SUM(AI39:AI49)</f>
        <v>0.24547500769042968</v>
      </c>
      <c r="AJ37" s="81"/>
      <c r="AK37" s="196">
        <f>SUM(AK39:AK49)</f>
        <v>0.20568721142578125</v>
      </c>
      <c r="AL37" s="81"/>
      <c r="AM37" s="196">
        <f>SUM(AM39:AM49)</f>
        <v>0.11850233935546876</v>
      </c>
      <c r="AN37" s="81"/>
      <c r="AO37" s="196">
        <f>SUM(AO39:AO49)</f>
        <v>4.504503625488282E-2</v>
      </c>
      <c r="AP37" s="81"/>
      <c r="AQ37" s="196">
        <f>SUM(AQ39:AQ49)</f>
        <v>1.0281246948242189E-2</v>
      </c>
      <c r="AR37" s="81"/>
      <c r="AS37" s="196">
        <f>SUM(AS39:AS49)</f>
        <v>1.1256152343750436E-3</v>
      </c>
      <c r="BI37" s="31">
        <f t="shared" si="22"/>
        <v>3</v>
      </c>
      <c r="BJ37" s="31">
        <v>10</v>
      </c>
      <c r="BK37" s="107">
        <f t="shared" si="23"/>
        <v>2.2592599917813875E-5</v>
      </c>
      <c r="BQ37" s="31">
        <f t="shared" si="24"/>
        <v>8</v>
      </c>
      <c r="BR37" s="31">
        <v>6</v>
      </c>
      <c r="BS37" s="107">
        <f t="shared" si="25"/>
        <v>1.3475777601697362E-5</v>
      </c>
    </row>
    <row r="38" spans="1:71" ht="16.5" thickBot="1" x14ac:dyDescent="0.3">
      <c r="A38" s="111" t="s">
        <v>126</v>
      </c>
      <c r="B38" s="210">
        <f>SUM(BS4:BS47)</f>
        <v>0.15286973752182115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1.3771788960244202E-2</v>
      </c>
      <c r="BQ38" s="31">
        <f>BM11+1</f>
        <v>8</v>
      </c>
      <c r="BR38" s="31">
        <v>7</v>
      </c>
      <c r="BS38" s="107">
        <f t="shared" si="25"/>
        <v>4.6079949678388606E-6</v>
      </c>
    </row>
    <row r="39" spans="1:71" x14ac:dyDescent="0.25">
      <c r="G39" s="128">
        <v>0</v>
      </c>
      <c r="H39" s="129">
        <f>L39*J39</f>
        <v>1.3694878133923265E-2</v>
      </c>
      <c r="I39" s="97">
        <v>0</v>
      </c>
      <c r="J39" s="98">
        <f t="shared" ref="J39:J49" si="29">Y39+AA39+AC39+AE39+AG39+AI39+AK39+AM39+AO39+AQ39+AS39</f>
        <v>1.6398726728122089E-2</v>
      </c>
      <c r="K39" s="102">
        <v>0</v>
      </c>
      <c r="L39" s="98">
        <f>AH18</f>
        <v>0.83511838211426448</v>
      </c>
      <c r="M39" s="85">
        <v>0</v>
      </c>
      <c r="N39" s="201">
        <f>(1-$C$24)^$B$21</f>
        <v>3.125E-2</v>
      </c>
      <c r="O39" s="72">
        <v>0</v>
      </c>
      <c r="P39" s="201">
        <f t="shared" ref="P39:P44" si="30">N39</f>
        <v>3.125E-2</v>
      </c>
      <c r="Q39" s="28">
        <v>0</v>
      </c>
      <c r="R39" s="202">
        <f>P39*N39</f>
        <v>9.765625E-4</v>
      </c>
      <c r="S39" s="72">
        <v>0</v>
      </c>
      <c r="T39" s="203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204">
        <f>V39</f>
        <v>9.6198718261718752E-4</v>
      </c>
      <c r="Z39" s="28">
        <v>0</v>
      </c>
      <c r="AA39" s="204">
        <f>((1-W39)^Z40)*V40</f>
        <v>3.1527687275617025E-3</v>
      </c>
      <c r="AB39" s="28">
        <v>0</v>
      </c>
      <c r="AC39" s="204">
        <f>(((1-$W$39)^AB41))*V41</f>
        <v>4.6512772963077202E-3</v>
      </c>
      <c r="AD39" s="28">
        <v>0</v>
      </c>
      <c r="AE39" s="204">
        <f>(((1-$W$39)^AB42))*V42</f>
        <v>4.0682473058697476E-3</v>
      </c>
      <c r="AF39" s="28">
        <v>0</v>
      </c>
      <c r="AG39" s="204">
        <f>(((1-$W$39)^AB43))*V43</f>
        <v>2.3366582846844099E-3</v>
      </c>
      <c r="AH39" s="28">
        <v>0</v>
      </c>
      <c r="AI39" s="204">
        <f>(((1-$W$39)^AB44))*V44</f>
        <v>9.2119233008251561E-4</v>
      </c>
      <c r="AJ39" s="28">
        <v>0</v>
      </c>
      <c r="AK39" s="204">
        <f>(((1-$W$39)^AB45))*V45</f>
        <v>2.5259161377901013E-4</v>
      </c>
      <c r="AL39" s="28">
        <v>0</v>
      </c>
      <c r="AM39" s="204">
        <f>(((1-$W$39)^AB46))*V46</f>
        <v>4.7621949186226034E-5</v>
      </c>
      <c r="AN39" s="28">
        <v>0</v>
      </c>
      <c r="AO39" s="204">
        <f>(((1-$W$39)^AB47))*V47</f>
        <v>5.9237372977568796E-6</v>
      </c>
      <c r="AP39" s="28">
        <v>0</v>
      </c>
      <c r="AQ39" s="204">
        <f>(((1-$W$39)^AB48))*V48</f>
        <v>4.4244902924754704E-7</v>
      </c>
      <c r="AR39" s="28">
        <v>0</v>
      </c>
      <c r="AS39" s="204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6.552946055246393E-3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2.5697378675235137E-7</v>
      </c>
    </row>
    <row r="40" spans="1:71" x14ac:dyDescent="0.25">
      <c r="G40" s="91">
        <v>1</v>
      </c>
      <c r="H40" s="130">
        <f>L39*J40+L40*J39</f>
        <v>7.209658563992645E-2</v>
      </c>
      <c r="I40" s="138">
        <v>1</v>
      </c>
      <c r="J40" s="86">
        <f t="shared" si="29"/>
        <v>8.3288661818144122E-2</v>
      </c>
      <c r="K40" s="95">
        <v>1</v>
      </c>
      <c r="L40" s="86">
        <f>AI18</f>
        <v>0.15493234176155896</v>
      </c>
      <c r="M40" s="85">
        <v>1</v>
      </c>
      <c r="N40" s="201">
        <f>(($C$24)^M26)*((1-($C$24))^($B$21-M26))*HLOOKUP($B$21,$AV$24:$BF$34,M26+1)</f>
        <v>0.15625</v>
      </c>
      <c r="O40" s="72">
        <v>1</v>
      </c>
      <c r="P40" s="201">
        <f t="shared" si="30"/>
        <v>0.15625</v>
      </c>
      <c r="Q40" s="28">
        <v>1</v>
      </c>
      <c r="R40" s="202">
        <f>P40*N39+P39*N40</f>
        <v>9.765625E-3</v>
      </c>
      <c r="S40" s="72">
        <v>1</v>
      </c>
      <c r="T40" s="203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205"/>
      <c r="X40" s="28">
        <v>1</v>
      </c>
      <c r="Y40" s="202"/>
      <c r="Z40" s="28">
        <v>1</v>
      </c>
      <c r="AA40" s="204">
        <f>(1-((1-W39)^Z40))*V40</f>
        <v>6.4816054179461114E-3</v>
      </c>
      <c r="AB40" s="28">
        <v>1</v>
      </c>
      <c r="AC40" s="204">
        <f>((($W$39)^M40)*((1-($W$39))^($U$27-M40))*HLOOKUP($U$27,$AV$24:$BF$34,M40+1))*V41</f>
        <v>1.912461504744346E-2</v>
      </c>
      <c r="AD40" s="28">
        <v>1</v>
      </c>
      <c r="AE40" s="204">
        <f>((($W$39)^M40)*((1-($W$39))^($U$28-M40))*HLOOKUP($U$28,$AV$24:$BF$34,M40+1))*V42</f>
        <v>2.5091063815197618E-2</v>
      </c>
      <c r="AF40" s="28">
        <v>1</v>
      </c>
      <c r="AG40" s="204">
        <f>((($W$39)^M40)*((1-($W$39))^($U$29-M40))*HLOOKUP($U$29,$AV$24:$BF$34,M40+1))*V43</f>
        <v>1.9215233728370876E-2</v>
      </c>
      <c r="AH40" s="28">
        <v>1</v>
      </c>
      <c r="AI40" s="204">
        <f>((($W$39)^M40)*((1-($W$39))^($U$30-M40))*HLOOKUP($U$30,$AV$24:$BF$34,M40+1))*V44</f>
        <v>9.4691455567864537E-3</v>
      </c>
      <c r="AJ40" s="28">
        <v>1</v>
      </c>
      <c r="AK40" s="204">
        <f>((($W$39)^M40)*((1-($W$39))^($U$31-M40))*HLOOKUP($U$31,$AV$24:$BF$34,M40+1))*V45</f>
        <v>3.1157360032506394E-3</v>
      </c>
      <c r="AL40" s="28">
        <v>1</v>
      </c>
      <c r="AM40" s="204">
        <f>((($W$39)^Q40)*((1-($W$39))^($U$32-Q40))*HLOOKUP($U$32,$AV$24:$BF$34,Q40+1))*V46</f>
        <v>6.8532359133148416E-4</v>
      </c>
      <c r="AN40" s="28">
        <v>1</v>
      </c>
      <c r="AO40" s="204">
        <f>((($W$39)^Q40)*((1-($W$39))^($U$33-Q40))*HLOOKUP($U$33,$AV$24:$BF$34,Q40+1))*V47</f>
        <v>9.7426309587445657E-5</v>
      </c>
      <c r="AP40" s="28">
        <v>1</v>
      </c>
      <c r="AQ40" s="204">
        <f>((($W$39)^Q40)*((1-($W$39))^($U$34-Q40))*HLOOKUP($U$34,$AV$24:$BF$34,Q40+1))*V48</f>
        <v>8.1864616331005381E-6</v>
      </c>
      <c r="AR40" s="28">
        <v>1</v>
      </c>
      <c r="AS40" s="204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2.2407569596051748E-3</v>
      </c>
      <c r="BQ40" s="31">
        <f t="shared" si="31"/>
        <v>9</v>
      </c>
      <c r="BR40" s="31">
        <v>1</v>
      </c>
      <c r="BS40" s="107">
        <f t="shared" si="32"/>
        <v>1.3528366183788421E-6</v>
      </c>
    </row>
    <row r="41" spans="1:71" x14ac:dyDescent="0.25">
      <c r="G41" s="91">
        <v>2</v>
      </c>
      <c r="H41" s="130">
        <f>L39*J41+J40*L40+J39*L41</f>
        <v>0.17210602953700291</v>
      </c>
      <c r="I41" s="138">
        <v>2</v>
      </c>
      <c r="J41" s="86">
        <f t="shared" si="29"/>
        <v>0.19044330645887322</v>
      </c>
      <c r="K41" s="95">
        <v>2</v>
      </c>
      <c r="L41" s="86">
        <f>AJ18</f>
        <v>9.709055315433637E-3</v>
      </c>
      <c r="M41" s="85">
        <v>2</v>
      </c>
      <c r="N41" s="201">
        <f>(($C$24)^M27)*((1-($C$24))^($B$21-M27))*HLOOKUP($B$21,$AV$24:$BF$34,M27+1)</f>
        <v>0.3125</v>
      </c>
      <c r="O41" s="72">
        <v>2</v>
      </c>
      <c r="P41" s="201">
        <f t="shared" si="30"/>
        <v>0.3125</v>
      </c>
      <c r="Q41" s="28">
        <v>2</v>
      </c>
      <c r="R41" s="202">
        <f>P41*N39+P40*N40+P39*N41</f>
        <v>4.39453125E-2</v>
      </c>
      <c r="S41" s="72">
        <v>2</v>
      </c>
      <c r="T41" s="203">
        <f t="shared" si="33"/>
        <v>7.4625000000000011E-5</v>
      </c>
      <c r="U41" s="138">
        <v>2</v>
      </c>
      <c r="V41" s="86">
        <f>R41*T39+T40*R40+R39*T41</f>
        <v>4.3434519287109383E-2</v>
      </c>
      <c r="W41" s="205"/>
      <c r="X41" s="28">
        <v>2</v>
      </c>
      <c r="Y41" s="202"/>
      <c r="Z41" s="28">
        <v>2</v>
      </c>
      <c r="AA41" s="204"/>
      <c r="AB41" s="28">
        <v>2</v>
      </c>
      <c r="AC41" s="204">
        <f>((($W$39)^M41)*((1-($W$39))^($U$27-M41))*HLOOKUP($U$27,$AV$24:$BF$34,M41+1))*V41</f>
        <v>1.9658626943358203E-2</v>
      </c>
      <c r="AD41" s="28">
        <v>2</v>
      </c>
      <c r="AE41" s="204">
        <f>((($W$39)^M41)*((1-($W$39))^($U$28-M41))*HLOOKUP($U$28,$AV$24:$BF$34,M41+1))*V42</f>
        <v>5.158335076876764E-2</v>
      </c>
      <c r="AF41" s="28">
        <v>2</v>
      </c>
      <c r="AG41" s="204">
        <f>((($W$39)^M41)*((1-($W$39))^($U$29-M41))*HLOOKUP($U$29,$AV$24:$BF$34,M41+1))*V43</f>
        <v>5.9255327841901816E-2</v>
      </c>
      <c r="AH41" s="28">
        <v>2</v>
      </c>
      <c r="AI41" s="204">
        <f>((($W$39)^M41)*((1-($W$39))^($U$30-M41))*HLOOKUP($U$30,$AV$24:$BF$34,M41+1))*V44</f>
        <v>3.8934200664730655E-2</v>
      </c>
      <c r="AJ41" s="28">
        <v>2</v>
      </c>
      <c r="AK41" s="204">
        <f>((($W$39)^M41)*((1-($W$39))^($U$31-M41))*HLOOKUP($U$31,$AV$24:$BF$34,M41+1))*V45</f>
        <v>1.6013679645301444E-2</v>
      </c>
      <c r="AL41" s="28">
        <v>2</v>
      </c>
      <c r="AM41" s="204">
        <f>((($W$39)^Q41)*((1-($W$39))^($U$32-Q41))*HLOOKUP($U$32,$AV$24:$BF$34,Q41+1))*V46</f>
        <v>4.2267582748346392E-3</v>
      </c>
      <c r="AN41" s="28">
        <v>2</v>
      </c>
      <c r="AO41" s="204">
        <f>((($W$39)^Q41)*((1-($W$39))^($U$33-Q41))*HLOOKUP($U$33,$AV$24:$BF$34,Q41+1))*V47</f>
        <v>7.0102704233653153E-4</v>
      </c>
      <c r="AP41" s="28">
        <v>2</v>
      </c>
      <c r="AQ41" s="204">
        <f>((($W$39)^Q41)*((1-($W$39))^($U$34-Q41))*HLOOKUP($U$34,$AV$24:$BF$34,Q41+1))*V48</f>
        <v>6.732040141231574E-5</v>
      </c>
      <c r="AR41" s="28">
        <v>2</v>
      </c>
      <c r="AS41" s="204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5.4507485524967858E-4</v>
      </c>
      <c r="BQ41" s="31">
        <f t="shared" si="31"/>
        <v>9</v>
      </c>
      <c r="BR41" s="31">
        <v>2</v>
      </c>
      <c r="BS41" s="107">
        <f t="shared" si="32"/>
        <v>3.2294364141498013E-6</v>
      </c>
    </row>
    <row r="42" spans="1:71" ht="15" customHeight="1" x14ac:dyDescent="0.25">
      <c r="G42" s="91">
        <v>3</v>
      </c>
      <c r="H42" s="130">
        <f>J42*L39+J41*L40+L42*J39+L41*J40</f>
        <v>0.24595019774650889</v>
      </c>
      <c r="I42" s="138">
        <v>3</v>
      </c>
      <c r="J42" s="86">
        <f t="shared" si="29"/>
        <v>0.2582050418025405</v>
      </c>
      <c r="K42" s="95">
        <v>3</v>
      </c>
      <c r="L42" s="86">
        <f>AK18</f>
        <v>2.4022080874292785E-4</v>
      </c>
      <c r="M42" s="85">
        <v>3</v>
      </c>
      <c r="N42" s="201">
        <f>(($C$24)^M28)*((1-($C$24))^($B$21-M28))*HLOOKUP($B$21,$AV$24:$BF$34,M28+1)</f>
        <v>0.3125</v>
      </c>
      <c r="O42" s="72">
        <v>3</v>
      </c>
      <c r="P42" s="201">
        <f t="shared" si="30"/>
        <v>0.3125</v>
      </c>
      <c r="Q42" s="28">
        <v>3</v>
      </c>
      <c r="R42" s="202">
        <f>P42*N39+P41*N40+P40*N41+P39*N42</f>
        <v>0.1171875</v>
      </c>
      <c r="S42" s="72">
        <v>3</v>
      </c>
      <c r="T42" s="203">
        <f t="shared" si="33"/>
        <v>1.2500000000000002E-7</v>
      </c>
      <c r="U42" s="138">
        <v>3</v>
      </c>
      <c r="V42" s="86">
        <f>R42*T39+R41*T40+R40*T41+R39*T42</f>
        <v>0.11609179516601563</v>
      </c>
      <c r="W42" s="205"/>
      <c r="X42" s="28">
        <v>3</v>
      </c>
      <c r="Y42" s="202"/>
      <c r="Z42" s="28">
        <v>3</v>
      </c>
      <c r="AA42" s="204"/>
      <c r="AB42" s="28">
        <v>3</v>
      </c>
      <c r="AC42" s="204"/>
      <c r="AD42" s="28">
        <v>3</v>
      </c>
      <c r="AE42" s="204">
        <f>((($W$39)^M42)*((1-($W$39))^($U$28-M42))*HLOOKUP($U$28,$AV$24:$BF$34,M42+1))*V42</f>
        <v>3.5349133276180625E-2</v>
      </c>
      <c r="AF42" s="28">
        <v>3</v>
      </c>
      <c r="AG42" s="204">
        <f>((($W$39)^M42)*((1-($W$39))^($U$29-M42))*HLOOKUP($U$29,$AV$24:$BF$34,M42+1))*V43</f>
        <v>8.1213199607630113E-2</v>
      </c>
      <c r="AH42" s="28">
        <v>3</v>
      </c>
      <c r="AI42" s="204">
        <f>((($W$39)^M42)*((1-($W$39))^($U$30-M42))*HLOOKUP($U$30,$AV$24:$BF$34,M42+1))*V44</f>
        <v>8.00427014407388E-2</v>
      </c>
      <c r="AJ42" s="28">
        <v>3</v>
      </c>
      <c r="AK42" s="204">
        <f>((($W$39)^M42)*((1-($W$39))^($U$31-M42))*HLOOKUP($U$31,$AV$24:$BF$34,M42+1))*V45</f>
        <v>4.3895535097077241E-2</v>
      </c>
      <c r="AL42" s="28">
        <v>3</v>
      </c>
      <c r="AM42" s="204">
        <f>((($W$39)^Q42)*((1-($W$39))^($U$32-Q42))*HLOOKUP($U$32,$AV$24:$BF$34,Q42+1))*V46</f>
        <v>1.4482603335822276E-2</v>
      </c>
      <c r="AN42" s="28">
        <v>3</v>
      </c>
      <c r="AO42" s="204">
        <f>((($W$39)^Q42)*((1-($W$39))^($U$33-Q42))*HLOOKUP($U$33,$AV$24:$BF$34,Q42+1))*V47</f>
        <v>2.8824065882239857E-3</v>
      </c>
      <c r="AP42" s="28">
        <v>3</v>
      </c>
      <c r="AQ42" s="204">
        <f>((($W$39)^Q42)*((1-($W$39))^($U$34-Q42))*HLOOKUP($U$34,$AV$24:$BF$34,Q42+1))*V48</f>
        <v>3.2293413754337739E-4</v>
      </c>
      <c r="AR42" s="28">
        <v>3</v>
      </c>
      <c r="AS42" s="204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9.1936642272088252E-5</v>
      </c>
      <c r="BQ42" s="31">
        <f t="shared" si="31"/>
        <v>9</v>
      </c>
      <c r="BR42" s="31">
        <v>3</v>
      </c>
      <c r="BS42" s="107">
        <f t="shared" si="32"/>
        <v>4.615065066614354E-6</v>
      </c>
    </row>
    <row r="43" spans="1:71" ht="15" customHeight="1" x14ac:dyDescent="0.25">
      <c r="G43" s="91">
        <v>4</v>
      </c>
      <c r="H43" s="130">
        <f>J43*L39+J42*L40+J41*L41+J40*L42</f>
        <v>0.23389756903348335</v>
      </c>
      <c r="I43" s="138">
        <v>4</v>
      </c>
      <c r="J43" s="86">
        <f t="shared" si="29"/>
        <v>0.22993653247059839</v>
      </c>
      <c r="K43" s="95">
        <v>4</v>
      </c>
      <c r="L43" s="86"/>
      <c r="M43" s="85">
        <v>4</v>
      </c>
      <c r="N43" s="201">
        <f>(($C$24)^M29)*((1-($C$24))^($B$21-M29))*HLOOKUP($B$21,$AV$24:$BF$34,M29+1)</f>
        <v>0.15625</v>
      </c>
      <c r="O43" s="72">
        <v>4</v>
      </c>
      <c r="P43" s="201">
        <f t="shared" si="30"/>
        <v>0.15625</v>
      </c>
      <c r="Q43" s="28">
        <v>4</v>
      </c>
      <c r="R43" s="202">
        <f>P43*N39+P42*N40+P41*N41+P40*N42+P39*N43</f>
        <v>0.205078125</v>
      </c>
      <c r="S43" s="72">
        <v>4</v>
      </c>
      <c r="T43" s="203">
        <f t="shared" si="33"/>
        <v>0</v>
      </c>
      <c r="U43" s="138">
        <v>4</v>
      </c>
      <c r="V43" s="86">
        <f>T43*R39+T42*R40+T41*R41+T40*R42+T39*R43</f>
        <v>0.20376086730957033</v>
      </c>
      <c r="W43" s="205"/>
      <c r="X43" s="28">
        <v>4</v>
      </c>
      <c r="Y43" s="202"/>
      <c r="Z43" s="28">
        <v>4</v>
      </c>
      <c r="AA43" s="204"/>
      <c r="AB43" s="28">
        <v>4</v>
      </c>
      <c r="AC43" s="204"/>
      <c r="AD43" s="28">
        <v>4</v>
      </c>
      <c r="AE43" s="204"/>
      <c r="AF43" s="28">
        <v>4</v>
      </c>
      <c r="AG43" s="204">
        <f>((($W$39)^M43)*((1-($W$39))^($U$29-M43))*HLOOKUP($U$29,$AV$24:$BF$34,M43+1))*V43</f>
        <v>4.1740447846983122E-2</v>
      </c>
      <c r="AH43" s="28">
        <v>4</v>
      </c>
      <c r="AI43" s="204">
        <f>((($W$39)^M43)*((1-($W$39))^($U$30-M43))*HLOOKUP($U$30,$AV$24:$BF$34,M43+1))*V44</f>
        <v>8.2277713996257926E-2</v>
      </c>
      <c r="AJ43" s="28">
        <v>4</v>
      </c>
      <c r="AK43" s="204">
        <f>((($W$39)^M43)*((1-($W$39))^($U$31-M43))*HLOOKUP($U$31,$AV$24:$BF$34,M43+1))*V45</f>
        <v>6.7681828900489349E-2</v>
      </c>
      <c r="AL43" s="28">
        <v>4</v>
      </c>
      <c r="AM43" s="204">
        <f>((($W$39)^Q43)*((1-($W$39))^($U$32-Q43))*HLOOKUP($U$32,$AV$24:$BF$34,Q43+1))*V46</f>
        <v>2.9773994973626861E-2</v>
      </c>
      <c r="AN43" s="28">
        <v>4</v>
      </c>
      <c r="AO43" s="204">
        <f>((($W$39)^Q43)*((1-($W$39))^($U$33-Q43))*HLOOKUP($U$33,$AV$24:$BF$34,Q43+1))*V47</f>
        <v>7.407228286216927E-3</v>
      </c>
      <c r="AP43" s="28">
        <v>4</v>
      </c>
      <c r="AQ43" s="204">
        <f>((($W$39)^Q43)*((1-($W$39))^($U$34-Q43))*HLOOKUP($U$34,$AV$24:$BF$34,Q43+1))*V48</f>
        <v>9.9585404278592694E-4</v>
      </c>
      <c r="AR43" s="28">
        <v>4</v>
      </c>
      <c r="AS43" s="204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1.0271436561958655E-5</v>
      </c>
      <c r="BQ43" s="31">
        <f t="shared" si="31"/>
        <v>9</v>
      </c>
      <c r="BR43" s="31">
        <v>4</v>
      </c>
      <c r="BS43" s="107">
        <f t="shared" si="32"/>
        <v>4.3889068189528235E-6</v>
      </c>
    </row>
    <row r="44" spans="1:71" ht="15" customHeight="1" thickBot="1" x14ac:dyDescent="0.3">
      <c r="G44" s="91">
        <v>5</v>
      </c>
      <c r="H44" s="130">
        <f>J44*L39+J43*L40+J42*L41+J41*L42</f>
        <v>0.15558687713912026</v>
      </c>
      <c r="I44" s="138">
        <v>5</v>
      </c>
      <c r="J44" s="86">
        <f t="shared" si="29"/>
        <v>0.14059036268725228</v>
      </c>
      <c r="K44" s="95">
        <v>5</v>
      </c>
      <c r="L44" s="86"/>
      <c r="M44" s="85">
        <v>5</v>
      </c>
      <c r="N44" s="201">
        <f>(($C$24)^M30)*((1-($C$24))^($B$21-M30))*HLOOKUP($B$21,$AV$24:$BF$34,M30+1)</f>
        <v>3.125E-2</v>
      </c>
      <c r="O44" s="72">
        <v>5</v>
      </c>
      <c r="P44" s="201">
        <f t="shared" si="30"/>
        <v>3.125E-2</v>
      </c>
      <c r="Q44" s="28">
        <v>5</v>
      </c>
      <c r="R44" s="202">
        <f>P44*N39+P43*N40+P42*N41+P41*N42+P40*N43+P39*N44</f>
        <v>0.24609375</v>
      </c>
      <c r="S44" s="72">
        <v>5</v>
      </c>
      <c r="T44" s="203">
        <f t="shared" si="33"/>
        <v>0</v>
      </c>
      <c r="U44" s="138">
        <v>5</v>
      </c>
      <c r="V44" s="86">
        <f>T44*R39+T43*R40+T42*R41+T41*R42+T40*R43+T39*R44</f>
        <v>0.24547500769042968</v>
      </c>
      <c r="W44" s="205"/>
      <c r="X44" s="28">
        <v>5</v>
      </c>
      <c r="Y44" s="202"/>
      <c r="Z44" s="28">
        <v>5</v>
      </c>
      <c r="AA44" s="204"/>
      <c r="AB44" s="28">
        <v>5</v>
      </c>
      <c r="AC44" s="204"/>
      <c r="AD44" s="28">
        <v>5</v>
      </c>
      <c r="AE44" s="204"/>
      <c r="AF44" s="28">
        <v>5</v>
      </c>
      <c r="AG44" s="204"/>
      <c r="AH44" s="28">
        <v>5</v>
      </c>
      <c r="AI44" s="204">
        <f>((($W$39)^M44)*((1-($W$39))^($U$30-M44))*HLOOKUP($U$30,$AV$24:$BF$34,M44+1))*V44</f>
        <v>3.3830053701833347E-2</v>
      </c>
      <c r="AJ44" s="28">
        <v>5</v>
      </c>
      <c r="AK44" s="204">
        <f>((($W$39)^M44)*((1-($W$39))^($U$31-M44))*HLOOKUP($U$31,$AV$24:$BF$34,M44+1))*V45</f>
        <v>5.5657353495406743E-2</v>
      </c>
      <c r="AL44" s="28">
        <v>5</v>
      </c>
      <c r="AM44" s="204">
        <f>((($W$39)^Q44)*((1-($W$39))^($U$32-Q44))*HLOOKUP($U$32,$AV$24:$BF$34,Q44+1))*V46</f>
        <v>3.672644024559521E-2</v>
      </c>
      <c r="AN44" s="28">
        <v>5</v>
      </c>
      <c r="AO44" s="204">
        <f>((($W$39)^Q44)*((1-($W$39))^($U$33-Q44))*HLOOKUP($U$33,$AV$24:$BF$34,Q44+1))*V47</f>
        <v>1.2182493583419421E-2</v>
      </c>
      <c r="AP44" s="28">
        <v>5</v>
      </c>
      <c r="AQ44" s="204">
        <f>((($W$39)^Q44)*((1-($W$39))^($U$34-Q44))*HLOOKUP($U$34,$AV$24:$BF$34,Q44+1))*V48</f>
        <v>2.0473220578398669E-3</v>
      </c>
      <c r="AR44" s="28">
        <v>5</v>
      </c>
      <c r="AS44" s="204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2.1547108050570221E-3</v>
      </c>
      <c r="BQ44" s="31">
        <f t="shared" si="31"/>
        <v>9</v>
      </c>
      <c r="BR44" s="31">
        <v>5</v>
      </c>
      <c r="BS44" s="107">
        <f t="shared" si="32"/>
        <v>2.9194673071514756E-6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7.4031951530778073E-2</v>
      </c>
      <c r="I45" s="138">
        <v>6</v>
      </c>
      <c r="J45" s="86">
        <f t="shared" si="29"/>
        <v>5.9818423044771037E-2</v>
      </c>
      <c r="K45" s="95">
        <v>6</v>
      </c>
      <c r="L45" s="86"/>
      <c r="M45" s="85"/>
      <c r="N45" s="202"/>
      <c r="O45" s="202"/>
      <c r="P45" s="202"/>
      <c r="Q45" s="28">
        <v>6</v>
      </c>
      <c r="R45" s="202">
        <f>P44*N40+P43*N41+P42*N42+P41*N43+P40*N44</f>
        <v>0.205078125</v>
      </c>
      <c r="S45" s="72">
        <v>6</v>
      </c>
      <c r="T45" s="203">
        <f t="shared" si="33"/>
        <v>0</v>
      </c>
      <c r="U45" s="138">
        <v>6</v>
      </c>
      <c r="V45" s="86">
        <f>T45*R39+T44*R40+T43*R41+T42*R42+T41*R43+T40*R44+T39*R45</f>
        <v>0.20568721142578125</v>
      </c>
      <c r="W45" s="205"/>
      <c r="X45" s="28">
        <v>6</v>
      </c>
      <c r="Y45" s="202"/>
      <c r="Z45" s="28">
        <v>6</v>
      </c>
      <c r="AA45" s="204"/>
      <c r="AB45" s="28">
        <v>6</v>
      </c>
      <c r="AC45" s="204"/>
      <c r="AD45" s="28">
        <v>6</v>
      </c>
      <c r="AE45" s="204"/>
      <c r="AF45" s="28">
        <v>6</v>
      </c>
      <c r="AG45" s="204"/>
      <c r="AH45" s="28">
        <v>6</v>
      </c>
      <c r="AI45" s="204"/>
      <c r="AJ45" s="28">
        <v>6</v>
      </c>
      <c r="AK45" s="204">
        <f>((($W$39)^Q45)*((1-($W$39))^($U$31-Q45))*HLOOKUP($U$31,$AV$24:$BF$34,Q45+1))*V45</f>
        <v>1.9070486670476849E-2</v>
      </c>
      <c r="AL45" s="28">
        <v>6</v>
      </c>
      <c r="AM45" s="204">
        <f>((($W$39)^Q45)*((1-($W$39))^($U$32-Q45))*HLOOKUP($U$32,$AV$24:$BF$34,Q45+1))*V46</f>
        <v>2.5167962368727769E-2</v>
      </c>
      <c r="AN45" s="28">
        <v>6</v>
      </c>
      <c r="AO45" s="204">
        <f>((($W$39)^Q45)*((1-($W$39))^($U$33-Q45))*HLOOKUP($U$33,$AV$24:$BF$34,Q45+1))*V47</f>
        <v>1.2522662338676046E-2</v>
      </c>
      <c r="AP45" s="28">
        <v>6</v>
      </c>
      <c r="AQ45" s="204">
        <f>((($W$39)^Q45)*((1-($W$39))^($U$34-Q45))*HLOOKUP($U$34,$AV$24:$BF$34,Q45+1))*V48</f>
        <v>2.8059852337341601E-3</v>
      </c>
      <c r="AR45" s="28">
        <v>6</v>
      </c>
      <c r="AS45" s="204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7.3679581544891114E-4</v>
      </c>
      <c r="BQ45" s="31">
        <f t="shared" si="31"/>
        <v>9</v>
      </c>
      <c r="BR45" s="31">
        <v>6</v>
      </c>
      <c r="BS45" s="107">
        <f t="shared" si="32"/>
        <v>1.3891522611220612E-6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2.5314966616111798E-2</v>
      </c>
      <c r="I46" s="138">
        <v>7</v>
      </c>
      <c r="J46" s="86">
        <f t="shared" si="29"/>
        <v>1.7514790020947545E-2</v>
      </c>
      <c r="K46" s="95">
        <v>7</v>
      </c>
      <c r="L46" s="86"/>
      <c r="M46" s="85"/>
      <c r="N46" s="202"/>
      <c r="O46" s="202"/>
      <c r="P46" s="202"/>
      <c r="Q46" s="28">
        <v>7</v>
      </c>
      <c r="R46" s="202">
        <f>P44*N41+P43*N42+P42*N43+P41*N44</f>
        <v>0.1171875</v>
      </c>
      <c r="S46" s="72">
        <v>7</v>
      </c>
      <c r="T46" s="203">
        <f t="shared" si="33"/>
        <v>0</v>
      </c>
      <c r="U46" s="138">
        <v>7</v>
      </c>
      <c r="V46" s="86">
        <f>T46*R39+T45*R40+T44*R41+T43*R42+T42*R43+T41*R44+T40*R45+T39*R46</f>
        <v>0.11850233935546875</v>
      </c>
      <c r="W46" s="205"/>
      <c r="X46" s="28">
        <v>7</v>
      </c>
      <c r="Y46" s="202"/>
      <c r="Z46" s="28">
        <v>7</v>
      </c>
      <c r="AA46" s="204"/>
      <c r="AB46" s="28">
        <v>7</v>
      </c>
      <c r="AC46" s="204"/>
      <c r="AD46" s="28">
        <v>7</v>
      </c>
      <c r="AE46" s="204"/>
      <c r="AF46" s="28">
        <v>7</v>
      </c>
      <c r="AG46" s="204"/>
      <c r="AH46" s="28">
        <v>7</v>
      </c>
      <c r="AI46" s="204"/>
      <c r="AJ46" s="28">
        <v>7</v>
      </c>
      <c r="AK46" s="204"/>
      <c r="AL46" s="28">
        <v>7</v>
      </c>
      <c r="AM46" s="204">
        <f>((($W$39)^Q46)*((1-($W$39))^($U$32-Q46))*HLOOKUP($U$32,$AV$24:$BF$34,Q46+1))*V46</f>
        <v>7.3916346163442909E-3</v>
      </c>
      <c r="AN46" s="28">
        <v>7</v>
      </c>
      <c r="AO46" s="204">
        <f>((($W$39)^Q46)*((1-($W$39))^($U$33-Q46))*HLOOKUP($U$33,$AV$24:$BF$34,Q46+1))*V47</f>
        <v>7.3556168811156585E-3</v>
      </c>
      <c r="AP46" s="28">
        <v>7</v>
      </c>
      <c r="AQ46" s="204">
        <f>((($W$39)^Q46)*((1-($W$39))^($U$34-Q46))*HLOOKUP($U$34,$AV$24:$BF$34,Q46+1))*V48</f>
        <v>2.4722880560714361E-3</v>
      </c>
      <c r="AR46" s="28">
        <v>7</v>
      </c>
      <c r="AS46" s="204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1.7922910859781435E-4</v>
      </c>
      <c r="BQ46" s="31">
        <f t="shared" si="31"/>
        <v>9</v>
      </c>
      <c r="BR46" s="31">
        <v>7</v>
      </c>
      <c r="BS46" s="107">
        <f t="shared" si="32"/>
        <v>4.750157518187418E-7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6.1579867931589125E-3</v>
      </c>
      <c r="I47" s="138">
        <v>8</v>
      </c>
      <c r="J47" s="86">
        <f t="shared" si="29"/>
        <v>3.3885330649019887E-3</v>
      </c>
      <c r="K47" s="95">
        <v>8</v>
      </c>
      <c r="L47" s="86"/>
      <c r="M47" s="85"/>
      <c r="N47" s="202"/>
      <c r="O47" s="202"/>
      <c r="P47" s="202"/>
      <c r="Q47" s="28">
        <v>8</v>
      </c>
      <c r="R47" s="202">
        <f>P44*N42+P43*N43+P42*N44</f>
        <v>4.39453125E-2</v>
      </c>
      <c r="S47" s="72">
        <v>8</v>
      </c>
      <c r="T47" s="203">
        <f t="shared" si="33"/>
        <v>0</v>
      </c>
      <c r="U47" s="138">
        <v>8</v>
      </c>
      <c r="V47" s="86">
        <f>T47*R39+T46*R40+T45*R41+T44*R42+T43*R43+T42*R44+T41*R45+T40*R46+T39*R47</f>
        <v>4.5045036254882813E-2</v>
      </c>
      <c r="W47" s="205"/>
      <c r="X47" s="28">
        <v>8</v>
      </c>
      <c r="Y47" s="202"/>
      <c r="Z47" s="28">
        <v>8</v>
      </c>
      <c r="AA47" s="204"/>
      <c r="AB47" s="28">
        <v>8</v>
      </c>
      <c r="AC47" s="204"/>
      <c r="AD47" s="28">
        <v>8</v>
      </c>
      <c r="AE47" s="204"/>
      <c r="AF47" s="28">
        <v>8</v>
      </c>
      <c r="AG47" s="204"/>
      <c r="AH47" s="28">
        <v>8</v>
      </c>
      <c r="AI47" s="204"/>
      <c r="AJ47" s="28">
        <v>8</v>
      </c>
      <c r="AK47" s="204"/>
      <c r="AL47" s="28">
        <v>8</v>
      </c>
      <c r="AM47" s="204"/>
      <c r="AN47" s="28">
        <v>8</v>
      </c>
      <c r="AO47" s="204">
        <f>((($W$39)^Q47)*((1-($W$39))^($U$33-Q47))*HLOOKUP($U$33,$AV$24:$BF$34,Q47+1))*V47</f>
        <v>1.890251488009045E-3</v>
      </c>
      <c r="AP47" s="28">
        <v>8</v>
      </c>
      <c r="AQ47" s="204">
        <f>((($W$39)^Q47)*((1-($W$39))^($U$34-Q47))*HLOOKUP($U$34,$AV$24:$BF$34,Q47+1))*V48</f>
        <v>1.2706605719973848E-3</v>
      </c>
      <c r="AR47" s="28">
        <v>8</v>
      </c>
      <c r="AS47" s="204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3.0230201014050962E-5</v>
      </c>
      <c r="BQ47" s="31">
        <f>BM12+1</f>
        <v>9</v>
      </c>
      <c r="BR47" s="31">
        <v>8</v>
      </c>
      <c r="BS47" s="107">
        <f t="shared" si="32"/>
        <v>1.1554985517462811E-7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1.0386548259680131E-3</v>
      </c>
      <c r="I48" s="138">
        <v>9</v>
      </c>
      <c r="J48" s="86">
        <f t="shared" si="29"/>
        <v>3.9424322949234403E-4</v>
      </c>
      <c r="K48" s="95">
        <v>9</v>
      </c>
      <c r="L48" s="86"/>
      <c r="M48" s="85"/>
      <c r="N48" s="202"/>
      <c r="O48" s="202"/>
      <c r="P48" s="202"/>
      <c r="Q48" s="28">
        <v>9</v>
      </c>
      <c r="R48" s="202">
        <f>P44*N43+P43*N44</f>
        <v>9.765625E-3</v>
      </c>
      <c r="S48" s="72">
        <v>9</v>
      </c>
      <c r="T48" s="203">
        <f t="shared" si="33"/>
        <v>0</v>
      </c>
      <c r="U48" s="138">
        <v>9</v>
      </c>
      <c r="V48" s="86">
        <f>T48*R39+T47*R40+T46*R41+T45*R42+T44*R43+T43*R44+T42*R45+T41*R46+T40*R47+T39*R48</f>
        <v>1.0281246948242189E-2</v>
      </c>
      <c r="W48" s="205"/>
      <c r="X48" s="28">
        <v>9</v>
      </c>
      <c r="Y48" s="202"/>
      <c r="Z48" s="28">
        <v>9</v>
      </c>
      <c r="AA48" s="204"/>
      <c r="AB48" s="28">
        <v>9</v>
      </c>
      <c r="AC48" s="204"/>
      <c r="AD48" s="28">
        <v>9</v>
      </c>
      <c r="AE48" s="204"/>
      <c r="AF48" s="28">
        <v>9</v>
      </c>
      <c r="AG48" s="204"/>
      <c r="AH48" s="28">
        <v>9</v>
      </c>
      <c r="AI48" s="204"/>
      <c r="AJ48" s="28">
        <v>9</v>
      </c>
      <c r="AK48" s="204"/>
      <c r="AL48" s="28">
        <v>9</v>
      </c>
      <c r="AM48" s="204"/>
      <c r="AN48" s="28">
        <v>9</v>
      </c>
      <c r="AO48" s="204"/>
      <c r="AP48" s="28">
        <v>9</v>
      </c>
      <c r="AQ48" s="204">
        <f>((($W$39)^Q48)*((1-($W$39))^($U$34-Q48))*HLOOKUP($U$34,$AV$24:$BF$34,Q48+1))*V48</f>
        <v>2.9025353619537367E-4</v>
      </c>
      <c r="AR48" s="28">
        <v>9</v>
      </c>
      <c r="AS48" s="204">
        <f>((($W$39)^Q48)*((1-($W$39))^($U$35-Q48))*HLOOKUP($U$35,$AV$24:$BF$34,Q48+1))*V49</f>
        <v>1.0398969329697035E-4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3.3774084445256278E-6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1.160416226984785E-4</v>
      </c>
      <c r="I49" s="94">
        <v>10</v>
      </c>
      <c r="J49" s="89">
        <f t="shared" si="29"/>
        <v>2.1378674356665328E-5</v>
      </c>
      <c r="K49" s="96">
        <v>10</v>
      </c>
      <c r="L49" s="89"/>
      <c r="M49" s="85"/>
      <c r="N49" s="202"/>
      <c r="O49" s="202"/>
      <c r="P49" s="202"/>
      <c r="Q49" s="28">
        <v>10</v>
      </c>
      <c r="R49" s="202">
        <f>P44*N44</f>
        <v>9.765625E-4</v>
      </c>
      <c r="S49" s="72">
        <v>10</v>
      </c>
      <c r="T49" s="203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205"/>
      <c r="X49" s="28">
        <v>10</v>
      </c>
      <c r="Y49" s="202"/>
      <c r="Z49" s="28">
        <v>10</v>
      </c>
      <c r="AA49" s="204"/>
      <c r="AB49" s="28">
        <v>10</v>
      </c>
      <c r="AC49" s="204"/>
      <c r="AD49" s="28">
        <v>10</v>
      </c>
      <c r="AE49" s="204"/>
      <c r="AF49" s="28">
        <v>10</v>
      </c>
      <c r="AG49" s="204"/>
      <c r="AH49" s="28">
        <v>10</v>
      </c>
      <c r="AI49" s="204"/>
      <c r="AJ49" s="28">
        <v>10</v>
      </c>
      <c r="AK49" s="204"/>
      <c r="AL49" s="28">
        <v>10</v>
      </c>
      <c r="AM49" s="204"/>
      <c r="AN49" s="28">
        <v>10</v>
      </c>
      <c r="AO49" s="204"/>
      <c r="AP49" s="28">
        <v>10</v>
      </c>
      <c r="AQ49" s="204"/>
      <c r="AR49" s="28">
        <v>10</v>
      </c>
      <c r="AS49" s="204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9.7522231954707753E-5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08"/>
      <c r="H50" s="77"/>
      <c r="I50" s="286"/>
      <c r="J50" s="286"/>
      <c r="K50" s="77"/>
      <c r="L50" s="77"/>
      <c r="O50" s="195"/>
      <c r="P50" s="195"/>
      <c r="Q50" s="195"/>
      <c r="R50" s="195"/>
      <c r="S50" s="208"/>
      <c r="T50" s="208"/>
      <c r="U50" s="208"/>
      <c r="V50" s="77"/>
      <c r="W50" s="286"/>
      <c r="X50" s="158"/>
      <c r="Y50" s="158"/>
      <c r="BI50" s="31">
        <f>BI45+1</f>
        <v>6</v>
      </c>
      <c r="BJ50" s="31">
        <v>7</v>
      </c>
      <c r="BK50" s="107">
        <f>$H$31*H46</f>
        <v>1.8026973457666628E-4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4.3851475752010172E-5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7.3963372195347449E-6</v>
      </c>
    </row>
    <row r="53" spans="1:63" x14ac:dyDescent="0.25">
      <c r="BI53" s="31">
        <f>BI48+1</f>
        <v>6</v>
      </c>
      <c r="BJ53" s="31">
        <v>10</v>
      </c>
      <c r="BK53" s="107">
        <f>$H$31*H49</f>
        <v>8.2634090895409408E-7</v>
      </c>
    </row>
    <row r="54" spans="1:63" x14ac:dyDescent="0.25">
      <c r="BI54" s="31">
        <f>BI51+1</f>
        <v>7</v>
      </c>
      <c r="BJ54" s="31">
        <v>8</v>
      </c>
      <c r="BK54" s="107">
        <f>$H$32*H47</f>
        <v>8.0805679088829491E-6</v>
      </c>
    </row>
    <row r="55" spans="1:63" x14ac:dyDescent="0.25">
      <c r="BI55" s="31">
        <f>BI52+1</f>
        <v>7</v>
      </c>
      <c r="BJ55" s="31">
        <v>9</v>
      </c>
      <c r="BK55" s="107">
        <f>$H$32*H48</f>
        <v>1.3629325844685915E-6</v>
      </c>
    </row>
    <row r="56" spans="1:63" x14ac:dyDescent="0.25">
      <c r="BI56" s="31">
        <f>BI53+1</f>
        <v>7</v>
      </c>
      <c r="BJ56" s="31">
        <v>10</v>
      </c>
      <c r="BK56" s="107">
        <f>$H$32*H49</f>
        <v>1.5227090345723492E-7</v>
      </c>
    </row>
    <row r="57" spans="1:63" x14ac:dyDescent="0.25">
      <c r="BI57" s="31">
        <f>BI55+1</f>
        <v>8</v>
      </c>
      <c r="BJ57" s="31">
        <v>9</v>
      </c>
      <c r="BK57" s="107">
        <f>$H$33*H48</f>
        <v>1.8906271076557581E-7</v>
      </c>
    </row>
    <row r="58" spans="1:63" x14ac:dyDescent="0.25">
      <c r="BI58" s="31">
        <f>BI56+1</f>
        <v>8</v>
      </c>
      <c r="BJ58" s="31">
        <v>10</v>
      </c>
      <c r="BK58" s="107">
        <f>$H$33*H49</f>
        <v>2.112265133757359E-8</v>
      </c>
    </row>
    <row r="59" spans="1:63" x14ac:dyDescent="0.25">
      <c r="BI59" s="31">
        <f>BI58+1</f>
        <v>9</v>
      </c>
      <c r="BJ59" s="31">
        <v>10</v>
      </c>
      <c r="BK59" s="107">
        <f>$H$34*H49</f>
        <v>2.1774312202056078E-9</v>
      </c>
    </row>
  </sheetData>
  <mergeCells count="1"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09" t="s">
        <v>143</v>
      </c>
      <c r="B1" s="31" t="s">
        <v>0</v>
      </c>
      <c r="E1" s="276">
        <v>1.5</v>
      </c>
      <c r="F1" s="276">
        <v>2.5</v>
      </c>
      <c r="G1" s="276">
        <v>3.5</v>
      </c>
      <c r="H1" s="212"/>
      <c r="I1" s="211"/>
      <c r="J1" s="213"/>
      <c r="K1" s="212"/>
      <c r="L1" s="212"/>
      <c r="M1" s="212"/>
      <c r="N1" s="212">
        <f>COUNTIF(B17:C17,"JC")</f>
        <v>0</v>
      </c>
      <c r="O1" s="211"/>
      <c r="P1" s="211"/>
      <c r="Q1" s="301"/>
      <c r="R1" s="301"/>
      <c r="S1" s="214"/>
      <c r="T1" s="214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5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71" ht="15.75" x14ac:dyDescent="0.25">
      <c r="A2" s="209" t="s">
        <v>145</v>
      </c>
      <c r="B2" s="31" t="s">
        <v>0</v>
      </c>
      <c r="E2" s="236"/>
      <c r="F2" s="236"/>
      <c r="G2" s="236"/>
      <c r="H2" s="236"/>
      <c r="I2" s="236"/>
      <c r="J2" s="236"/>
      <c r="K2" s="236"/>
      <c r="L2" s="236"/>
      <c r="M2" s="236"/>
      <c r="N2" s="252">
        <f>SUM(N4:N15)</f>
        <v>3.5750000000000002</v>
      </c>
      <c r="O2" s="236"/>
      <c r="P2" s="238"/>
      <c r="Q2" s="238"/>
      <c r="R2" s="189">
        <f>SUM(R4:R15)</f>
        <v>1.6799999999999997</v>
      </c>
      <c r="S2" s="189">
        <f>SUM(S4:S15)</f>
        <v>3.5750000000000006</v>
      </c>
      <c r="T2" s="247">
        <f t="shared" ref="T2:U2" si="0">SUM(T4:T15)</f>
        <v>1.6724879535147399</v>
      </c>
      <c r="U2" s="247">
        <f t="shared" si="0"/>
        <v>0.83852395124716561</v>
      </c>
      <c r="V2" s="158"/>
      <c r="W2" s="158"/>
      <c r="X2" s="281">
        <f t="shared" ref="X2:Y2" si="1">SUM(X4:X15)</f>
        <v>0.83719143282312936</v>
      </c>
      <c r="Y2" s="282">
        <f t="shared" si="1"/>
        <v>0.50404156037414971</v>
      </c>
      <c r="Z2" s="211"/>
      <c r="AA2" s="217" t="s">
        <v>19</v>
      </c>
      <c r="AB2" s="217" t="s">
        <v>20</v>
      </c>
      <c r="AC2" s="217" t="s">
        <v>21</v>
      </c>
      <c r="AD2" s="217" t="s">
        <v>22</v>
      </c>
      <c r="AE2" s="219"/>
      <c r="AF2" s="211"/>
      <c r="AG2" s="218" t="s">
        <v>24</v>
      </c>
      <c r="AH2" s="218" t="s">
        <v>20</v>
      </c>
      <c r="AI2" s="218" t="s">
        <v>21</v>
      </c>
      <c r="AJ2" s="218" t="s">
        <v>22</v>
      </c>
      <c r="AK2" s="220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</row>
    <row r="3" spans="1:71" ht="15.75" x14ac:dyDescent="0.25">
      <c r="A3" s="157" t="s">
        <v>4</v>
      </c>
      <c r="B3" s="300" t="s">
        <v>5</v>
      </c>
      <c r="C3" s="300"/>
      <c r="D3" s="31" t="str">
        <f>IF(B3="Sol","SI",IF(B3="Lluvia","SI","NO"))</f>
        <v>SI</v>
      </c>
      <c r="E3" s="239"/>
      <c r="F3" s="240"/>
      <c r="G3" s="270" t="s">
        <v>157</v>
      </c>
      <c r="H3" s="239"/>
      <c r="I3" s="239"/>
      <c r="J3" s="236"/>
      <c r="K3" s="248" t="s">
        <v>161</v>
      </c>
      <c r="L3" s="248" t="s">
        <v>162</v>
      </c>
      <c r="M3" s="248" t="s">
        <v>28</v>
      </c>
      <c r="N3" s="248" t="s">
        <v>28</v>
      </c>
      <c r="O3" s="248" t="s">
        <v>163</v>
      </c>
      <c r="P3" s="253" t="s">
        <v>164</v>
      </c>
      <c r="Q3" s="255" t="s">
        <v>165</v>
      </c>
      <c r="R3" s="248" t="s">
        <v>28</v>
      </c>
      <c r="S3" s="248" t="s">
        <v>166</v>
      </c>
      <c r="T3" s="253" t="s">
        <v>167</v>
      </c>
      <c r="U3" s="255" t="s">
        <v>168</v>
      </c>
      <c r="V3" s="253" t="s">
        <v>169</v>
      </c>
      <c r="W3" s="255" t="s">
        <v>170</v>
      </c>
      <c r="X3" s="277" t="s">
        <v>171</v>
      </c>
      <c r="Y3" s="278" t="s">
        <v>172</v>
      </c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6"/>
      <c r="AO3" s="216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</row>
    <row r="4" spans="1:71" ht="15.75" x14ac:dyDescent="0.25">
      <c r="A4" s="122"/>
      <c r="B4" s="8" t="s">
        <v>9</v>
      </c>
      <c r="C4" s="9" t="s">
        <v>10</v>
      </c>
      <c r="D4" s="158"/>
      <c r="E4" s="270" t="s">
        <v>157</v>
      </c>
      <c r="F4" s="270" t="s">
        <v>157</v>
      </c>
      <c r="G4" s="270" t="s">
        <v>157</v>
      </c>
      <c r="H4" s="270" t="s">
        <v>157</v>
      </c>
      <c r="I4" s="270" t="s">
        <v>157</v>
      </c>
      <c r="J4" s="236"/>
      <c r="K4" s="237">
        <v>5</v>
      </c>
      <c r="L4" s="237">
        <v>6</v>
      </c>
      <c r="M4" s="250">
        <v>0.45</v>
      </c>
      <c r="N4" s="250">
        <f>IF($N$1=2,M4*$G$1/$E$1,IF($N$1=1,M4*$F$1/$E$1,M4))</f>
        <v>0.45</v>
      </c>
      <c r="O4" s="237" t="s">
        <v>173</v>
      </c>
      <c r="P4" s="240">
        <f>COUNTIF(E3:I4,"IMP")</f>
        <v>0</v>
      </c>
      <c r="Q4" s="242">
        <f>COUNTIF(E8:I9,"IMP")</f>
        <v>0</v>
      </c>
      <c r="R4" s="249">
        <f t="shared" ref="R4:R15" si="2">IF(P4+Q4=0,0,N4)</f>
        <v>0</v>
      </c>
      <c r="S4" s="249">
        <f t="shared" ref="S4:S15" si="3">R4*$N$2/$R$2</f>
        <v>0</v>
      </c>
      <c r="T4" s="254">
        <f t="shared" ref="T4:T9" si="4">IF(S4=0,0,IF(Q4=0,S4*P4/L4,S4*P4/(L4*2)))</f>
        <v>0</v>
      </c>
      <c r="U4" s="256">
        <f t="shared" ref="U4:U9" si="5">IF(S4=0,0,IF(P4=0,S4*Q4/L4,S4*Q4/(L4*2)))</f>
        <v>0</v>
      </c>
      <c r="V4" s="246">
        <f>$G$17</f>
        <v>0.56999999999999995</v>
      </c>
      <c r="W4" s="244">
        <f>$H$17</f>
        <v>0.56999999999999995</v>
      </c>
      <c r="X4" s="279">
        <f>V4*T4</f>
        <v>0</v>
      </c>
      <c r="Y4" s="280">
        <f>W4*U4</f>
        <v>0</v>
      </c>
      <c r="Z4" s="218"/>
      <c r="AA4" s="272">
        <f t="shared" ref="AA4:AA14" si="6">X5</f>
        <v>0</v>
      </c>
      <c r="AB4" s="273">
        <f t="shared" ref="AB4:AB15" si="7">(1-AA4)</f>
        <v>1</v>
      </c>
      <c r="AC4" s="273">
        <f>AA4*AB3*PRODUCT(AB5:AB17)</f>
        <v>0</v>
      </c>
      <c r="AD4" s="273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11"/>
      <c r="AF4" s="218"/>
      <c r="AG4" s="274">
        <f>Y4</f>
        <v>0</v>
      </c>
      <c r="AH4" s="275">
        <f t="shared" ref="AH4:AH15" si="8">(1-AG4)</f>
        <v>1</v>
      </c>
      <c r="AI4" s="275">
        <f>AG4*AH3*PRODUCT(AH5:AH17)</f>
        <v>0</v>
      </c>
      <c r="AJ4" s="275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11"/>
      <c r="AL4" s="218"/>
      <c r="AM4" s="218"/>
      <c r="AN4" s="212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0" t="s">
        <v>1</v>
      </c>
      <c r="F5" s="270" t="s">
        <v>157</v>
      </c>
      <c r="G5" s="270" t="s">
        <v>144</v>
      </c>
      <c r="H5" s="270" t="s">
        <v>157</v>
      </c>
      <c r="I5" s="270" t="s">
        <v>1</v>
      </c>
      <c r="J5" s="236"/>
      <c r="K5" s="237">
        <v>6</v>
      </c>
      <c r="L5" s="237">
        <v>8</v>
      </c>
      <c r="M5" s="250">
        <v>0.35</v>
      </c>
      <c r="N5" s="250">
        <f t="shared" ref="N5:N15" si="10">IF($N$1=2,M5*$G$1/$E$1,IF($N$1=1,M5*$F$1/$E$1,M5))</f>
        <v>0.35</v>
      </c>
      <c r="O5" s="237" t="s">
        <v>174</v>
      </c>
      <c r="P5" s="240">
        <f>COUNTIF(E5:I6,"IMP")</f>
        <v>0</v>
      </c>
      <c r="Q5" s="242">
        <f>COUNTIF(E10:I11,"IMP")</f>
        <v>0</v>
      </c>
      <c r="R5" s="249">
        <f t="shared" si="2"/>
        <v>0</v>
      </c>
      <c r="S5" s="249">
        <f t="shared" si="3"/>
        <v>0</v>
      </c>
      <c r="T5" s="254">
        <f t="shared" si="4"/>
        <v>0</v>
      </c>
      <c r="U5" s="256">
        <f t="shared" si="5"/>
        <v>0</v>
      </c>
      <c r="V5" s="246">
        <f>$G$17</f>
        <v>0.56999999999999995</v>
      </c>
      <c r="W5" s="244">
        <f>$H$17</f>
        <v>0.56999999999999995</v>
      </c>
      <c r="X5" s="279">
        <f t="shared" ref="X5:Y15" si="11">V5*T5</f>
        <v>0</v>
      </c>
      <c r="Y5" s="280">
        <f t="shared" si="11"/>
        <v>0</v>
      </c>
      <c r="Z5" s="227"/>
      <c r="AA5" s="272">
        <f t="shared" si="6"/>
        <v>0</v>
      </c>
      <c r="AB5" s="273">
        <f t="shared" si="7"/>
        <v>1</v>
      </c>
      <c r="AC5" s="273">
        <f>AA5*PRODUCT(AB3:AB4)*PRODUCT(AB6:AB17)</f>
        <v>0</v>
      </c>
      <c r="AD5" s="273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11"/>
      <c r="AF5" s="225"/>
      <c r="AG5" s="274">
        <f t="shared" ref="AG5:AG15" si="12">Y5</f>
        <v>0</v>
      </c>
      <c r="AH5" s="275">
        <f t="shared" si="8"/>
        <v>1</v>
      </c>
      <c r="AI5" s="275">
        <f>AG5*PRODUCT(AH3:AH4)*PRODUCT(AH6:AH17)</f>
        <v>0</v>
      </c>
      <c r="AJ5" s="275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11"/>
      <c r="AL5" s="228"/>
      <c r="AM5" s="211"/>
      <c r="AN5" s="216"/>
      <c r="AO5" s="230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35</v>
      </c>
      <c r="B6" s="260">
        <v>10</v>
      </c>
      <c r="C6" s="261">
        <v>11</v>
      </c>
      <c r="E6" s="239"/>
      <c r="F6" s="270" t="s">
        <v>1</v>
      </c>
      <c r="G6" s="270" t="s">
        <v>157</v>
      </c>
      <c r="H6" s="270" t="s">
        <v>1</v>
      </c>
      <c r="I6" s="239"/>
      <c r="J6" s="236"/>
      <c r="K6" s="237">
        <v>8</v>
      </c>
      <c r="L6" s="237">
        <v>13</v>
      </c>
      <c r="M6" s="250">
        <v>0.45</v>
      </c>
      <c r="N6" s="250">
        <f t="shared" si="10"/>
        <v>0.45</v>
      </c>
      <c r="O6" s="237" t="s">
        <v>37</v>
      </c>
      <c r="P6" s="240">
        <f>COUNTIF(E4:I6,"IMP")</f>
        <v>0</v>
      </c>
      <c r="Q6" s="242">
        <f>COUNTIF(E9:I11,"IMP")</f>
        <v>0</v>
      </c>
      <c r="R6" s="249">
        <f t="shared" si="2"/>
        <v>0</v>
      </c>
      <c r="S6" s="249">
        <f t="shared" si="3"/>
        <v>0</v>
      </c>
      <c r="T6" s="254">
        <f t="shared" si="4"/>
        <v>0</v>
      </c>
      <c r="U6" s="256">
        <f t="shared" si="5"/>
        <v>0</v>
      </c>
      <c r="V6" s="246">
        <f>$G$18</f>
        <v>0.45</v>
      </c>
      <c r="W6" s="244">
        <f>$H$18</f>
        <v>0.45</v>
      </c>
      <c r="X6" s="279">
        <f t="shared" si="11"/>
        <v>0</v>
      </c>
      <c r="Y6" s="280">
        <f t="shared" si="11"/>
        <v>0</v>
      </c>
      <c r="Z6" s="227"/>
      <c r="AA6" s="272">
        <f t="shared" si="6"/>
        <v>0</v>
      </c>
      <c r="AB6" s="273">
        <f t="shared" si="7"/>
        <v>1</v>
      </c>
      <c r="AC6" s="273">
        <f>AA6*PRODUCT(AB3:AB5)*PRODUCT(AB7:AB17)</f>
        <v>0</v>
      </c>
      <c r="AD6" s="273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11"/>
      <c r="AF6" s="225"/>
      <c r="AG6" s="274">
        <f t="shared" si="12"/>
        <v>0</v>
      </c>
      <c r="AH6" s="275">
        <f t="shared" si="8"/>
        <v>1</v>
      </c>
      <c r="AI6" s="275">
        <f>AG6*PRODUCT(AH3:AH5)*PRODUCT(AH7:AH17)</f>
        <v>0</v>
      </c>
      <c r="AJ6" s="275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211"/>
      <c r="AL6" s="228"/>
      <c r="AM6" s="211"/>
      <c r="AN6" s="216"/>
      <c r="AO6" s="230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40</v>
      </c>
      <c r="B7" s="260">
        <v>10</v>
      </c>
      <c r="C7" s="261">
        <v>12</v>
      </c>
      <c r="E7" s="238"/>
      <c r="F7" s="238"/>
      <c r="G7" s="238"/>
      <c r="H7" s="238"/>
      <c r="I7" s="238"/>
      <c r="J7" s="236"/>
      <c r="K7" s="237">
        <v>9</v>
      </c>
      <c r="L7" s="237">
        <v>8</v>
      </c>
      <c r="M7" s="250">
        <v>0.02</v>
      </c>
      <c r="N7" s="250">
        <f t="shared" si="10"/>
        <v>0.02</v>
      </c>
      <c r="O7" s="237" t="s">
        <v>175</v>
      </c>
      <c r="P7" s="240">
        <f>COUNTIF(E9:I9,"IMP")+COUNTIF(F10:H10,"IMP")</f>
        <v>0</v>
      </c>
      <c r="Q7" s="242">
        <f>COUNTIF(E4:I4,"IMP")+COUNTIF(F5:H5,"IMP")</f>
        <v>0</v>
      </c>
      <c r="R7" s="249">
        <f t="shared" si="2"/>
        <v>0</v>
      </c>
      <c r="S7" s="249">
        <f t="shared" si="3"/>
        <v>0</v>
      </c>
      <c r="T7" s="254">
        <f t="shared" si="4"/>
        <v>0</v>
      </c>
      <c r="U7" s="256">
        <f t="shared" si="5"/>
        <v>0</v>
      </c>
      <c r="V7" s="246">
        <f>$G$18</f>
        <v>0.45</v>
      </c>
      <c r="W7" s="244">
        <f>$H$18</f>
        <v>0.45</v>
      </c>
      <c r="X7" s="279">
        <f t="shared" si="11"/>
        <v>0</v>
      </c>
      <c r="Y7" s="280">
        <f t="shared" si="11"/>
        <v>0</v>
      </c>
      <c r="Z7" s="227"/>
      <c r="AA7" s="272">
        <f t="shared" si="6"/>
        <v>0.30323660714285722</v>
      </c>
      <c r="AB7" s="273">
        <f t="shared" si="7"/>
        <v>0.69676339285714284</v>
      </c>
      <c r="AC7" s="273">
        <f>AA7*PRODUCT(AB3:AB6)*PRODUCT(AB8:AB17)</f>
        <v>0.16651377767806427</v>
      </c>
      <c r="AD7" s="273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211"/>
      <c r="AF7" s="225"/>
      <c r="AG7" s="274">
        <f t="shared" si="12"/>
        <v>0</v>
      </c>
      <c r="AH7" s="275">
        <f t="shared" si="8"/>
        <v>1</v>
      </c>
      <c r="AI7" s="275">
        <f>AG7*PRODUCT(AH3:AH6)*PRODUCT(AH8:AH17)</f>
        <v>0</v>
      </c>
      <c r="AJ7" s="275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11"/>
      <c r="AL7" s="228"/>
      <c r="AM7" s="211"/>
      <c r="AN7" s="216"/>
      <c r="AO7" s="230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44</v>
      </c>
      <c r="B8" s="260">
        <v>10</v>
      </c>
      <c r="C8" s="261">
        <v>12</v>
      </c>
      <c r="E8" s="241"/>
      <c r="F8" s="242"/>
      <c r="G8" s="271" t="s">
        <v>157</v>
      </c>
      <c r="H8" s="241"/>
      <c r="I8" s="241"/>
      <c r="J8" s="236"/>
      <c r="K8" s="237">
        <v>15</v>
      </c>
      <c r="L8" s="237">
        <v>8</v>
      </c>
      <c r="M8" s="250">
        <v>0.5</v>
      </c>
      <c r="N8" s="250">
        <f t="shared" si="10"/>
        <v>0.5</v>
      </c>
      <c r="O8" s="237" t="s">
        <v>176</v>
      </c>
      <c r="P8" s="240">
        <f>COUNTIF(E5:I6,"RAP")</f>
        <v>4</v>
      </c>
      <c r="Q8" s="242">
        <f>COUNTIF(E10:I11,"RAP")</f>
        <v>0</v>
      </c>
      <c r="R8" s="249">
        <f t="shared" si="2"/>
        <v>0.5</v>
      </c>
      <c r="S8" s="249">
        <f t="shared" si="3"/>
        <v>1.0639880952380956</v>
      </c>
      <c r="T8" s="254">
        <f t="shared" si="4"/>
        <v>0.53199404761904778</v>
      </c>
      <c r="U8" s="256">
        <f t="shared" si="5"/>
        <v>0</v>
      </c>
      <c r="V8" s="246">
        <f>$G$17</f>
        <v>0.56999999999999995</v>
      </c>
      <c r="W8" s="244">
        <f>$H$17</f>
        <v>0.56999999999999995</v>
      </c>
      <c r="X8" s="279">
        <f t="shared" si="11"/>
        <v>0.30323660714285722</v>
      </c>
      <c r="Y8" s="280">
        <f t="shared" si="11"/>
        <v>0</v>
      </c>
      <c r="Z8" s="227"/>
      <c r="AA8" s="272">
        <f t="shared" si="6"/>
        <v>0.30323660714285722</v>
      </c>
      <c r="AB8" s="273">
        <f t="shared" si="7"/>
        <v>0.69676339285714284</v>
      </c>
      <c r="AC8" s="273">
        <f>AA8*PRODUCT(AB3:AB7)*PRODUCT(AB9:AB17)</f>
        <v>0.16651377767806425</v>
      </c>
      <c r="AD8" s="273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211"/>
      <c r="AF8" s="225"/>
      <c r="AG8" s="274">
        <f t="shared" si="12"/>
        <v>0</v>
      </c>
      <c r="AH8" s="275">
        <f t="shared" si="8"/>
        <v>1</v>
      </c>
      <c r="AI8" s="275">
        <f>AG8*PRODUCT(AH3:AH7)*PRODUCT(AH9:AH17)</f>
        <v>0</v>
      </c>
      <c r="AJ8" s="275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211"/>
      <c r="AL8" s="228"/>
      <c r="AM8" s="211"/>
      <c r="AN8" s="216"/>
      <c r="AO8" s="230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47</v>
      </c>
      <c r="B9" s="260">
        <v>10</v>
      </c>
      <c r="C9" s="261">
        <v>12</v>
      </c>
      <c r="E9" s="271" t="s">
        <v>157</v>
      </c>
      <c r="F9" s="271" t="s">
        <v>157</v>
      </c>
      <c r="G9" s="271" t="s">
        <v>157</v>
      </c>
      <c r="H9" s="271" t="s">
        <v>157</v>
      </c>
      <c r="I9" s="271" t="s">
        <v>157</v>
      </c>
      <c r="J9" s="236"/>
      <c r="K9" s="237">
        <v>16</v>
      </c>
      <c r="L9" s="237">
        <v>8</v>
      </c>
      <c r="M9" s="250">
        <v>0.5</v>
      </c>
      <c r="N9" s="250">
        <f t="shared" si="10"/>
        <v>0.5</v>
      </c>
      <c r="O9" s="237" t="s">
        <v>177</v>
      </c>
      <c r="P9" s="240">
        <f>COUNTIF(E5:I6,"RAP")</f>
        <v>4</v>
      </c>
      <c r="Q9" s="242">
        <f>COUNTIF(E10:I11,"RAP")</f>
        <v>0</v>
      </c>
      <c r="R9" s="249">
        <f t="shared" si="2"/>
        <v>0.5</v>
      </c>
      <c r="S9" s="249">
        <f t="shared" si="3"/>
        <v>1.0639880952380956</v>
      </c>
      <c r="T9" s="254">
        <f t="shared" si="4"/>
        <v>0.53199404761904778</v>
      </c>
      <c r="U9" s="256">
        <f t="shared" si="5"/>
        <v>0</v>
      </c>
      <c r="V9" s="246">
        <f>$G$17</f>
        <v>0.56999999999999995</v>
      </c>
      <c r="W9" s="244">
        <f>$H$17</f>
        <v>0.56999999999999995</v>
      </c>
      <c r="X9" s="279">
        <f t="shared" si="11"/>
        <v>0.30323660714285722</v>
      </c>
      <c r="Y9" s="280">
        <f t="shared" si="11"/>
        <v>0</v>
      </c>
      <c r="Z9" s="227"/>
      <c r="AA9" s="272">
        <f t="shared" si="6"/>
        <v>6.8399234693877556E-2</v>
      </c>
      <c r="AB9" s="273">
        <f t="shared" si="7"/>
        <v>0.93160076530612246</v>
      </c>
      <c r="AC9" s="273">
        <f>AA9*PRODUCT(AB3:AB8)*PRODUCT(AB10:AB17)</f>
        <v>2.8091522398663849E-2</v>
      </c>
      <c r="AD9" s="273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211"/>
      <c r="AF9" s="225"/>
      <c r="AG9" s="274">
        <f t="shared" si="12"/>
        <v>0</v>
      </c>
      <c r="AH9" s="275">
        <f t="shared" si="8"/>
        <v>1</v>
      </c>
      <c r="AI9" s="275">
        <f>AG9*PRODUCT(AH3:AH8)*PRODUCT(AH10:AH17)</f>
        <v>0</v>
      </c>
      <c r="AJ9" s="275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211"/>
      <c r="AL9" s="228"/>
      <c r="AM9" s="211"/>
      <c r="AN9" s="216"/>
      <c r="AO9" s="230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50</v>
      </c>
      <c r="B10" s="260">
        <v>9</v>
      </c>
      <c r="C10" s="261">
        <v>14</v>
      </c>
      <c r="E10" s="271" t="s">
        <v>157</v>
      </c>
      <c r="F10" s="271" t="s">
        <v>144</v>
      </c>
      <c r="G10" s="271" t="s">
        <v>157</v>
      </c>
      <c r="H10" s="271" t="s">
        <v>144</v>
      </c>
      <c r="I10" s="271" t="s">
        <v>157</v>
      </c>
      <c r="J10" s="236"/>
      <c r="K10" s="237">
        <v>18</v>
      </c>
      <c r="L10" s="237" t="s">
        <v>178</v>
      </c>
      <c r="M10" s="250">
        <v>0.15</v>
      </c>
      <c r="N10" s="250">
        <f t="shared" si="10"/>
        <v>0.15</v>
      </c>
      <c r="O10" s="237" t="s">
        <v>179</v>
      </c>
      <c r="P10" s="240">
        <v>1</v>
      </c>
      <c r="Q10" s="242">
        <v>1</v>
      </c>
      <c r="R10" s="249">
        <f t="shared" si="2"/>
        <v>0.15</v>
      </c>
      <c r="S10" s="249">
        <f t="shared" si="3"/>
        <v>0.3191964285714286</v>
      </c>
      <c r="T10" s="254">
        <f>S10*G13</f>
        <v>0.15199829931972789</v>
      </c>
      <c r="U10" s="256">
        <f>S10*G14</f>
        <v>0.16719812925170072</v>
      </c>
      <c r="V10" s="246">
        <f>$G$18</f>
        <v>0.45</v>
      </c>
      <c r="W10" s="244">
        <f>$H$18</f>
        <v>0.45</v>
      </c>
      <c r="X10" s="279">
        <f t="shared" si="11"/>
        <v>6.8399234693877556E-2</v>
      </c>
      <c r="Y10" s="280">
        <f t="shared" si="11"/>
        <v>7.5239158163265318E-2</v>
      </c>
      <c r="Z10" s="227"/>
      <c r="AA10" s="272">
        <f t="shared" si="6"/>
        <v>3.4959608843537417E-2</v>
      </c>
      <c r="AB10" s="273">
        <f t="shared" si="7"/>
        <v>0.96504039115646256</v>
      </c>
      <c r="AC10" s="273">
        <f>AA10*PRODUCT(AB3:AB9)*PRODUCT(AB11:AB17)</f>
        <v>1.3860373838941585E-2</v>
      </c>
      <c r="AD10" s="273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211"/>
      <c r="AF10" s="225"/>
      <c r="AG10" s="274">
        <f t="shared" si="12"/>
        <v>7.5239158163265318E-2</v>
      </c>
      <c r="AH10" s="275">
        <f t="shared" si="8"/>
        <v>0.92476084183673468</v>
      </c>
      <c r="AI10" s="275">
        <f>AG10*PRODUCT(AH3:AH9)*PRODUCT(AH11:AH17)</f>
        <v>4.7122411477524759E-2</v>
      </c>
      <c r="AJ10" s="275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211"/>
      <c r="AL10" s="228"/>
      <c r="AM10" s="211"/>
      <c r="AN10" s="216"/>
      <c r="AO10" s="230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53</v>
      </c>
      <c r="B11" s="260">
        <v>9</v>
      </c>
      <c r="C11" s="261">
        <v>14</v>
      </c>
      <c r="E11" s="241"/>
      <c r="F11" s="271" t="s">
        <v>144</v>
      </c>
      <c r="G11" s="271" t="s">
        <v>157</v>
      </c>
      <c r="H11" s="271" t="s">
        <v>157</v>
      </c>
      <c r="I11" s="241"/>
      <c r="J11" s="236"/>
      <c r="K11" s="237">
        <v>19</v>
      </c>
      <c r="L11" s="237" t="s">
        <v>178</v>
      </c>
      <c r="M11" s="250">
        <v>0.23</v>
      </c>
      <c r="N11" s="250">
        <f t="shared" si="10"/>
        <v>0.23</v>
      </c>
      <c r="O11" s="237" t="s">
        <v>180</v>
      </c>
      <c r="P11" s="240">
        <f>COUNTIF(E4:I6,"CAB")</f>
        <v>1</v>
      </c>
      <c r="Q11" s="242">
        <f>COUNTIF(E9:I11,"CAB")</f>
        <v>3</v>
      </c>
      <c r="R11" s="249">
        <f t="shared" si="2"/>
        <v>0.23</v>
      </c>
      <c r="S11" s="249">
        <f t="shared" si="3"/>
        <v>0.4894345238095239</v>
      </c>
      <c r="T11" s="254">
        <f>IF(P11&gt;0,S11*G13,0)</f>
        <v>0.23306405895691612</v>
      </c>
      <c r="U11" s="256">
        <f>IF(Q11&gt;0,S11*G14,0)</f>
        <v>0.25637046485260778</v>
      </c>
      <c r="V11" s="246">
        <f>IF(P11-Q11&gt;2,0.9,IF(P11-Q11&gt;1,0.75,IF(P11-Q11&gt;0,0.5,0.15)))</f>
        <v>0.15</v>
      </c>
      <c r="W11" s="244">
        <f>IF(Q11-P11&gt;2,0.9,IF(Q11-P11&gt;1,0.75,IF(Q11-P11&gt;0,0.5,0.15)))</f>
        <v>0.75</v>
      </c>
      <c r="X11" s="279">
        <f t="shared" si="11"/>
        <v>3.4959608843537417E-2</v>
      </c>
      <c r="Y11" s="280">
        <f t="shared" si="11"/>
        <v>0.19227784863945585</v>
      </c>
      <c r="Z11" s="227"/>
      <c r="AA11" s="272">
        <f t="shared" si="6"/>
        <v>0</v>
      </c>
      <c r="AB11" s="273">
        <f t="shared" si="7"/>
        <v>1</v>
      </c>
      <c r="AC11" s="273">
        <f>AA11*PRODUCT(AB3:AB10)*PRODUCT(AB12:AB17)</f>
        <v>0</v>
      </c>
      <c r="AD11" s="273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11"/>
      <c r="AF11" s="225"/>
      <c r="AG11" s="274">
        <f t="shared" si="12"/>
        <v>0.19227784863945585</v>
      </c>
      <c r="AH11" s="275">
        <f t="shared" si="8"/>
        <v>0.80772215136054415</v>
      </c>
      <c r="AI11" s="275">
        <f>AG11*PRODUCT(AH3:AH10)*PRODUCT(AH12:AH17)</f>
        <v>0.1378733322509218</v>
      </c>
      <c r="AJ11" s="275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211"/>
      <c r="AL11" s="228"/>
      <c r="AM11" s="211"/>
      <c r="AN11" s="216"/>
      <c r="AO11" s="230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57</v>
      </c>
      <c r="B12" s="260">
        <v>9</v>
      </c>
      <c r="C12" s="261">
        <v>14</v>
      </c>
      <c r="E12" s="238"/>
      <c r="F12" s="238"/>
      <c r="G12" s="238"/>
      <c r="H12" s="238"/>
      <c r="I12" s="238"/>
      <c r="J12" s="236"/>
      <c r="K12" s="237">
        <v>25</v>
      </c>
      <c r="L12" s="237">
        <v>5</v>
      </c>
      <c r="M12" s="250">
        <v>2.5000000000000001E-2</v>
      </c>
      <c r="N12" s="250">
        <f t="shared" si="10"/>
        <v>2.5000000000000001E-2</v>
      </c>
      <c r="O12" s="237" t="s">
        <v>42</v>
      </c>
      <c r="P12" s="240">
        <f>COUNTIF(F6:H6,"IMP")+COUNTIF(E5,"IMP")+COUNTIF(I5,"IMP")</f>
        <v>0</v>
      </c>
      <c r="Q12" s="242">
        <f>COUNTIF(F11:H11,"IMP")+COUNTIF(E10,"IMP")+COUNTIF(I10,"IMP")</f>
        <v>0</v>
      </c>
      <c r="R12" s="249">
        <f t="shared" si="2"/>
        <v>0</v>
      </c>
      <c r="S12" s="249">
        <f t="shared" si="3"/>
        <v>0</v>
      </c>
      <c r="T12" s="254">
        <f>IF(S12=0,0,IF(Q12=0,S12*P12/L12,S12*P12/(L12*2)))</f>
        <v>0</v>
      </c>
      <c r="U12" s="256">
        <f>IF(S12=0,0,IF(P12=0,S12*Q12/L12,S12*Q12/(L12*2)))</f>
        <v>0</v>
      </c>
      <c r="V12" s="246">
        <f>$G$18</f>
        <v>0.45</v>
      </c>
      <c r="W12" s="244">
        <f>$H$18</f>
        <v>0.45</v>
      </c>
      <c r="X12" s="279">
        <f t="shared" si="11"/>
        <v>0</v>
      </c>
      <c r="Y12" s="280">
        <f t="shared" si="11"/>
        <v>0</v>
      </c>
      <c r="Z12" s="227"/>
      <c r="AA12" s="272">
        <f t="shared" si="6"/>
        <v>5.4582589285714286E-2</v>
      </c>
      <c r="AB12" s="273">
        <f t="shared" si="7"/>
        <v>0.94541741071428576</v>
      </c>
      <c r="AC12" s="273">
        <f>AA12*PRODUCT(AB3:AB11)*PRODUCT(AB13:AB17)</f>
        <v>2.2089424848711934E-2</v>
      </c>
      <c r="AD12" s="273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211"/>
      <c r="AF12" s="225"/>
      <c r="AG12" s="274">
        <f t="shared" si="12"/>
        <v>0</v>
      </c>
      <c r="AH12" s="275">
        <f t="shared" si="8"/>
        <v>1</v>
      </c>
      <c r="AI12" s="275">
        <f>AG12*PRODUCT(AH3:AH11)*PRODUCT(AH13:AH17)</f>
        <v>0</v>
      </c>
      <c r="AJ12" s="275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11"/>
      <c r="AL12" s="228"/>
      <c r="AM12" s="211"/>
      <c r="AN12" s="216"/>
      <c r="AO12" s="230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60</v>
      </c>
      <c r="B13" s="260">
        <v>9</v>
      </c>
      <c r="C13" s="261">
        <v>9</v>
      </c>
      <c r="E13" s="238"/>
      <c r="F13" s="238" t="s">
        <v>158</v>
      </c>
      <c r="G13" s="245">
        <f>B22</f>
        <v>0.47619047619047616</v>
      </c>
      <c r="H13" s="238"/>
      <c r="I13" s="238"/>
      <c r="J13" s="236"/>
      <c r="K13" s="237">
        <v>37</v>
      </c>
      <c r="L13" s="237">
        <v>2</v>
      </c>
      <c r="M13" s="250">
        <v>0.18</v>
      </c>
      <c r="N13" s="250">
        <f t="shared" si="10"/>
        <v>0.18</v>
      </c>
      <c r="O13" s="237" t="s">
        <v>181</v>
      </c>
      <c r="P13" s="240">
        <f>COUNTIF(E5:I6,"CAB")</f>
        <v>1</v>
      </c>
      <c r="Q13" s="242">
        <f>COUNTIF(E10:I11,"CAB")</f>
        <v>3</v>
      </c>
      <c r="R13" s="249">
        <f t="shared" si="2"/>
        <v>0.18</v>
      </c>
      <c r="S13" s="249">
        <f t="shared" si="3"/>
        <v>0.38303571428571431</v>
      </c>
      <c r="T13" s="254">
        <f>IF((Q13+P13)=0,0,S13*P13/(Q13+P13))</f>
        <v>9.5758928571428578E-2</v>
      </c>
      <c r="U13" s="256">
        <f>IF(P13+Q13=0,0,S13*Q13/(Q13+P13))</f>
        <v>0.28727678571428572</v>
      </c>
      <c r="V13" s="246">
        <f>$G$17</f>
        <v>0.56999999999999995</v>
      </c>
      <c r="W13" s="244">
        <f>$H$17</f>
        <v>0.56999999999999995</v>
      </c>
      <c r="X13" s="279">
        <f t="shared" si="11"/>
        <v>5.4582589285714286E-2</v>
      </c>
      <c r="Y13" s="280">
        <f t="shared" si="11"/>
        <v>0.16374776785714285</v>
      </c>
      <c r="Z13" s="227"/>
      <c r="AA13" s="272">
        <f t="shared" si="6"/>
        <v>7.2776785714285724E-2</v>
      </c>
      <c r="AB13" s="273">
        <f t="shared" si="7"/>
        <v>0.9272232142857143</v>
      </c>
      <c r="AC13" s="273">
        <f>AA13*PRODUCT(AB3:AB12)*PRODUCT(AB14:AB17)</f>
        <v>3.0030491792241279E-2</v>
      </c>
      <c r="AD13" s="273">
        <f>AA13*AA14*PRODUCT(AB3:AB12)*PRODUCT(AB15:AB17)+AA13*AA15*PRODUCT(AB3:AB12)*AB14*PRODUCT(AB16:AB17)+AA13*AA16*PRODUCT(AB3:AB12)*AB14*AB15*AB17+AA13*AA17*PRODUCT(AB3:AB12)*AB14*AB15*AB16</f>
        <v>0</v>
      </c>
      <c r="AE13" s="211"/>
      <c r="AF13" s="225"/>
      <c r="AG13" s="274">
        <f t="shared" si="12"/>
        <v>0.16374776785714285</v>
      </c>
      <c r="AH13" s="275">
        <f t="shared" si="8"/>
        <v>0.83625223214285715</v>
      </c>
      <c r="AI13" s="275">
        <f>AG13*PRODUCT(AH3:AH12)*PRODUCT(AH14:AH17)</f>
        <v>0.11340993716565342</v>
      </c>
      <c r="AJ13" s="275">
        <f>AG13*AG14*PRODUCT(AH3:AH12)*PRODUCT(AH15:AH17)+AG13*AG15*PRODUCT(AH3:AH12)*AH14*PRODUCT(AH16:AH17)+AG13*AG16*PRODUCT(AH3:AH12)*AH14*AH15*AH17+AG13*AG17*PRODUCT(AH3:AH12)*AH14*AH15*AH16</f>
        <v>8.9014280141093433E-3</v>
      </c>
      <c r="AK13" s="211"/>
      <c r="AL13" s="228"/>
      <c r="AM13" s="211"/>
      <c r="AN13" s="216"/>
      <c r="AO13" s="230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63</v>
      </c>
      <c r="B14" s="260">
        <v>4</v>
      </c>
      <c r="C14" s="261">
        <v>4</v>
      </c>
      <c r="E14" s="238"/>
      <c r="F14" s="238" t="s">
        <v>159</v>
      </c>
      <c r="G14" s="243">
        <f>C22</f>
        <v>0.52380952380952384</v>
      </c>
      <c r="H14" s="238"/>
      <c r="I14" s="238"/>
      <c r="J14" s="236"/>
      <c r="K14" s="237">
        <v>38</v>
      </c>
      <c r="L14" s="237">
        <v>2</v>
      </c>
      <c r="M14" s="250">
        <v>0.12</v>
      </c>
      <c r="N14" s="250">
        <f t="shared" si="10"/>
        <v>0.12</v>
      </c>
      <c r="O14" s="237" t="s">
        <v>182</v>
      </c>
      <c r="P14" s="240">
        <f>COUNTA(E5,I5)</f>
        <v>2</v>
      </c>
      <c r="Q14" s="242">
        <f>COUNTA(E10,I10)</f>
        <v>2</v>
      </c>
      <c r="R14" s="249">
        <f t="shared" si="2"/>
        <v>0.12</v>
      </c>
      <c r="S14" s="249">
        <f t="shared" si="3"/>
        <v>0.25535714285714289</v>
      </c>
      <c r="T14" s="254">
        <f>S14*P14/(Q14+P14)</f>
        <v>0.12767857142857145</v>
      </c>
      <c r="U14" s="256">
        <f>S14*Q14/(Q14+P14)</f>
        <v>0.12767857142857145</v>
      </c>
      <c r="V14" s="246">
        <f>$G$17</f>
        <v>0.56999999999999995</v>
      </c>
      <c r="W14" s="244">
        <f>$H$17</f>
        <v>0.56999999999999995</v>
      </c>
      <c r="X14" s="279">
        <f t="shared" si="11"/>
        <v>7.2776785714285724E-2</v>
      </c>
      <c r="Y14" s="280">
        <f t="shared" si="11"/>
        <v>7.2776785714285724E-2</v>
      </c>
      <c r="Z14" s="227"/>
      <c r="AA14" s="272">
        <f t="shared" si="6"/>
        <v>0</v>
      </c>
      <c r="AB14" s="273">
        <f t="shared" si="7"/>
        <v>1</v>
      </c>
      <c r="AC14" s="273">
        <f>AA14*PRODUCT(AB3:AB13)*PRODUCT(AB15:AB17)</f>
        <v>0</v>
      </c>
      <c r="AD14" s="273">
        <f>AA14*AA15*PRODUCT(AB3:AB13)*PRODUCT(AB16:AB17)+AA14*AA16*PRODUCT(AB3:AB13)*AB15*AB17+AA14*AA17*PRODUCT(AB3:AB13)*AB15*AB16</f>
        <v>0</v>
      </c>
      <c r="AE14" s="211"/>
      <c r="AF14" s="225"/>
      <c r="AG14" s="274">
        <f t="shared" si="12"/>
        <v>7.2776785714285724E-2</v>
      </c>
      <c r="AH14" s="275">
        <f t="shared" si="8"/>
        <v>0.9272232142857143</v>
      </c>
      <c r="AI14" s="275">
        <f>AG14*PRODUCT(AH3:AH13)*PRODUCT(AH15:AH17)</f>
        <v>4.5459178732451901E-2</v>
      </c>
      <c r="AJ14" s="275">
        <f>AG14*AG15*PRODUCT(AH3:AH13)*PRODUCT(AH16:AH17)+AG14*AG16*PRODUCT(AH3:AH13)*AH15*AH17+AG14*AG17*PRODUCT(AH3:AH13)*AH15*AH16</f>
        <v>0</v>
      </c>
      <c r="AK14" s="211"/>
      <c r="AL14" s="228"/>
      <c r="AM14" s="211"/>
      <c r="AN14" s="216"/>
      <c r="AO14" s="230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79" t="s">
        <v>67</v>
      </c>
      <c r="B15" s="262">
        <v>5</v>
      </c>
      <c r="C15" s="263">
        <v>5</v>
      </c>
      <c r="E15" s="238"/>
      <c r="F15" s="238"/>
      <c r="G15" s="238"/>
      <c r="H15" s="238"/>
      <c r="I15" s="238"/>
      <c r="J15" s="236"/>
      <c r="K15" s="237">
        <v>39</v>
      </c>
      <c r="L15" s="237">
        <v>8</v>
      </c>
      <c r="M15" s="250">
        <v>0.6</v>
      </c>
      <c r="N15" s="250">
        <f t="shared" si="10"/>
        <v>0.6</v>
      </c>
      <c r="O15" s="237" t="s">
        <v>183</v>
      </c>
      <c r="P15" s="240">
        <f>COUNTIF(E5:I6,"TEC")</f>
        <v>0</v>
      </c>
      <c r="Q15" s="242">
        <f>COUNTIF(E10:I11,"TEC")</f>
        <v>0</v>
      </c>
      <c r="R15" s="249">
        <f t="shared" si="2"/>
        <v>0</v>
      </c>
      <c r="S15" s="249">
        <f t="shared" si="3"/>
        <v>0</v>
      </c>
      <c r="T15" s="254">
        <f>IF(COUNTIF(F10:H10,"CAB") + COUNTIF(E9:I9,"CAB") =0,0, IF(S15=0,0,IF(Q15=0,S15*P15/L15,S15*P15/(L15*2))))</f>
        <v>0</v>
      </c>
      <c r="U15" s="256">
        <f>IF( COUNTIF(F5:H5,"CAB") + COUNTIF(E4:I4,"CAB") =0,0,IF(S15=0,0,IF(P15=0,S15*Q15/L15,S15*Q15/(L15*2))))</f>
        <v>0</v>
      </c>
      <c r="V15" s="246">
        <f>$G$17</f>
        <v>0.56999999999999995</v>
      </c>
      <c r="W15" s="244">
        <f>$H$17</f>
        <v>0.56999999999999995</v>
      </c>
      <c r="X15" s="279">
        <f t="shared" si="11"/>
        <v>0</v>
      </c>
      <c r="Y15" s="280">
        <f t="shared" si="11"/>
        <v>0</v>
      </c>
      <c r="Z15" s="227"/>
      <c r="AA15" s="272">
        <f>X16</f>
        <v>0</v>
      </c>
      <c r="AB15" s="273">
        <f t="shared" si="7"/>
        <v>1</v>
      </c>
      <c r="AC15" s="273">
        <f>AA15*PRODUCT(AB3:AB14)*PRODUCT(AB16:AB17)</f>
        <v>0</v>
      </c>
      <c r="AD15" s="273">
        <f>AA15*AA16*PRODUCT(AB3:AB14)*AB17+AA15*AA17*PRODUCT(AB3:AB14)*AB16</f>
        <v>0</v>
      </c>
      <c r="AE15" s="211"/>
      <c r="AF15" s="225"/>
      <c r="AG15" s="274">
        <f t="shared" si="12"/>
        <v>0</v>
      </c>
      <c r="AH15" s="275">
        <f t="shared" si="8"/>
        <v>1</v>
      </c>
      <c r="AI15" s="275">
        <f>AG15*PRODUCT(AH3:AH14)*PRODUCT(AH16:AH17)</f>
        <v>0</v>
      </c>
      <c r="AJ15" s="275">
        <f>AG15*AG16*PRODUCT(AH3:AH14)*AH17+AG15*AG17*PRODUCT(AH3:AH14)*AH16</f>
        <v>0</v>
      </c>
      <c r="AK15" s="211"/>
      <c r="AL15" s="228"/>
      <c r="AM15" s="211"/>
      <c r="AN15" s="216"/>
      <c r="AO15" s="230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79" t="s">
        <v>70</v>
      </c>
      <c r="B16" s="52">
        <v>12</v>
      </c>
      <c r="C16" s="54">
        <v>12</v>
      </c>
      <c r="E16" s="238"/>
      <c r="F16" s="238" t="s">
        <v>8</v>
      </c>
      <c r="G16" s="268">
        <v>0.7</v>
      </c>
      <c r="H16" s="269">
        <v>0.7</v>
      </c>
      <c r="I16" s="238"/>
      <c r="J16" s="236"/>
      <c r="K16" s="236"/>
      <c r="L16" s="236"/>
      <c r="M16" s="236"/>
      <c r="N16" s="236"/>
      <c r="O16" s="236"/>
      <c r="P16" s="238"/>
      <c r="Q16" s="238"/>
      <c r="V16" s="158"/>
      <c r="W16" s="158"/>
      <c r="X16" s="158"/>
      <c r="Y16" s="158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8"/>
      <c r="AM16" s="211"/>
      <c r="AN16" s="216"/>
      <c r="AO16" s="230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78" t="s">
        <v>74</v>
      </c>
      <c r="B17" s="264" t="s">
        <v>75</v>
      </c>
      <c r="C17" s="265" t="s">
        <v>75</v>
      </c>
      <c r="E17" s="238"/>
      <c r="F17" s="238" t="s">
        <v>160</v>
      </c>
      <c r="G17" s="268">
        <v>0.56999999999999995</v>
      </c>
      <c r="H17" s="269">
        <v>0.56999999999999995</v>
      </c>
      <c r="I17" s="238"/>
      <c r="J17" s="236"/>
      <c r="K17" s="237"/>
      <c r="L17" s="237"/>
      <c r="M17" s="237"/>
      <c r="N17" s="237"/>
      <c r="O17" s="237"/>
      <c r="P17" s="237"/>
      <c r="Q17" s="238"/>
      <c r="V17" s="158"/>
      <c r="W17" s="158"/>
      <c r="X17" s="158"/>
      <c r="Y17" s="158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8"/>
      <c r="AM17" s="211"/>
      <c r="AN17" s="216"/>
      <c r="AO17" s="230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78" t="s">
        <v>78</v>
      </c>
      <c r="B18" s="264">
        <v>20</v>
      </c>
      <c r="C18" s="265">
        <v>20</v>
      </c>
      <c r="E18" s="238"/>
      <c r="F18" s="237" t="s">
        <v>3</v>
      </c>
      <c r="G18" s="268">
        <v>0.45</v>
      </c>
      <c r="H18" s="269">
        <v>0.45</v>
      </c>
      <c r="I18" s="238"/>
      <c r="J18" s="236"/>
      <c r="K18" s="237"/>
      <c r="L18" s="237"/>
      <c r="M18" s="237"/>
      <c r="N18" s="237"/>
      <c r="O18" s="237"/>
      <c r="P18" s="251"/>
      <c r="Q18" s="238"/>
      <c r="V18" s="158"/>
      <c r="W18" s="158"/>
      <c r="X18" s="158"/>
      <c r="Y18" s="158"/>
      <c r="Z18" s="227"/>
      <c r="AB18" s="173">
        <f>PRODUCT(AB3:AB17)</f>
        <v>0.38260784469788545</v>
      </c>
      <c r="AC18" s="174">
        <f>SUM(AC3:AC17)</f>
        <v>0.42709936823468714</v>
      </c>
      <c r="AD18" s="174">
        <f>SUM(AD3:AD17)</f>
        <v>0.16281576428542216</v>
      </c>
      <c r="AE18" s="174">
        <f>1-AB18-AC18-AD18</f>
        <v>2.7477022782005256E-2</v>
      </c>
      <c r="AF18" s="225"/>
      <c r="AG18" s="158"/>
      <c r="AH18" s="175">
        <f>PRODUCT(AH3:AH17)</f>
        <v>0.57917927275014069</v>
      </c>
      <c r="AI18" s="174">
        <f>SUM(AI3:AI17)</f>
        <v>0.34386485962655194</v>
      </c>
      <c r="AJ18" s="174">
        <f>SUM(AJ3:AJ17)</f>
        <v>7.0863303781438375E-2</v>
      </c>
      <c r="AK18" s="174">
        <f>1-AH18-AI18-AJ18</f>
        <v>6.0925638418689865E-3</v>
      </c>
      <c r="AL18" s="228"/>
      <c r="AM18" s="211"/>
      <c r="AN18" s="216"/>
      <c r="AO18" s="230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211"/>
      <c r="F19" s="211"/>
      <c r="G19" s="211"/>
      <c r="H19" s="212"/>
      <c r="I19" s="211"/>
      <c r="J19" s="211"/>
      <c r="K19" s="211"/>
      <c r="L19" s="212"/>
      <c r="M19" s="212"/>
      <c r="N19" s="211"/>
      <c r="O19" s="211"/>
      <c r="P19" s="221"/>
      <c r="Q19" s="222"/>
      <c r="R19" s="223"/>
      <c r="S19" s="224"/>
      <c r="T19" s="225"/>
      <c r="U19" s="225"/>
      <c r="V19" s="225"/>
      <c r="W19" s="231"/>
      <c r="X19" s="211"/>
      <c r="Y19" s="226"/>
      <c r="Z19" s="227"/>
      <c r="AA19" s="227"/>
      <c r="AB19" s="227"/>
      <c r="AC19" s="224"/>
      <c r="AD19" s="225"/>
      <c r="AE19" s="225"/>
      <c r="AF19" s="225"/>
      <c r="AG19" s="231"/>
      <c r="AH19" s="228"/>
      <c r="AI19" s="211"/>
      <c r="AJ19" s="229"/>
      <c r="AK19" s="211"/>
      <c r="AL19" s="228"/>
      <c r="AM19" s="211"/>
      <c r="AN19" s="216"/>
      <c r="AO19" s="230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80" t="s">
        <v>85</v>
      </c>
      <c r="B20" s="31">
        <f>IF(B17="Pres",IF(C17="Pres",2,1),IF(C17="Pres",1,0))</f>
        <v>0</v>
      </c>
      <c r="D20" s="196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32"/>
      <c r="Q20" s="232"/>
      <c r="R20" s="232"/>
      <c r="S20" s="211"/>
      <c r="T20" s="233"/>
      <c r="U20" s="234"/>
      <c r="V20" s="234"/>
      <c r="W20" s="234"/>
      <c r="X20" s="211"/>
      <c r="Y20" s="232"/>
      <c r="Z20" s="232"/>
      <c r="AA20" s="232"/>
      <c r="AB20" s="232"/>
      <c r="AC20" s="212"/>
      <c r="AD20" s="235"/>
      <c r="AE20" s="234"/>
      <c r="AF20" s="234"/>
      <c r="AG20" s="234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80" t="s">
        <v>86</v>
      </c>
      <c r="B21" s="181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87</v>
      </c>
      <c r="B22" s="197">
        <f>(B6)/((B6)+(C6))</f>
        <v>0.47619047619047616</v>
      </c>
      <c r="C22" s="198">
        <f>1-B22</f>
        <v>0.52380952380952384</v>
      </c>
      <c r="V22" s="199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88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57">
        <f>SUM(H25:H35)</f>
        <v>0.99999993956596989</v>
      </c>
      <c r="I23" s="81"/>
      <c r="J23" s="257">
        <f>SUM(J25:J35)</f>
        <v>0.99999999999999989</v>
      </c>
      <c r="K23" s="257"/>
      <c r="L23" s="257">
        <f>SUM(L25:L35)</f>
        <v>1</v>
      </c>
      <c r="M23" s="81"/>
      <c r="N23" s="257">
        <f>SUM(N25:N35)</f>
        <v>0.99999999999999989</v>
      </c>
      <c r="O23" s="81"/>
      <c r="P23" s="257">
        <f>SUM(P25:P35)</f>
        <v>0.99999999999999989</v>
      </c>
      <c r="Q23" s="81"/>
      <c r="R23" s="257">
        <f>SUM(R25:R35)</f>
        <v>0.99999999999999989</v>
      </c>
      <c r="S23" s="81"/>
      <c r="T23" s="257">
        <f>SUM(T25:T35)</f>
        <v>1</v>
      </c>
      <c r="V23" s="199">
        <f>SUM(V25:V34)</f>
        <v>0.99974931781276</v>
      </c>
      <c r="Y23" s="196">
        <f>SUM(Y25:Y35)</f>
        <v>3.3765445915655752E-3</v>
      </c>
      <c r="Z23" s="81"/>
      <c r="AA23" s="196">
        <f>SUM(AA25:AA35)</f>
        <v>2.5873660086668103E-2</v>
      </c>
      <c r="AB23" s="81"/>
      <c r="AC23" s="196">
        <f>SUM(AC25:AC35)</f>
        <v>8.9231628252390352E-2</v>
      </c>
      <c r="AD23" s="81"/>
      <c r="AE23" s="196">
        <f>SUM(AE25:AE35)</f>
        <v>0.18239905448332949</v>
      </c>
      <c r="AF23" s="81"/>
      <c r="AG23" s="196">
        <f>SUM(AG25:AG35)</f>
        <v>0.24474801787537889</v>
      </c>
      <c r="AH23" s="81"/>
      <c r="AI23" s="196">
        <f>SUM(AI25:AI35)</f>
        <v>0.22529102499748441</v>
      </c>
      <c r="AJ23" s="81"/>
      <c r="AK23" s="196">
        <f>SUM(AK25:AK35)</f>
        <v>0.14411233921871039</v>
      </c>
      <c r="AL23" s="81"/>
      <c r="AM23" s="196">
        <f>SUM(AM25:AM35)</f>
        <v>6.3287220894066035E-2</v>
      </c>
      <c r="AN23" s="81"/>
      <c r="AO23" s="196">
        <f>SUM(AO25:AO35)</f>
        <v>1.8281965297063971E-2</v>
      </c>
      <c r="AP23" s="81"/>
      <c r="AQ23" s="196">
        <f>SUM(AQ25:AQ35)</f>
        <v>3.1478621161027897E-3</v>
      </c>
      <c r="AR23" s="81"/>
      <c r="AS23" s="196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89</v>
      </c>
      <c r="B24" s="64">
        <f>B23/B21</f>
        <v>0.43367603379824315</v>
      </c>
      <c r="C24" s="65">
        <f>C23/B21</f>
        <v>0.56632396620175685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114</v>
      </c>
      <c r="B25" s="200">
        <f>1/(1+EXP(-3.1416*4*((B11/(B11+C8))-(3.1416/6))))</f>
        <v>0.23251449252298675</v>
      </c>
      <c r="C25" s="198">
        <f>1/(1+EXP(-3.1416*4*((C11/(C11+B8))-(3.1416/6))))</f>
        <v>0.6793166023460353</v>
      </c>
      <c r="D25" s="195">
        <f>IF(B17="AOW",0.36-0.08,IF(B17="AIM",0.36+0.08,IF(B17="TL",(0.361)-(0.36*B32),0.36)))</f>
        <v>0.36</v>
      </c>
      <c r="E25" s="195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201">
        <f>(1-$B$24)^$B$21</f>
        <v>5.8253859548764761E-2</v>
      </c>
      <c r="O25" s="72">
        <v>0</v>
      </c>
      <c r="P25" s="201">
        <f t="shared" ref="P25:P30" si="18">N25</f>
        <v>5.8253859548764761E-2</v>
      </c>
      <c r="Q25" s="28">
        <v>0</v>
      </c>
      <c r="R25" s="202">
        <f>P25*N25</f>
        <v>3.3935121523272112E-3</v>
      </c>
      <c r="S25" s="72">
        <v>0</v>
      </c>
      <c r="T25" s="203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204">
        <f>V25</f>
        <v>3.3765445915655752E-3</v>
      </c>
      <c r="Z25" s="28">
        <v>0</v>
      </c>
      <c r="AA25" s="204">
        <f>((1-W25)^Z26)*V26</f>
        <v>1.8569822111388933E-2</v>
      </c>
      <c r="AB25" s="28">
        <v>0</v>
      </c>
      <c r="AC25" s="204">
        <f>(((1-$W$25)^AB27))*V27</f>
        <v>4.596407959974879E-2</v>
      </c>
      <c r="AD25" s="28">
        <v>0</v>
      </c>
      <c r="AE25" s="204">
        <f>(((1-$W$25)^AB28))*V28</f>
        <v>6.7432957582147166E-2</v>
      </c>
      <c r="AF25" s="28">
        <v>0</v>
      </c>
      <c r="AG25" s="204">
        <f>(((1-$W$25)^AB29))*V29</f>
        <v>6.4940956922224E-2</v>
      </c>
      <c r="AH25" s="28">
        <v>0</v>
      </c>
      <c r="AI25" s="204">
        <f>(((1-$W$25)^AB30))*V30</f>
        <v>4.290355372466393E-2</v>
      </c>
      <c r="AJ25" s="28">
        <v>0</v>
      </c>
      <c r="AK25" s="204">
        <f>(((1-$W$25)^AB31))*V31</f>
        <v>1.9697015124709574E-2</v>
      </c>
      <c r="AL25" s="28">
        <v>0</v>
      </c>
      <c r="AM25" s="204">
        <f>(((1-$W$25)^AB32))*V32</f>
        <v>6.2081921588654221E-3</v>
      </c>
      <c r="AN25" s="28">
        <v>0</v>
      </c>
      <c r="AO25" s="204">
        <f>(((1-$W$25)^AB33))*V33</f>
        <v>1.2871284244145504E-3</v>
      </c>
      <c r="AP25" s="28">
        <v>0</v>
      </c>
      <c r="AQ25" s="204">
        <f>(((1-$W$25)^AB34))*V34</f>
        <v>1.5906131811362984E-4</v>
      </c>
      <c r="AR25" s="28">
        <v>0</v>
      </c>
      <c r="AS25" s="204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115</v>
      </c>
      <c r="B26" s="197">
        <f>1/(1+EXP(-3.1416*4*((B10/(B10+C9))-(3.1416/6))))</f>
        <v>0.23251449252298675</v>
      </c>
      <c r="C26" s="198">
        <f>1/(1+EXP(-3.1416*4*((C10/(C10+B9))-(3.1416/6))))</f>
        <v>0.6793166023460353</v>
      </c>
      <c r="D26" s="195">
        <f>IF(B17="AOW",0.257+0.04,IF(B17="AIM",0.257-0.04,IF(B17="TL",(0.257)-(0.257*B32),0.257)))</f>
        <v>0.25700000000000001</v>
      </c>
      <c r="E26" s="195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201">
        <f>(($B$24)^M26)*((1-($B$24))^($B$21-M26))*HLOOKUP($B$21,$AV$24:$BF$34,M26+1)</f>
        <v>0.22304638572851768</v>
      </c>
      <c r="O26" s="72">
        <v>1</v>
      </c>
      <c r="P26" s="201">
        <f t="shared" si="18"/>
        <v>0.22304638572851768</v>
      </c>
      <c r="Q26" s="28">
        <v>1</v>
      </c>
      <c r="R26" s="202">
        <f>N26*P25+P26*N25</f>
        <v>2.5986625654177354E-2</v>
      </c>
      <c r="S26" s="72">
        <v>1</v>
      </c>
      <c r="T26" s="203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205"/>
      <c r="X26" s="28">
        <v>1</v>
      </c>
      <c r="Y26" s="202"/>
      <c r="Z26" s="28">
        <v>1</v>
      </c>
      <c r="AA26" s="204">
        <f>(1-((1-W25)^Z26))*V26</f>
        <v>7.3038379752791704E-3</v>
      </c>
      <c r="AB26" s="28">
        <v>1</v>
      </c>
      <c r="AC26" s="204">
        <f>((($W$25)^M26)*((1-($W$25))^($U$27-M26))*HLOOKUP($U$27,$AV$24:$BF$34,M26+1))*V27</f>
        <v>3.6156963493312655E-2</v>
      </c>
      <c r="AD26" s="28">
        <v>1</v>
      </c>
      <c r="AE26" s="204">
        <f>((($W$25)^M26)*((1-($W$25))^($U$28-M26))*HLOOKUP($U$28,$AV$24:$BF$34,M26+1))*V28</f>
        <v>7.9567708309679325E-2</v>
      </c>
      <c r="AF26" s="28">
        <v>1</v>
      </c>
      <c r="AG26" s="204">
        <f>((($W$25)^M26)*((1-($W$25))^($U$29-M26))*HLOOKUP($U$29,$AV$24:$BF$34,M26+1))*V29</f>
        <v>0.10216968681215476</v>
      </c>
      <c r="AH26" s="28">
        <v>1</v>
      </c>
      <c r="AI26" s="204">
        <f>((($W$25)^M26)*((1-($W$25))^($U$30-M26))*HLOOKUP($U$30,$AV$24:$BF$34,M26+1))*V30</f>
        <v>8.4373615183003139E-2</v>
      </c>
      <c r="AJ26" s="28">
        <v>1</v>
      </c>
      <c r="AK26" s="204">
        <f>((($W$25)^M26)*((1-($W$25))^($U$31-M26))*HLOOKUP($U$31,$AV$24:$BF$34,M26+1))*V31</f>
        <v>4.6483096996153724E-2</v>
      </c>
      <c r="AL26" s="28">
        <v>1</v>
      </c>
      <c r="AM26" s="204">
        <f>((($W$25)^Q26)*((1-($W$25))^($U$32-Q26))*HLOOKUP($U$32,$AV$24:$BF$34,Q26+1))*V32</f>
        <v>1.7092538939271571E-2</v>
      </c>
      <c r="AN26" s="28">
        <v>1</v>
      </c>
      <c r="AO26" s="204">
        <f>((($W$25)^Q26)*((1-($W$25))^($U$33-Q26))*HLOOKUP($U$33,$AV$24:$BF$34,Q26+1))*V33</f>
        <v>4.0500021632558728E-3</v>
      </c>
      <c r="AP26" s="28">
        <v>1</v>
      </c>
      <c r="AQ26" s="204">
        <f>((($W$25)^Q26)*((1-($W$25))^($U$34-Q26))*HLOOKUP($U$34,$AV$24:$BF$34,Q26+1))*V34</f>
        <v>5.6305455151958738E-4</v>
      </c>
      <c r="AR26" s="28">
        <v>1</v>
      </c>
      <c r="AS26" s="204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116</v>
      </c>
      <c r="B27" s="197">
        <f>1/(1+EXP(-3.1416*4*((B12/(B12+C7))-(3.1416/6))))</f>
        <v>0.23251449252298675</v>
      </c>
      <c r="C27" s="198">
        <f>1/(1+EXP(-3.1416*4*((C12/(C12+B7))-(3.1416/6))))</f>
        <v>0.6793166023460353</v>
      </c>
      <c r="D27" s="195">
        <f>D26</f>
        <v>0.25700000000000001</v>
      </c>
      <c r="E27" s="195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201">
        <f>(($B$24)^M27)*((1-($B$24))^($B$21-M27))*HLOOKUP($B$21,$AV$24:$BF$34,M27+1)</f>
        <v>0.34160613955481417</v>
      </c>
      <c r="O27" s="72">
        <v>2</v>
      </c>
      <c r="P27" s="201">
        <f t="shared" si="18"/>
        <v>0.34160613955481417</v>
      </c>
      <c r="Q27" s="28">
        <v>2</v>
      </c>
      <c r="R27" s="202">
        <f>P25*N27+P26*N26+P27*N25</f>
        <v>8.9549442335798451E-2</v>
      </c>
      <c r="S27" s="72">
        <v>2</v>
      </c>
      <c r="T27" s="203">
        <f t="shared" si="19"/>
        <v>0</v>
      </c>
      <c r="U27" s="138">
        <v>2</v>
      </c>
      <c r="V27" s="86">
        <f>R27*T25+T26*R26+R25*T27</f>
        <v>8.9231628252390352E-2</v>
      </c>
      <c r="W27" s="205"/>
      <c r="X27" s="28">
        <v>2</v>
      </c>
      <c r="Y27" s="202"/>
      <c r="Z27" s="28">
        <v>2</v>
      </c>
      <c r="AA27" s="204"/>
      <c r="AB27" s="28">
        <v>2</v>
      </c>
      <c r="AC27" s="204">
        <f>((($W$25)^M27)*((1-($W$25))^($U$27-M27))*HLOOKUP($U$27,$AV$24:$BF$34,M27+1))*V27</f>
        <v>7.1105851593288999E-3</v>
      </c>
      <c r="AD27" s="28">
        <v>2</v>
      </c>
      <c r="AE27" s="204">
        <f>((($W$25)^M27)*((1-($W$25))^($U$28-M27))*HLOOKUP($U$28,$AV$24:$BF$34,M27+1))*V28</f>
        <v>3.1295380541192741E-2</v>
      </c>
      <c r="AF27" s="28">
        <v>2</v>
      </c>
      <c r="AG27" s="204">
        <f>((($W$25)^M27)*((1-($W$25))^($U$29-M27))*HLOOKUP($U$29,$AV$24:$BF$34,M27+1))*V29</f>
        <v>6.0277704922385572E-2</v>
      </c>
      <c r="AH27" s="28">
        <v>2</v>
      </c>
      <c r="AI27" s="204">
        <f>((($W$25)^M27)*((1-($W$25))^($U$30-M27))*HLOOKUP($U$30,$AV$24:$BF$34,M27+1))*V30</f>
        <v>6.6371256653800767E-2</v>
      </c>
      <c r="AJ27" s="28">
        <v>2</v>
      </c>
      <c r="AK27" s="204">
        <f>((($W$25)^M27)*((1-($W$25))^($U$31-M27))*HLOOKUP($U$31,$AV$24:$BF$34,M27+1))*V31</f>
        <v>4.5706551066107569E-2</v>
      </c>
      <c r="AL27" s="28">
        <v>2</v>
      </c>
      <c r="AM27" s="204">
        <f>((($W$25)^Q27)*((1-($W$25))^($U$32-Q27))*HLOOKUP($U$32,$AV$24:$BF$34,Q27+1))*V32</f>
        <v>2.0168389484252112E-2</v>
      </c>
      <c r="AN27" s="28">
        <v>2</v>
      </c>
      <c r="AO27" s="204">
        <f>((($W$25)^Q27)*((1-($W$25))^($U$33-Q27))*HLOOKUP($U$33,$AV$24:$BF$34,Q27+1))*V33</f>
        <v>5.5752800419306189E-3</v>
      </c>
      <c r="AP27" s="28">
        <v>2</v>
      </c>
      <c r="AQ27" s="204">
        <f>((($W$25)^Q27)*((1-($W$25))^($U$34-Q27))*HLOOKUP($U$34,$AV$24:$BF$34,Q27+1))*V34</f>
        <v>8.8583707283234779E-4</v>
      </c>
      <c r="AR27" s="28">
        <v>2</v>
      </c>
      <c r="AS27" s="204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117</v>
      </c>
      <c r="B28" s="266">
        <v>0.9</v>
      </c>
      <c r="C28" s="267">
        <v>0.9</v>
      </c>
      <c r="D28" s="195">
        <v>8.5000000000000006E-2</v>
      </c>
      <c r="E28" s="195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201">
        <f>(($B$24)^M28)*((1-($B$24))^($B$21-M28))*HLOOKUP($B$21,$AV$24:$BF$34,M28+1)</f>
        <v>0.26159301842169036</v>
      </c>
      <c r="O28" s="72">
        <v>3</v>
      </c>
      <c r="P28" s="201">
        <f t="shared" si="18"/>
        <v>0.26159301842169036</v>
      </c>
      <c r="Q28" s="28">
        <v>3</v>
      </c>
      <c r="R28" s="202">
        <f>P25*N28+P26*N27+P27*N26+P28*N25</f>
        <v>0.182865635448895</v>
      </c>
      <c r="S28" s="72">
        <v>3</v>
      </c>
      <c r="T28" s="203">
        <f t="shared" si="19"/>
        <v>0</v>
      </c>
      <c r="U28" s="138">
        <v>3</v>
      </c>
      <c r="V28" s="86">
        <f>R28*T25+R27*T26+R26*T27+R25*T28</f>
        <v>0.18239905448332952</v>
      </c>
      <c r="W28" s="205"/>
      <c r="X28" s="28">
        <v>3</v>
      </c>
      <c r="Y28" s="202"/>
      <c r="Z28" s="28">
        <v>3</v>
      </c>
      <c r="AA28" s="204"/>
      <c r="AB28" s="28">
        <v>3</v>
      </c>
      <c r="AC28" s="204"/>
      <c r="AD28" s="28">
        <v>3</v>
      </c>
      <c r="AE28" s="204">
        <f>((($W$25)^M28)*((1-($W$25))^($U$28-M28))*HLOOKUP($U$28,$AV$24:$BF$34,M28+1))*V28</f>
        <v>4.1030080503102872E-3</v>
      </c>
      <c r="AF28" s="28">
        <v>3</v>
      </c>
      <c r="AG28" s="204">
        <f>((($W$25)^M28)*((1-($W$25))^($U$29-M28))*HLOOKUP($U$29,$AV$24:$BF$34,M28+1))*V29</f>
        <v>1.5805521727095772E-2</v>
      </c>
      <c r="AH28" s="28">
        <v>3</v>
      </c>
      <c r="AI28" s="204">
        <f>((($W$25)^M28)*((1-($W$25))^($U$30-M28))*HLOOKUP($U$30,$AV$24:$BF$34,M28+1))*V30</f>
        <v>2.6104983769215672E-2</v>
      </c>
      <c r="AJ28" s="28">
        <v>3</v>
      </c>
      <c r="AK28" s="204">
        <f>((($W$25)^M28)*((1-($W$25))^($U$31-M28))*HLOOKUP($U$31,$AV$24:$BF$34,M28+1))*V31</f>
        <v>2.3969588320463385E-2</v>
      </c>
      <c r="AL28" s="28">
        <v>3</v>
      </c>
      <c r="AM28" s="204">
        <f>((($W$25)^Q28)*((1-($W$25))^($U$32-Q28))*HLOOKUP($U$32,$AV$24:$BF$34,Q28+1))*V32</f>
        <v>1.3220971112135571E-2</v>
      </c>
      <c r="AN28" s="28">
        <v>3</v>
      </c>
      <c r="AO28" s="204">
        <f>((($W$25)^Q28)*((1-($W$25))^($U$33-Q28))*HLOOKUP($U$33,$AV$24:$BF$34,Q28+1))*V33</f>
        <v>4.3857115968918853E-3</v>
      </c>
      <c r="AP28" s="28">
        <v>3</v>
      </c>
      <c r="AQ28" s="204">
        <f>((($W$25)^Q28)*((1-($W$25))^($U$34-Q28))*HLOOKUP($U$34,$AV$24:$BF$34,Q28+1))*V34</f>
        <v>8.12969072357901E-4</v>
      </c>
      <c r="AR28" s="28">
        <v>3</v>
      </c>
      <c r="AS28" s="204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118</v>
      </c>
      <c r="B29" s="197">
        <f>1/(1+EXP(-3.1416*4*((B14/(B14+C13))-(3.1416/6))))</f>
        <v>6.2199958135446112E-2</v>
      </c>
      <c r="C29" s="198">
        <f>1/(1+EXP(-3.1416*4*((C14/(C14+B13))-(3.1416/6))))</f>
        <v>6.2199958135446112E-2</v>
      </c>
      <c r="D29" s="195">
        <v>0.04</v>
      </c>
      <c r="E29" s="195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201">
        <f>(($B$24)^M29)*((1-($B$24))^($B$21-M29))*HLOOKUP($B$21,$AV$24:$BF$34,M29+1)</f>
        <v>0.10016053484306656</v>
      </c>
      <c r="O29" s="72">
        <v>4</v>
      </c>
      <c r="P29" s="201">
        <f t="shared" si="18"/>
        <v>0.10016053484306656</v>
      </c>
      <c r="Q29" s="28">
        <v>4</v>
      </c>
      <c r="R29" s="202">
        <f>P25*N29+P26*N28+P27*N27+P28*N26+P29*N25</f>
        <v>0.24505898462124065</v>
      </c>
      <c r="S29" s="72">
        <v>4</v>
      </c>
      <c r="T29" s="203">
        <f t="shared" si="19"/>
        <v>0</v>
      </c>
      <c r="U29" s="138">
        <v>4</v>
      </c>
      <c r="V29" s="86">
        <f>T29*R25+T28*R26+T27*R27+T26*R28+T25*R29</f>
        <v>0.24474801787537892</v>
      </c>
      <c r="W29" s="205"/>
      <c r="X29" s="28">
        <v>4</v>
      </c>
      <c r="Y29" s="202"/>
      <c r="Z29" s="28">
        <v>4</v>
      </c>
      <c r="AA29" s="204"/>
      <c r="AB29" s="28">
        <v>4</v>
      </c>
      <c r="AC29" s="204"/>
      <c r="AD29" s="28">
        <v>4</v>
      </c>
      <c r="AE29" s="204"/>
      <c r="AF29" s="28">
        <v>4</v>
      </c>
      <c r="AG29" s="204">
        <f>((($W$25)^M29)*((1-($W$25))^($U$29-M29))*HLOOKUP($U$29,$AV$24:$BF$34,M29+1))*V29</f>
        <v>1.5541474915188043E-3</v>
      </c>
      <c r="AH29" s="28">
        <v>4</v>
      </c>
      <c r="AI29" s="204">
        <f>((($W$25)^M29)*((1-($W$25))^($U$30-M29))*HLOOKUP($U$30,$AV$24:$BF$34,M29+1))*V30</f>
        <v>5.1337748593915551E-3</v>
      </c>
      <c r="AJ29" s="28">
        <v>4</v>
      </c>
      <c r="AK29" s="204">
        <f>((($W$25)^M29)*((1-($W$25))^($U$31-M29))*HLOOKUP($U$31,$AV$24:$BF$34,M29+1))*V31</f>
        <v>7.0707458198847354E-3</v>
      </c>
      <c r="AL29" s="28">
        <v>4</v>
      </c>
      <c r="AM29" s="204">
        <f>((($W$25)^Q29)*((1-($W$25))^($U$32-Q29))*HLOOKUP($U$32,$AV$24:$BF$34,Q29+1))*V32</f>
        <v>5.2000407058106265E-3</v>
      </c>
      <c r="AN29" s="28">
        <v>4</v>
      </c>
      <c r="AO29" s="204">
        <f>((($W$25)^Q29)*((1-($W$25))^($U$33-Q29))*HLOOKUP($U$33,$AV$24:$BF$34,Q29+1))*V33</f>
        <v>2.1562219819512675E-3</v>
      </c>
      <c r="AP29" s="28">
        <v>4</v>
      </c>
      <c r="AQ29" s="204">
        <f>((($W$25)^Q29)*((1-($W$25))^($U$34-Q29))*HLOOKUP($U$34,$AV$24:$BF$34,Q29+1))*V34</f>
        <v>4.7963257384464505E-4</v>
      </c>
      <c r="AR29" s="28">
        <v>4</v>
      </c>
      <c r="AS29" s="204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119</v>
      </c>
      <c r="B30" s="266">
        <v>0.15</v>
      </c>
      <c r="C30" s="267">
        <v>0.15</v>
      </c>
      <c r="D30" s="195">
        <f>IF(B17="TL",0.875*B32,0.001)</f>
        <v>1E-3</v>
      </c>
      <c r="E30" s="195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201">
        <f>(($B$24)^M30)*((1-($B$24))^($B$21-M30))*HLOOKUP($B$21,$AV$24:$BF$34,M30+1)</f>
        <v>1.5340061903146452E-2</v>
      </c>
      <c r="O30" s="72">
        <v>5</v>
      </c>
      <c r="P30" s="201">
        <f t="shared" si="18"/>
        <v>1.5340061903146452E-2</v>
      </c>
      <c r="Q30" s="28">
        <v>5</v>
      </c>
      <c r="R30" s="202">
        <f>P25*N30+P26*N29+P27*N28+P28*N27+P29*N26+P30*N25</f>
        <v>0.22519168851696308</v>
      </c>
      <c r="S30" s="72">
        <v>5</v>
      </c>
      <c r="T30" s="203">
        <f t="shared" si="19"/>
        <v>0</v>
      </c>
      <c r="U30" s="138">
        <v>5</v>
      </c>
      <c r="V30" s="86">
        <f>T30*R25+T29*R26+T28*R27+T27*R28+T26*R29+T25*R30</f>
        <v>0.22529102499748446</v>
      </c>
      <c r="W30" s="205"/>
      <c r="X30" s="28">
        <v>5</v>
      </c>
      <c r="Y30" s="202"/>
      <c r="Z30" s="28">
        <v>5</v>
      </c>
      <c r="AA30" s="204"/>
      <c r="AB30" s="28">
        <v>5</v>
      </c>
      <c r="AC30" s="204"/>
      <c r="AD30" s="28">
        <v>5</v>
      </c>
      <c r="AE30" s="204"/>
      <c r="AF30" s="28">
        <v>5</v>
      </c>
      <c r="AG30" s="204"/>
      <c r="AH30" s="28">
        <v>5</v>
      </c>
      <c r="AI30" s="204">
        <f>((($W$25)^M30)*((1-($W$25))^($U$30-M30))*HLOOKUP($U$30,$AV$24:$BF$34,M30+1))*V30</f>
        <v>4.0384080740936065E-4</v>
      </c>
      <c r="AJ30" s="28">
        <v>5</v>
      </c>
      <c r="AK30" s="204">
        <f>((($W$25)^M30)*((1-($W$25))^($U$31-M30))*HLOOKUP($U$31,$AV$24:$BF$34,M30+1))*V31</f>
        <v>1.1124195271886297E-3</v>
      </c>
      <c r="AL30" s="28">
        <v>5</v>
      </c>
      <c r="AM30" s="204">
        <f>((($W$25)^Q30)*((1-($W$25))^($U$32-Q30))*HLOOKUP($U$32,$AV$24:$BF$34,Q30+1))*V32</f>
        <v>1.2271605366689132E-3</v>
      </c>
      <c r="AN30" s="28">
        <v>5</v>
      </c>
      <c r="AO30" s="204">
        <f>((($W$25)^Q30)*((1-($W$25))^($U$33-Q30))*HLOOKUP($U$33,$AV$24:$BF$34,Q30+1))*V33</f>
        <v>6.7846405422478052E-4</v>
      </c>
      <c r="AP30" s="28">
        <v>5</v>
      </c>
      <c r="AQ30" s="204">
        <f>((($W$25)^Q30)*((1-($W$25))^($U$34-Q30))*HLOOKUP($U$34,$AV$24:$BF$34,Q30+1))*V34</f>
        <v>1.8864793566756416E-4</v>
      </c>
      <c r="AR30" s="28">
        <v>5</v>
      </c>
      <c r="AS30" s="204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79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202"/>
      <c r="O31" s="202"/>
      <c r="P31" s="202"/>
      <c r="Q31" s="28">
        <v>6</v>
      </c>
      <c r="R31" s="202">
        <f>P26*N30+P27*N29+P28*N28+P29*N27+P30*N26</f>
        <v>0.14370490530263877</v>
      </c>
      <c r="S31" s="72">
        <v>6</v>
      </c>
      <c r="T31" s="203">
        <f t="shared" si="19"/>
        <v>0</v>
      </c>
      <c r="U31" s="138">
        <v>6</v>
      </c>
      <c r="V31" s="86">
        <f>T31*R25+T30*R26+T29*R27+T28*R28+T27*R29+T26*R30+T25*R31</f>
        <v>0.14411233921871039</v>
      </c>
      <c r="W31" s="205"/>
      <c r="X31" s="28">
        <v>6</v>
      </c>
      <c r="Y31" s="202"/>
      <c r="Z31" s="28">
        <v>6</v>
      </c>
      <c r="AA31" s="204"/>
      <c r="AB31" s="28">
        <v>6</v>
      </c>
      <c r="AC31" s="204"/>
      <c r="AD31" s="28">
        <v>6</v>
      </c>
      <c r="AE31" s="204"/>
      <c r="AF31" s="28">
        <v>6</v>
      </c>
      <c r="AG31" s="204"/>
      <c r="AH31" s="28">
        <v>6</v>
      </c>
      <c r="AI31" s="204"/>
      <c r="AJ31" s="28">
        <v>6</v>
      </c>
      <c r="AK31" s="204">
        <f>((($W$25)^Q31)*((1-($W$25))^($U$31-Q31))*HLOOKUP($U$31,$AV$24:$BF$34,Q31+1))*V31</f>
        <v>7.2922364202754575E-5</v>
      </c>
      <c r="AL31" s="28">
        <v>6</v>
      </c>
      <c r="AM31" s="204">
        <f>((($W$25)^Q31)*((1-($W$25))^($U$32-Q31))*HLOOKUP($U$32,$AV$24:$BF$34,Q31+1))*V32</f>
        <v>1.6088794812219105E-4</v>
      </c>
      <c r="AN31" s="28">
        <v>6</v>
      </c>
      <c r="AO31" s="204">
        <f>((($W$25)^Q31)*((1-($W$25))^($U$33-Q31))*HLOOKUP($U$33,$AV$24:$BF$34,Q31+1))*V33</f>
        <v>1.3342592875646505E-4</v>
      </c>
      <c r="AP31" s="28">
        <v>6</v>
      </c>
      <c r="AQ31" s="204">
        <f>((($W$25)^Q31)*((1-($W$25))^($U$34-Q31))*HLOOKUP($U$34,$AV$24:$BF$34,Q31+1))*V34</f>
        <v>4.9465702946134123E-5</v>
      </c>
      <c r="AR31" s="28">
        <v>6</v>
      </c>
      <c r="AS31" s="204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121</v>
      </c>
      <c r="B32" s="206">
        <f>IF(B17&lt;&gt;"TL",0.001,IF(B18&lt;5,0.1,IF(B18&lt;10,0.2,IF(B18&lt;14,0.3,0.35))))</f>
        <v>1E-3</v>
      </c>
      <c r="C32" s="207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202"/>
      <c r="O32" s="202"/>
      <c r="P32" s="202"/>
      <c r="Q32" s="28">
        <v>7</v>
      </c>
      <c r="R32" s="202">
        <f>P27*N30+P28*N29+P29*N28+P30*N27</f>
        <v>6.2883111927188803E-2</v>
      </c>
      <c r="S32" s="72">
        <v>7</v>
      </c>
      <c r="T32" s="203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205"/>
      <c r="X32" s="28">
        <v>7</v>
      </c>
      <c r="Y32" s="202"/>
      <c r="Z32" s="28">
        <v>7</v>
      </c>
      <c r="AA32" s="204"/>
      <c r="AB32" s="28">
        <v>7</v>
      </c>
      <c r="AC32" s="204"/>
      <c r="AD32" s="28">
        <v>7</v>
      </c>
      <c r="AE32" s="204"/>
      <c r="AF32" s="28">
        <v>7</v>
      </c>
      <c r="AG32" s="204"/>
      <c r="AH32" s="28">
        <v>7</v>
      </c>
      <c r="AI32" s="204"/>
      <c r="AJ32" s="28">
        <v>7</v>
      </c>
      <c r="AK32" s="204"/>
      <c r="AL32" s="28">
        <v>7</v>
      </c>
      <c r="AM32" s="204">
        <f>((($W$25)^Q32)*((1-($W$25))^($U$32-Q32))*HLOOKUP($U$32,$AV$24:$BF$34,Q32+1))*V32</f>
        <v>9.0400089396264658E-6</v>
      </c>
      <c r="AN32" s="28">
        <v>7</v>
      </c>
      <c r="AO32" s="204">
        <f>((($W$25)^Q32)*((1-($W$25))^($U$33-Q32))*HLOOKUP($U$33,$AV$24:$BF$34,Q32+1))*V33</f>
        <v>1.4993933390465591E-5</v>
      </c>
      <c r="AP32" s="28">
        <v>7</v>
      </c>
      <c r="AQ32" s="204">
        <f>((($W$25)^Q32)*((1-($W$25))^($U$34-Q32))*HLOOKUP($U$34,$AV$24:$BF$34,Q32+1))*V34</f>
        <v>8.3381707963298113E-6</v>
      </c>
      <c r="AR32" s="28">
        <v>7</v>
      </c>
      <c r="AS32" s="204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122</v>
      </c>
      <c r="B33" s="283">
        <f>IF(B17&lt;&gt;"CA",0.005,IF((B18-B16)&lt;0,0.1,0.1+0.055*(B18-B16)))</f>
        <v>5.0000000000000001E-3</v>
      </c>
      <c r="C33" s="284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202"/>
      <c r="O33" s="202"/>
      <c r="P33" s="202"/>
      <c r="Q33" s="28">
        <v>8</v>
      </c>
      <c r="R33" s="202">
        <f>P28*N30+P29*N29+P30*N28</f>
        <v>1.8057838932088472E-2</v>
      </c>
      <c r="S33" s="72">
        <v>8</v>
      </c>
      <c r="T33" s="203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205"/>
      <c r="X33" s="28">
        <v>8</v>
      </c>
      <c r="Y33" s="202"/>
      <c r="Z33" s="28">
        <v>8</v>
      </c>
      <c r="AA33" s="204"/>
      <c r="AB33" s="28">
        <v>8</v>
      </c>
      <c r="AC33" s="204"/>
      <c r="AD33" s="28">
        <v>8</v>
      </c>
      <c r="AE33" s="204"/>
      <c r="AF33" s="28">
        <v>8</v>
      </c>
      <c r="AG33" s="204"/>
      <c r="AH33" s="28">
        <v>8</v>
      </c>
      <c r="AI33" s="204"/>
      <c r="AJ33" s="28">
        <v>8</v>
      </c>
      <c r="AK33" s="204"/>
      <c r="AL33" s="28">
        <v>8</v>
      </c>
      <c r="AM33" s="204"/>
      <c r="AN33" s="28">
        <v>8</v>
      </c>
      <c r="AO33" s="204">
        <f>((($W$25)^Q33)*((1-($W$25))^($U$33-Q33))*HLOOKUP($U$33,$AV$24:$BF$34,Q33+1))*V33</f>
        <v>7.3717224806453664E-7</v>
      </c>
      <c r="AP33" s="28">
        <v>8</v>
      </c>
      <c r="AQ33" s="204">
        <f>((($W$25)^Q33)*((1-($W$25))^($U$34-Q33))*HLOOKUP($U$34,$AV$24:$BF$34,Q33+1))*V34</f>
        <v>8.1988734384869092E-7</v>
      </c>
      <c r="AR33" s="28">
        <v>8</v>
      </c>
      <c r="AS33" s="204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123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202"/>
      <c r="O34" s="202"/>
      <c r="P34" s="202"/>
      <c r="Q34" s="28">
        <v>9</v>
      </c>
      <c r="R34" s="202">
        <f>P29*N30+P30*N29</f>
        <v>3.0729376094897963E-3</v>
      </c>
      <c r="S34" s="72">
        <v>9</v>
      </c>
      <c r="T34" s="203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205"/>
      <c r="X34" s="28">
        <v>9</v>
      </c>
      <c r="Y34" s="202"/>
      <c r="Z34" s="28">
        <v>9</v>
      </c>
      <c r="AA34" s="204"/>
      <c r="AB34" s="28">
        <v>9</v>
      </c>
      <c r="AC34" s="204"/>
      <c r="AD34" s="28">
        <v>9</v>
      </c>
      <c r="AE34" s="204"/>
      <c r="AF34" s="28">
        <v>9</v>
      </c>
      <c r="AG34" s="204"/>
      <c r="AH34" s="28">
        <v>9</v>
      </c>
      <c r="AI34" s="204"/>
      <c r="AJ34" s="28">
        <v>9</v>
      </c>
      <c r="AK34" s="204"/>
      <c r="AL34" s="28">
        <v>9</v>
      </c>
      <c r="AM34" s="204"/>
      <c r="AN34" s="28">
        <v>9</v>
      </c>
      <c r="AO34" s="204"/>
      <c r="AP34" s="28">
        <v>9</v>
      </c>
      <c r="AQ34" s="204">
        <f>((($W$25)^Q34)*((1-($W$25))^($U$34-Q34))*HLOOKUP($U$34,$AV$24:$BF$34,Q34+1))*V34</f>
        <v>3.5830680801072293E-8</v>
      </c>
      <c r="AR34" s="28">
        <v>9</v>
      </c>
      <c r="AS34" s="204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202"/>
      <c r="O35" s="202"/>
      <c r="P35" s="202"/>
      <c r="Q35" s="28">
        <v>10</v>
      </c>
      <c r="R35" s="202">
        <f>P30*N30</f>
        <v>2.3531749919236515E-4</v>
      </c>
      <c r="S35" s="72">
        <v>10</v>
      </c>
      <c r="T35" s="203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205"/>
      <c r="X35" s="28">
        <v>10</v>
      </c>
      <c r="Y35" s="202"/>
      <c r="Z35" s="28">
        <v>10</v>
      </c>
      <c r="AA35" s="204"/>
      <c r="AB35" s="28">
        <v>10</v>
      </c>
      <c r="AC35" s="204"/>
      <c r="AD35" s="28">
        <v>10</v>
      </c>
      <c r="AE35" s="204"/>
      <c r="AF35" s="28">
        <v>10</v>
      </c>
      <c r="AG35" s="204"/>
      <c r="AH35" s="28">
        <v>10</v>
      </c>
      <c r="AI35" s="204"/>
      <c r="AJ35" s="28">
        <v>10</v>
      </c>
      <c r="AK35" s="204"/>
      <c r="AL35" s="28">
        <v>10</v>
      </c>
      <c r="AM35" s="204"/>
      <c r="AN35" s="28">
        <v>10</v>
      </c>
      <c r="AO35" s="204"/>
      <c r="AP35" s="28">
        <v>10</v>
      </c>
      <c r="AQ35" s="204"/>
      <c r="AR35" s="28">
        <v>10</v>
      </c>
      <c r="AS35" s="204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124</v>
      </c>
      <c r="B36" s="210">
        <f>SUM(BO4:BO14)</f>
        <v>0.10587961634117178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99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125</v>
      </c>
      <c r="B37" s="210">
        <f>SUM(BK4:BK59)</f>
        <v>0.79888201282353499</v>
      </c>
      <c r="G37" s="158"/>
      <c r="H37" s="257">
        <f>SUM(H39:H49)</f>
        <v>0.999836051776825</v>
      </c>
      <c r="I37" s="258"/>
      <c r="J37" s="257">
        <f>SUM(J39:J49)</f>
        <v>1</v>
      </c>
      <c r="K37" s="257"/>
      <c r="L37" s="257">
        <f>SUM(L39:L49)</f>
        <v>1</v>
      </c>
      <c r="M37" s="258"/>
      <c r="N37" s="259">
        <f>SUM(N39:N49)</f>
        <v>0.99999999999999989</v>
      </c>
      <c r="O37" s="258"/>
      <c r="P37" s="259">
        <f>SUM(P39:P49)</f>
        <v>0.99999999999999989</v>
      </c>
      <c r="Q37" s="258"/>
      <c r="R37" s="257">
        <f>SUM(R39:R49)</f>
        <v>0.99999999999999989</v>
      </c>
      <c r="S37" s="258"/>
      <c r="T37" s="257">
        <f>SUM(T39:T49)</f>
        <v>1</v>
      </c>
      <c r="U37" s="258"/>
      <c r="V37" s="199">
        <f>SUM(V39:V48)</f>
        <v>0.99621191753243699</v>
      </c>
      <c r="W37" s="158"/>
      <c r="X37" s="158"/>
      <c r="Y37" s="196">
        <f>SUM(Y39:Y49)</f>
        <v>2.3180535610223171E-4</v>
      </c>
      <c r="Z37" s="81"/>
      <c r="AA37" s="196">
        <f>SUM(AA39:AA49)</f>
        <v>3.0305681846580289E-3</v>
      </c>
      <c r="AB37" s="81"/>
      <c r="AC37" s="196">
        <f>SUM(AC39:AC49)</f>
        <v>1.7833975265218092E-2</v>
      </c>
      <c r="AD37" s="81"/>
      <c r="AE37" s="196">
        <f>SUM(AE39:AE49)</f>
        <v>6.2212968648501427E-2</v>
      </c>
      <c r="AF37" s="81"/>
      <c r="AG37" s="196">
        <f>SUM(AG39:AG49)</f>
        <v>0.14249527737151696</v>
      </c>
      <c r="AH37" s="81"/>
      <c r="AI37" s="196">
        <f>SUM(AI39:AI49)</f>
        <v>0.22396944105942748</v>
      </c>
      <c r="AJ37" s="81"/>
      <c r="AK37" s="196">
        <f>SUM(AK39:AK49)</f>
        <v>0.24475636150370289</v>
      </c>
      <c r="AL37" s="81"/>
      <c r="AM37" s="196">
        <f>SUM(AM39:AM49)</f>
        <v>0.18379238369322923</v>
      </c>
      <c r="AN37" s="81"/>
      <c r="AO37" s="196">
        <f>SUM(AO39:AO49)</f>
        <v>9.0946844651974182E-2</v>
      </c>
      <c r="AP37" s="81"/>
      <c r="AQ37" s="196">
        <f>SUM(AQ39:AQ49)</f>
        <v>2.6942291798106491E-2</v>
      </c>
      <c r="AR37" s="81"/>
      <c r="AS37" s="196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126</v>
      </c>
      <c r="B38" s="210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201">
        <f>(1-$C$24)^$B$21</f>
        <v>1.5340061903146452E-2</v>
      </c>
      <c r="O39" s="72">
        <v>0</v>
      </c>
      <c r="P39" s="201">
        <f t="shared" ref="P39:P44" si="30">N39</f>
        <v>1.5340061903146452E-2</v>
      </c>
      <c r="Q39" s="28">
        <v>0</v>
      </c>
      <c r="R39" s="202">
        <f>P39*N39</f>
        <v>2.3531749919236515E-4</v>
      </c>
      <c r="S39" s="72">
        <v>0</v>
      </c>
      <c r="T39" s="203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204">
        <f>V39</f>
        <v>2.3180535610223171E-4</v>
      </c>
      <c r="Z39" s="28">
        <v>0</v>
      </c>
      <c r="AA39" s="204">
        <f>((1-W39)^Z40)*V40</f>
        <v>9.9172820725343131E-4</v>
      </c>
      <c r="AB39" s="28">
        <v>0</v>
      </c>
      <c r="AC39" s="204">
        <f>(((1-$W$39)^AB41))*V41</f>
        <v>1.9097889332147097E-3</v>
      </c>
      <c r="AD39" s="28">
        <v>0</v>
      </c>
      <c r="AE39" s="204">
        <f>(((1-$W$39)^AB42))*V42</f>
        <v>2.1801518508046645E-3</v>
      </c>
      <c r="AF39" s="28">
        <v>0</v>
      </c>
      <c r="AG39" s="204">
        <f>(((1-$W$39)^AB43))*V43</f>
        <v>1.6340859498438114E-3</v>
      </c>
      <c r="AH39" s="28">
        <v>0</v>
      </c>
      <c r="AI39" s="204">
        <f>(((1-$W$39)^AB44))*V44</f>
        <v>8.4048854186004514E-4</v>
      </c>
      <c r="AJ39" s="28">
        <v>0</v>
      </c>
      <c r="AK39" s="204">
        <f>(((1-$W$39)^AB45))*V45</f>
        <v>3.0056999609432219E-4</v>
      </c>
      <c r="AL39" s="28">
        <v>0</v>
      </c>
      <c r="AM39" s="204">
        <f>(((1-$W$39)^AB46))*V46</f>
        <v>7.385973647996512E-5</v>
      </c>
      <c r="AN39" s="28">
        <v>0</v>
      </c>
      <c r="AO39" s="204">
        <f>(((1-$W$39)^AB47))*V47</f>
        <v>1.1960146124198113E-5</v>
      </c>
      <c r="AP39" s="28">
        <v>0</v>
      </c>
      <c r="AQ39" s="204">
        <f>(((1-$W$39)^AB48))*V48</f>
        <v>1.1594499102868507E-6</v>
      </c>
      <c r="AR39" s="28">
        <v>0</v>
      </c>
      <c r="AS39" s="204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201">
        <f>(($C$24)^M26)*((1-($C$24))^($B$21-M26))*HLOOKUP($B$21,$AV$24:$BF$34,M26+1)</f>
        <v>0.10016053484306656</v>
      </c>
      <c r="O40" s="72">
        <v>1</v>
      </c>
      <c r="P40" s="201">
        <f t="shared" si="30"/>
        <v>0.10016053484306656</v>
      </c>
      <c r="Q40" s="28">
        <v>1</v>
      </c>
      <c r="R40" s="202">
        <f>P40*N39+P39*N40</f>
        <v>3.0729376094897963E-3</v>
      </c>
      <c r="S40" s="72">
        <v>1</v>
      </c>
      <c r="T40" s="203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205"/>
      <c r="X40" s="28">
        <v>1</v>
      </c>
      <c r="Y40" s="202"/>
      <c r="Z40" s="28">
        <v>1</v>
      </c>
      <c r="AA40" s="204">
        <f>(1-((1-W39)^Z40))*V40</f>
        <v>2.0388399774045976E-3</v>
      </c>
      <c r="AB40" s="28">
        <v>1</v>
      </c>
      <c r="AC40" s="204">
        <f>((($W$39)^M40)*((1-($W$39))^($U$27-M40))*HLOOKUP($U$27,$AV$24:$BF$34,M40+1))*V41</f>
        <v>7.852461989009454E-3</v>
      </c>
      <c r="AD40" s="28">
        <v>1</v>
      </c>
      <c r="AE40" s="204">
        <f>((($W$39)^M40)*((1-($W$39))^($U$28-M40))*HLOOKUP($U$28,$AV$24:$BF$34,M40+1))*V42</f>
        <v>1.344616615033099E-2</v>
      </c>
      <c r="AF40" s="28">
        <v>1</v>
      </c>
      <c r="AG40" s="204">
        <f>((($W$39)^M40)*((1-($W$39))^($U$29-M40))*HLOOKUP($U$29,$AV$24:$BF$34,M40+1))*V43</f>
        <v>1.3437713021327194E-2</v>
      </c>
      <c r="AH40" s="28">
        <v>1</v>
      </c>
      <c r="AI40" s="204">
        <f>((($W$39)^M40)*((1-($W$39))^($U$30-M40))*HLOOKUP($U$30,$AV$24:$BF$34,M40+1))*V44</f>
        <v>8.6395729553795479E-3</v>
      </c>
      <c r="AJ40" s="28">
        <v>1</v>
      </c>
      <c r="AK40" s="204">
        <f>((($W$39)^M40)*((1-($W$39))^($U$31-M40))*HLOOKUP($U$31,$AV$24:$BF$34,M40+1))*V45</f>
        <v>3.7075528530702341E-3</v>
      </c>
      <c r="AL40" s="28">
        <v>1</v>
      </c>
      <c r="AM40" s="204">
        <f>((($W$39)^Q40)*((1-($W$39))^($U$32-Q40))*HLOOKUP($U$32,$AV$24:$BF$34,Q40+1))*V46</f>
        <v>1.0629094508774789E-3</v>
      </c>
      <c r="AN40" s="28">
        <v>1</v>
      </c>
      <c r="AO40" s="204">
        <f>((($W$39)^Q40)*((1-($W$39))^($U$33-Q40))*HLOOKUP($U$33,$AV$24:$BF$34,Q40+1))*V47</f>
        <v>1.9670570122149884E-4</v>
      </c>
      <c r="AP40" s="28">
        <v>1</v>
      </c>
      <c r="AQ40" s="204">
        <f>((($W$39)^Q40)*((1-($W$39))^($U$34-Q40))*HLOOKUP($U$34,$AV$24:$BF$34,Q40+1))*V48</f>
        <v>2.1452848980610094E-5</v>
      </c>
      <c r="AR40" s="28">
        <v>1</v>
      </c>
      <c r="AS40" s="204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201">
        <f>(($C$24)^M27)*((1-($C$24))^($B$21-M27))*HLOOKUP($B$21,$AV$24:$BF$34,M27+1)</f>
        <v>0.26159301842169036</v>
      </c>
      <c r="O41" s="72">
        <v>2</v>
      </c>
      <c r="P41" s="201">
        <f t="shared" si="30"/>
        <v>0.26159301842169036</v>
      </c>
      <c r="Q41" s="28">
        <v>2</v>
      </c>
      <c r="R41" s="202">
        <f>P41*N39+P40*N40+P39*N41</f>
        <v>1.8057838932088472E-2</v>
      </c>
      <c r="S41" s="72">
        <v>2</v>
      </c>
      <c r="T41" s="203">
        <f t="shared" si="33"/>
        <v>7.4625000000000011E-5</v>
      </c>
      <c r="U41" s="138">
        <v>2</v>
      </c>
      <c r="V41" s="86">
        <f>R41*T39+T40*R40+R39*T41</f>
        <v>1.7833975265218092E-2</v>
      </c>
      <c r="W41" s="205"/>
      <c r="X41" s="28">
        <v>2</v>
      </c>
      <c r="Y41" s="202"/>
      <c r="Z41" s="28">
        <v>2</v>
      </c>
      <c r="AA41" s="204"/>
      <c r="AB41" s="28">
        <v>2</v>
      </c>
      <c r="AC41" s="204">
        <f>((($W$39)^M41)*((1-($W$39))^($U$27-M41))*HLOOKUP($U$27,$AV$24:$BF$34,M41+1))*V41</f>
        <v>8.071724342993929E-3</v>
      </c>
      <c r="AD41" s="28">
        <v>2</v>
      </c>
      <c r="AE41" s="204">
        <f>((($W$39)^M41)*((1-($W$39))^($U$28-M41))*HLOOKUP($U$28,$AV$24:$BF$34,M41+1))*V42</f>
        <v>2.7643240244263456E-2</v>
      </c>
      <c r="AF41" s="28">
        <v>2</v>
      </c>
      <c r="AG41" s="204">
        <f>((($W$39)^M41)*((1-($W$39))^($U$29-M41))*HLOOKUP($U$29,$AV$24:$BF$34,M41+1))*V43</f>
        <v>4.1438792875492375E-2</v>
      </c>
      <c r="AH41" s="28">
        <v>2</v>
      </c>
      <c r="AI41" s="204">
        <f>((($W$39)^M41)*((1-($W$39))^($U$30-M41))*HLOOKUP($U$30,$AV$24:$BF$34,M41+1))*V44</f>
        <v>3.5523254456813216E-2</v>
      </c>
      <c r="AJ41" s="28">
        <v>2</v>
      </c>
      <c r="AK41" s="204">
        <f>((($W$39)^M41)*((1-($W$39))^($U$31-M41))*HLOOKUP($U$31,$AV$24:$BF$34,M41+1))*V45</f>
        <v>1.9055389672022246E-2</v>
      </c>
      <c r="AL41" s="28">
        <v>2</v>
      </c>
      <c r="AM41" s="204">
        <f>((($W$39)^Q41)*((1-($W$39))^($U$32-Q41))*HLOOKUP($U$32,$AV$24:$BF$34,Q41+1))*V46</f>
        <v>6.5555328515216277E-3</v>
      </c>
      <c r="AN41" s="28">
        <v>2</v>
      </c>
      <c r="AO41" s="204">
        <f>((($W$39)^Q41)*((1-($W$39))^($U$33-Q41))*HLOOKUP($U$33,$AV$24:$BF$34,Q41+1))*V47</f>
        <v>1.4153878610609926E-3</v>
      </c>
      <c r="AP41" s="28">
        <v>2</v>
      </c>
      <c r="AQ41" s="204">
        <f>((($W$39)^Q41)*((1-($W$39))^($U$34-Q41))*HLOOKUP($U$34,$AV$24:$BF$34,Q41+1))*V48</f>
        <v>1.7641497261442347E-4</v>
      </c>
      <c r="AR41" s="28">
        <v>2</v>
      </c>
      <c r="AS41" s="204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201">
        <f>(($C$24)^M28)*((1-($C$24))^($B$21-M28))*HLOOKUP($B$21,$AV$24:$BF$34,M28+1)</f>
        <v>0.34160613955481417</v>
      </c>
      <c r="O42" s="72">
        <v>3</v>
      </c>
      <c r="P42" s="201">
        <f t="shared" si="30"/>
        <v>0.34160613955481417</v>
      </c>
      <c r="Q42" s="28">
        <v>3</v>
      </c>
      <c r="R42" s="202">
        <f>P42*N39+P41*N40+P40*N41+P39*N42</f>
        <v>6.2883111927188803E-2</v>
      </c>
      <c r="S42" s="72">
        <v>3</v>
      </c>
      <c r="T42" s="203">
        <f t="shared" si="33"/>
        <v>1.2500000000000002E-7</v>
      </c>
      <c r="U42" s="138">
        <v>3</v>
      </c>
      <c r="V42" s="86">
        <f>R42*T39+R41*T40+R40*T41+R39*T42</f>
        <v>6.2212968648501427E-2</v>
      </c>
      <c r="W42" s="205"/>
      <c r="X42" s="28">
        <v>3</v>
      </c>
      <c r="Y42" s="202"/>
      <c r="Z42" s="28">
        <v>3</v>
      </c>
      <c r="AA42" s="204"/>
      <c r="AB42" s="28">
        <v>3</v>
      </c>
      <c r="AC42" s="204"/>
      <c r="AD42" s="28">
        <v>3</v>
      </c>
      <c r="AE42" s="204">
        <f>((($W$39)^M42)*((1-($W$39))^($U$28-M42))*HLOOKUP($U$28,$AV$24:$BF$34,M42+1))*V42</f>
        <v>1.8943410403102316E-2</v>
      </c>
      <c r="AF42" s="28">
        <v>3</v>
      </c>
      <c r="AG42" s="204">
        <f>((($W$39)^M42)*((1-($W$39))^($U$29-M42))*HLOOKUP($U$29,$AV$24:$BF$34,M42+1))*V43</f>
        <v>5.6794504053301519E-2</v>
      </c>
      <c r="AH42" s="28">
        <v>3</v>
      </c>
      <c r="AI42" s="204">
        <f>((($W$39)^M42)*((1-($W$39))^($U$30-M42))*HLOOKUP($U$30,$AV$24:$BF$34,M42+1))*V44</f>
        <v>7.3030323010222359E-2</v>
      </c>
      <c r="AJ42" s="28">
        <v>3</v>
      </c>
      <c r="AK42" s="204">
        <f>((($W$39)^M42)*((1-($W$39))^($U$31-M42))*HLOOKUP($U$31,$AV$24:$BF$34,M42+1))*V45</f>
        <v>5.2233249613067946E-2</v>
      </c>
      <c r="AL42" s="28">
        <v>3</v>
      </c>
      <c r="AM42" s="204">
        <f>((($W$39)^Q42)*((1-($W$39))^($U$32-Q42))*HLOOKUP($U$32,$AV$24:$BF$34,Q42+1))*V46</f>
        <v>2.2461937913223571E-2</v>
      </c>
      <c r="AN42" s="28">
        <v>3</v>
      </c>
      <c r="AO42" s="204">
        <f>((($W$39)^Q42)*((1-($W$39))^($U$33-Q42))*HLOOKUP($U$33,$AV$24:$BF$34,Q42+1))*V47</f>
        <v>5.8196375449607396E-3</v>
      </c>
      <c r="AP42" s="28">
        <v>3</v>
      </c>
      <c r="AQ42" s="204">
        <f>((($W$39)^Q42)*((1-($W$39))^($U$34-Q42))*HLOOKUP($U$34,$AV$24:$BF$34,Q42+1))*V48</f>
        <v>8.4625783322431431E-4</v>
      </c>
      <c r="AR42" s="28">
        <v>3</v>
      </c>
      <c r="AS42" s="204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201">
        <f>(($C$24)^M29)*((1-($C$24))^($B$21-M29))*HLOOKUP($B$21,$AV$24:$BF$34,M29+1)</f>
        <v>0.22304638572851768</v>
      </c>
      <c r="O43" s="72">
        <v>4</v>
      </c>
      <c r="P43" s="201">
        <f t="shared" si="30"/>
        <v>0.22304638572851768</v>
      </c>
      <c r="Q43" s="28">
        <v>4</v>
      </c>
      <c r="R43" s="202">
        <f>P43*N39+P42*N40+P41*N41+P40*N42+P39*N43</f>
        <v>0.14370490530263877</v>
      </c>
      <c r="S43" s="72">
        <v>4</v>
      </c>
      <c r="T43" s="203">
        <f t="shared" si="33"/>
        <v>0</v>
      </c>
      <c r="U43" s="138">
        <v>4</v>
      </c>
      <c r="V43" s="86">
        <f>T43*R39+T42*R40+T41*R41+T40*R42+T39*R43</f>
        <v>0.14249527737151696</v>
      </c>
      <c r="W43" s="205"/>
      <c r="X43" s="28">
        <v>4</v>
      </c>
      <c r="Y43" s="202"/>
      <c r="Z43" s="28">
        <v>4</v>
      </c>
      <c r="AA43" s="204"/>
      <c r="AB43" s="28">
        <v>4</v>
      </c>
      <c r="AC43" s="204"/>
      <c r="AD43" s="28">
        <v>4</v>
      </c>
      <c r="AE43" s="204"/>
      <c r="AF43" s="28">
        <v>4</v>
      </c>
      <c r="AG43" s="204">
        <f>((($W$39)^M43)*((1-($W$39))^($U$29-M43))*HLOOKUP($U$29,$AV$24:$BF$34,M43+1))*V43</f>
        <v>2.9190181471552064E-2</v>
      </c>
      <c r="AH43" s="28">
        <v>4</v>
      </c>
      <c r="AI43" s="204">
        <f>((($W$39)^M43)*((1-($W$39))^($U$30-M43))*HLOOKUP($U$30,$AV$24:$BF$34,M43+1))*V44</f>
        <v>7.5069530657184538E-2</v>
      </c>
      <c r="AJ43" s="28">
        <v>4</v>
      </c>
      <c r="AK43" s="204">
        <f>((($W$39)^M43)*((1-($W$39))^($U$31-M43))*HLOOKUP($U$31,$AV$24:$BF$34,M43+1))*V45</f>
        <v>8.0537618584893569E-2</v>
      </c>
      <c r="AL43" s="28">
        <v>4</v>
      </c>
      <c r="AM43" s="204">
        <f>((($W$39)^Q43)*((1-($W$39))^($U$32-Q43))*HLOOKUP($U$32,$AV$24:$BF$34,Q43+1))*V46</f>
        <v>4.6178274100211414E-2</v>
      </c>
      <c r="AN43" s="28">
        <v>4</v>
      </c>
      <c r="AO43" s="204">
        <f>((($W$39)^Q43)*((1-($W$39))^($U$33-Q43))*HLOOKUP($U$33,$AV$24:$BF$34,Q43+1))*V47</f>
        <v>1.495534461192171E-2</v>
      </c>
      <c r="AP43" s="28">
        <v>4</v>
      </c>
      <c r="AQ43" s="204">
        <f>((($W$39)^Q43)*((1-($W$39))^($U$34-Q43))*HLOOKUP($U$34,$AV$24:$BF$34,Q43+1))*V48</f>
        <v>2.6096630441942419E-3</v>
      </c>
      <c r="AR43" s="28">
        <v>4</v>
      </c>
      <c r="AS43" s="204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201">
        <f>(($C$24)^M30)*((1-($C$24))^($B$21-M30))*HLOOKUP($B$21,$AV$24:$BF$34,M30+1)</f>
        <v>5.8253859548764761E-2</v>
      </c>
      <c r="O44" s="72">
        <v>5</v>
      </c>
      <c r="P44" s="201">
        <f t="shared" si="30"/>
        <v>5.8253859548764761E-2</v>
      </c>
      <c r="Q44" s="28">
        <v>5</v>
      </c>
      <c r="R44" s="202">
        <f>P44*N39+P43*N40+P42*N41+P41*N42+P40*N43+P39*N44</f>
        <v>0.22519168851696308</v>
      </c>
      <c r="S44" s="72">
        <v>5</v>
      </c>
      <c r="T44" s="203">
        <f t="shared" si="33"/>
        <v>0</v>
      </c>
      <c r="U44" s="138">
        <v>5</v>
      </c>
      <c r="V44" s="86">
        <f>T44*R39+T43*R40+T42*R41+T41*R42+T40*R43+T39*R44</f>
        <v>0.22396944105942745</v>
      </c>
      <c r="W44" s="205"/>
      <c r="X44" s="28">
        <v>5</v>
      </c>
      <c r="Y44" s="202"/>
      <c r="Z44" s="28">
        <v>5</v>
      </c>
      <c r="AA44" s="204"/>
      <c r="AB44" s="28">
        <v>5</v>
      </c>
      <c r="AC44" s="204"/>
      <c r="AD44" s="28">
        <v>5</v>
      </c>
      <c r="AE44" s="204"/>
      <c r="AF44" s="28">
        <v>5</v>
      </c>
      <c r="AG44" s="204"/>
      <c r="AH44" s="28">
        <v>5</v>
      </c>
      <c r="AI44" s="204">
        <f>((($W$39)^M44)*((1-($W$39))^($U$30-M44))*HLOOKUP($U$30,$AV$24:$BF$34,M44+1))*V44</f>
        <v>3.0866271437967777E-2</v>
      </c>
      <c r="AJ44" s="28">
        <v>5</v>
      </c>
      <c r="AK44" s="204">
        <f>((($W$39)^M44)*((1-($W$39))^($U$31-M44))*HLOOKUP($U$31,$AV$24:$BF$34,M44+1))*V45</f>
        <v>6.622916047153761E-2</v>
      </c>
      <c r="AL44" s="28">
        <v>5</v>
      </c>
      <c r="AM44" s="204">
        <f>((($W$39)^Q44)*((1-($W$39))^($U$32-Q44))*HLOOKUP($U$32,$AV$24:$BF$34,Q44+1))*V46</f>
        <v>5.6961238352071258E-2</v>
      </c>
      <c r="AN44" s="28">
        <v>5</v>
      </c>
      <c r="AO44" s="204">
        <f>((($W$39)^Q44)*((1-($W$39))^($U$33-Q44))*HLOOKUP($U$33,$AV$24:$BF$34,Q44+1))*V47</f>
        <v>2.4596702401029083E-2</v>
      </c>
      <c r="AP44" s="28">
        <v>5</v>
      </c>
      <c r="AQ44" s="204">
        <f>((($W$39)^Q44)*((1-($W$39))^($U$34-Q44))*HLOOKUP($U$34,$AV$24:$BF$34,Q44+1))*V48</f>
        <v>5.3650640398684619E-3</v>
      </c>
      <c r="AR44" s="28">
        <v>5</v>
      </c>
      <c r="AS44" s="204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202"/>
      <c r="O45" s="202"/>
      <c r="P45" s="202"/>
      <c r="Q45" s="28">
        <v>6</v>
      </c>
      <c r="R45" s="202">
        <f>P44*N40+P43*N41+P42*N42+P41*N43+P40*N44</f>
        <v>0.24505898462124065</v>
      </c>
      <c r="S45" s="72">
        <v>6</v>
      </c>
      <c r="T45" s="203">
        <f t="shared" si="33"/>
        <v>0</v>
      </c>
      <c r="U45" s="138">
        <v>6</v>
      </c>
      <c r="V45" s="86">
        <f>T45*R39+T44*R40+T43*R41+T42*R42+T41*R43+T40*R44+T39*R45</f>
        <v>0.24475636150370284</v>
      </c>
      <c r="W45" s="205"/>
      <c r="X45" s="28">
        <v>6</v>
      </c>
      <c r="Y45" s="202"/>
      <c r="Z45" s="28">
        <v>6</v>
      </c>
      <c r="AA45" s="204"/>
      <c r="AB45" s="28">
        <v>6</v>
      </c>
      <c r="AC45" s="204"/>
      <c r="AD45" s="28">
        <v>6</v>
      </c>
      <c r="AE45" s="204"/>
      <c r="AF45" s="28">
        <v>6</v>
      </c>
      <c r="AG45" s="204"/>
      <c r="AH45" s="28">
        <v>6</v>
      </c>
      <c r="AI45" s="204"/>
      <c r="AJ45" s="28">
        <v>6</v>
      </c>
      <c r="AK45" s="204">
        <f>((($W$39)^Q45)*((1-($W$39))^($U$31-Q45))*HLOOKUP($U$31,$AV$24:$BF$34,Q45+1))*V45</f>
        <v>2.2692820313016934E-2</v>
      </c>
      <c r="AL45" s="28">
        <v>6</v>
      </c>
      <c r="AM45" s="204">
        <f>((($W$39)^Q45)*((1-($W$39))^($U$32-Q45))*HLOOKUP($U$32,$AV$24:$BF$34,Q45+1))*V46</f>
        <v>3.9034501948306884E-2</v>
      </c>
      <c r="AN45" s="28">
        <v>6</v>
      </c>
      <c r="AO45" s="204">
        <f>((($W$39)^Q45)*((1-($W$39))^($U$33-Q45))*HLOOKUP($U$33,$AV$24:$BF$34,Q45+1))*V47</f>
        <v>2.5283510038716935E-2</v>
      </c>
      <c r="AP45" s="28">
        <v>6</v>
      </c>
      <c r="AQ45" s="204">
        <f>((($W$39)^Q45)*((1-($W$39))^($U$34-Q45))*HLOOKUP($U$34,$AV$24:$BF$34,Q45+1))*V48</f>
        <v>7.3531618614966982E-3</v>
      </c>
      <c r="AR45" s="28">
        <v>6</v>
      </c>
      <c r="AS45" s="204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202"/>
      <c r="O46" s="202"/>
      <c r="P46" s="202"/>
      <c r="Q46" s="28">
        <v>7</v>
      </c>
      <c r="R46" s="202">
        <f>P44*N41+P43*N42+P42*N43+P41*N44</f>
        <v>0.182865635448895</v>
      </c>
      <c r="S46" s="72">
        <v>7</v>
      </c>
      <c r="T46" s="203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205"/>
      <c r="X46" s="28">
        <v>7</v>
      </c>
      <c r="Y46" s="202"/>
      <c r="Z46" s="28">
        <v>7</v>
      </c>
      <c r="AA46" s="204"/>
      <c r="AB46" s="28">
        <v>7</v>
      </c>
      <c r="AC46" s="204"/>
      <c r="AD46" s="28">
        <v>7</v>
      </c>
      <c r="AE46" s="204"/>
      <c r="AF46" s="28">
        <v>7</v>
      </c>
      <c r="AG46" s="204"/>
      <c r="AH46" s="28">
        <v>7</v>
      </c>
      <c r="AI46" s="204"/>
      <c r="AJ46" s="28">
        <v>7</v>
      </c>
      <c r="AK46" s="204"/>
      <c r="AL46" s="28">
        <v>7</v>
      </c>
      <c r="AM46" s="204">
        <f>((($W$39)^Q46)*((1-($W$39))^($U$32-Q46))*HLOOKUP($U$32,$AV$24:$BF$34,Q46+1))*V46</f>
        <v>1.1464129340537029E-2</v>
      </c>
      <c r="AN46" s="28">
        <v>7</v>
      </c>
      <c r="AO46" s="204">
        <f>((($W$39)^Q46)*((1-($W$39))^($U$33-Q46))*HLOOKUP($U$33,$AV$24:$BF$34,Q46+1))*V47</f>
        <v>1.4851140134974345E-2</v>
      </c>
      <c r="AP46" s="28">
        <v>7</v>
      </c>
      <c r="AQ46" s="204">
        <f>((($W$39)^Q46)*((1-($W$39))^($U$34-Q46))*HLOOKUP($U$34,$AV$24:$BF$34,Q46+1))*V48</f>
        <v>6.4786991841527947E-3</v>
      </c>
      <c r="AR46" s="28">
        <v>7</v>
      </c>
      <c r="AS46" s="204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202"/>
      <c r="O47" s="202"/>
      <c r="P47" s="202"/>
      <c r="Q47" s="28">
        <v>8</v>
      </c>
      <c r="R47" s="202">
        <f>P44*N42+P43*N43+P42*N44</f>
        <v>8.9549442335798451E-2</v>
      </c>
      <c r="S47" s="72">
        <v>8</v>
      </c>
      <c r="T47" s="203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205"/>
      <c r="X47" s="28">
        <v>8</v>
      </c>
      <c r="Y47" s="202"/>
      <c r="Z47" s="28">
        <v>8</v>
      </c>
      <c r="AA47" s="204"/>
      <c r="AB47" s="28">
        <v>8</v>
      </c>
      <c r="AC47" s="204"/>
      <c r="AD47" s="28">
        <v>8</v>
      </c>
      <c r="AE47" s="204"/>
      <c r="AF47" s="28">
        <v>8</v>
      </c>
      <c r="AG47" s="204"/>
      <c r="AH47" s="28">
        <v>8</v>
      </c>
      <c r="AI47" s="204"/>
      <c r="AJ47" s="28">
        <v>8</v>
      </c>
      <c r="AK47" s="204"/>
      <c r="AL47" s="28">
        <v>8</v>
      </c>
      <c r="AM47" s="204"/>
      <c r="AN47" s="28">
        <v>8</v>
      </c>
      <c r="AO47" s="204">
        <f>((($W$39)^Q47)*((1-($W$39))^($U$33-Q47))*HLOOKUP($U$33,$AV$24:$BF$34,Q47+1))*V47</f>
        <v>3.8164562119646778E-3</v>
      </c>
      <c r="AP47" s="28">
        <v>8</v>
      </c>
      <c r="AQ47" s="204">
        <f>((($W$39)^Q47)*((1-($W$39))^($U$34-Q47))*HLOOKUP($U$34,$AV$24:$BF$34,Q47+1))*V48</f>
        <v>3.329801149553713E-3</v>
      </c>
      <c r="AR47" s="28">
        <v>8</v>
      </c>
      <c r="AS47" s="204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202"/>
      <c r="O48" s="202"/>
      <c r="P48" s="202"/>
      <c r="Q48" s="28">
        <v>9</v>
      </c>
      <c r="R48" s="202">
        <f>P44*N43+P43*N44</f>
        <v>2.5986625654177354E-2</v>
      </c>
      <c r="S48" s="72">
        <v>9</v>
      </c>
      <c r="T48" s="203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205"/>
      <c r="X48" s="28">
        <v>9</v>
      </c>
      <c r="Y48" s="202"/>
      <c r="Z48" s="28">
        <v>9</v>
      </c>
      <c r="AA48" s="204"/>
      <c r="AB48" s="28">
        <v>9</v>
      </c>
      <c r="AC48" s="204"/>
      <c r="AD48" s="28">
        <v>9</v>
      </c>
      <c r="AE48" s="204"/>
      <c r="AF48" s="28">
        <v>9</v>
      </c>
      <c r="AG48" s="204"/>
      <c r="AH48" s="28">
        <v>9</v>
      </c>
      <c r="AI48" s="204"/>
      <c r="AJ48" s="28">
        <v>9</v>
      </c>
      <c r="AK48" s="204"/>
      <c r="AL48" s="28">
        <v>9</v>
      </c>
      <c r="AM48" s="204"/>
      <c r="AN48" s="28">
        <v>9</v>
      </c>
      <c r="AO48" s="204"/>
      <c r="AP48" s="28">
        <v>9</v>
      </c>
      <c r="AQ48" s="204">
        <f>((($W$39)^Q48)*((1-($W$39))^($U$34-Q48))*HLOOKUP($U$34,$AV$24:$BF$34,Q48+1))*V48</f>
        <v>7.6061741411094519E-4</v>
      </c>
      <c r="AR48" s="28">
        <v>9</v>
      </c>
      <c r="AS48" s="204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202"/>
      <c r="O49" s="202"/>
      <c r="P49" s="202"/>
      <c r="Q49" s="28">
        <v>10</v>
      </c>
      <c r="R49" s="202">
        <f>P44*N44</f>
        <v>3.3935121523272112E-3</v>
      </c>
      <c r="S49" s="72">
        <v>10</v>
      </c>
      <c r="T49" s="203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205"/>
      <c r="X49" s="28">
        <v>10</v>
      </c>
      <c r="Y49" s="202"/>
      <c r="Z49" s="28">
        <v>10</v>
      </c>
      <c r="AA49" s="204"/>
      <c r="AB49" s="28">
        <v>10</v>
      </c>
      <c r="AC49" s="204"/>
      <c r="AD49" s="28">
        <v>10</v>
      </c>
      <c r="AE49" s="204"/>
      <c r="AF49" s="28">
        <v>10</v>
      </c>
      <c r="AG49" s="204"/>
      <c r="AH49" s="28">
        <v>10</v>
      </c>
      <c r="AI49" s="204"/>
      <c r="AJ49" s="28">
        <v>10</v>
      </c>
      <c r="AK49" s="204"/>
      <c r="AL49" s="28">
        <v>10</v>
      </c>
      <c r="AM49" s="204"/>
      <c r="AN49" s="28">
        <v>10</v>
      </c>
      <c r="AO49" s="204"/>
      <c r="AP49" s="28">
        <v>10</v>
      </c>
      <c r="AQ49" s="204"/>
      <c r="AR49" s="28">
        <v>10</v>
      </c>
      <c r="AS49" s="204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08"/>
      <c r="H50" s="77"/>
      <c r="I50" s="209"/>
      <c r="J50" s="209"/>
      <c r="K50" s="77"/>
      <c r="L50" s="77"/>
      <c r="O50" s="195"/>
      <c r="P50" s="195"/>
      <c r="Q50" s="195"/>
      <c r="R50" s="195"/>
      <c r="S50" s="208"/>
      <c r="T50" s="208"/>
      <c r="U50" s="208"/>
      <c r="V50" s="77"/>
      <c r="W50" s="209"/>
      <c r="X50" s="158"/>
      <c r="Y50" s="158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B38" sqref="B3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85" t="s">
        <v>1</v>
      </c>
      <c r="G1" s="183">
        <f>IF(D3="SI",COUNTIF($F$6:$F$18,"RAP"),0)</f>
        <v>5</v>
      </c>
      <c r="H1" s="13"/>
      <c r="J1" s="186" t="s">
        <v>1</v>
      </c>
      <c r="K1" s="183">
        <f>IF(D3="SI",COUNTIF($J$6:$J$18,"RAP"),0)</f>
        <v>0</v>
      </c>
      <c r="L1" s="13"/>
      <c r="P1" s="302"/>
      <c r="Q1" s="302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145</v>
      </c>
      <c r="B2" t="s">
        <v>0</v>
      </c>
      <c r="F2" s="185" t="s">
        <v>2</v>
      </c>
      <c r="G2" s="183">
        <f>IF(D3="SI",COUNTIF($F$6:$F$18,"TEC"),0)</f>
        <v>0</v>
      </c>
      <c r="H2" s="13"/>
      <c r="J2" s="186" t="s">
        <v>2</v>
      </c>
      <c r="K2" s="183">
        <f>IF(D3="SI",COUNTIF($J$6:$J$18,"TEC"),0)</f>
        <v>0</v>
      </c>
      <c r="L2" s="13"/>
      <c r="M2" s="158"/>
      <c r="O2" t="s">
        <v>3</v>
      </c>
      <c r="P2" s="192">
        <v>0.45</v>
      </c>
      <c r="R2" s="151"/>
      <c r="S2" s="151"/>
      <c r="Y2" t="s">
        <v>3</v>
      </c>
      <c r="Z2" s="193">
        <v>0.45</v>
      </c>
      <c r="AI2" s="13"/>
    </row>
    <row r="3" spans="1:70" x14ac:dyDescent="0.25">
      <c r="A3" s="157" t="s">
        <v>4</v>
      </c>
      <c r="B3" s="300" t="s">
        <v>5</v>
      </c>
      <c r="C3" s="300"/>
      <c r="D3" t="str">
        <f>IF(B3="Sol","SI",IF(B3="Lluvia","SI","NO"))</f>
        <v>SI</v>
      </c>
      <c r="F3" s="185" t="s">
        <v>6</v>
      </c>
      <c r="G3" s="183">
        <f>IF(D3="SI",COUNTIF($F$6:$F$18,"POT"),0)</f>
        <v>0</v>
      </c>
      <c r="H3" s="13"/>
      <c r="J3" s="186" t="s">
        <v>6</v>
      </c>
      <c r="K3" s="183">
        <f>IF(D3="SI",COUNTIF($J$6:$J$18,"POT"),0)</f>
        <v>0</v>
      </c>
      <c r="L3" s="13"/>
      <c r="O3" t="s">
        <v>7</v>
      </c>
      <c r="P3" s="192">
        <v>0.56999999999999995</v>
      </c>
      <c r="Q3" t="s">
        <v>8</v>
      </c>
      <c r="R3" s="192">
        <v>0.7</v>
      </c>
      <c r="Y3" t="s">
        <v>7</v>
      </c>
      <c r="Z3" s="193">
        <v>0.56999999999999995</v>
      </c>
      <c r="AA3" t="s">
        <v>8</v>
      </c>
      <c r="AB3" s="193">
        <v>0.7</v>
      </c>
      <c r="AI3" s="188">
        <f>SUM(AI5:AI19)</f>
        <v>3.5810000000000004</v>
      </c>
      <c r="AM3" s="188">
        <f>SUM(AM5:AM19)</f>
        <v>3.5809999999999995</v>
      </c>
      <c r="AN3" s="188">
        <f>SUM(AN5:AN19)</f>
        <v>2.5809999999999995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3.7016495474050388E-3</v>
      </c>
      <c r="BL4">
        <v>0</v>
      </c>
      <c r="BM4">
        <v>0</v>
      </c>
      <c r="BN4" s="107">
        <f>H25*H39</f>
        <v>7.5212464889746827E-4</v>
      </c>
      <c r="BP4">
        <v>1</v>
      </c>
      <c r="BQ4">
        <v>0</v>
      </c>
      <c r="BR4" s="107">
        <f>$H$26*H39</f>
        <v>2.6170460048061655E-3</v>
      </c>
    </row>
    <row r="5" spans="1:70" x14ac:dyDescent="0.25">
      <c r="A5" s="40" t="s">
        <v>30</v>
      </c>
      <c r="B5" s="154">
        <v>352</v>
      </c>
      <c r="C5" s="154">
        <v>352</v>
      </c>
      <c r="E5" s="182" t="s">
        <v>31</v>
      </c>
      <c r="F5" s="160" t="s">
        <v>32</v>
      </c>
      <c r="G5" s="160">
        <v>12</v>
      </c>
      <c r="H5" s="10"/>
      <c r="I5" s="10"/>
      <c r="J5" s="159" t="s">
        <v>32</v>
      </c>
      <c r="K5" s="159">
        <v>12</v>
      </c>
      <c r="L5" s="10"/>
      <c r="M5" s="10"/>
      <c r="O5" s="67">
        <f t="shared" ref="O5:O19" si="1">AG5*AI5*AO5*AH5</f>
        <v>0.10405850445563736</v>
      </c>
      <c r="P5" s="190">
        <f>P3</f>
        <v>0.56999999999999995</v>
      </c>
      <c r="Q5" s="194">
        <f t="shared" ref="Q5:Q19" si="2">P5*O5</f>
        <v>5.931334753971329E-2</v>
      </c>
      <c r="R5" s="155">
        <f t="shared" ref="R5:R19" si="3">IF($B$17="JC",IF($C$17="JC",$W$1,$V$1*1.1),IF($C$17="JC",$V$1/0.9,$U$1))*Q5/1.5</f>
        <v>5.931334753971329E-2</v>
      </c>
      <c r="S5" s="169">
        <f t="shared" ref="S5:S19" si="4">(1-R5)</f>
        <v>0.94068665246028671</v>
      </c>
      <c r="T5" s="170">
        <f>R5*PRODUCT(S6:S19)</f>
        <v>2.929486847442998E-2</v>
      </c>
      <c r="U5" s="170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2.3364633337307792E-2</v>
      </c>
      <c r="V5" s="18"/>
      <c r="W5" s="176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69">
        <f t="shared" ref="AC5:AC19" si="8">(1-AB5)</f>
        <v>1</v>
      </c>
      <c r="AD5" s="170">
        <f>AB5*PRODUCT(AC6:AC19)</f>
        <v>0</v>
      </c>
      <c r="AE5" s="170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84">
        <f>IF(COUNTIF(F5:F10,"IMP")+COUNTIF(J5:J10,"IMP")=0,0,COUNTIF(F5:F10,"IMP")/(COUNTIF(F5:F10,"IMP")+COUNTIF(J5:J10,"IMP")))</f>
        <v>1</v>
      </c>
      <c r="AH5">
        <f>COUNTIF(F5:F10,"IMP")</f>
        <v>1</v>
      </c>
      <c r="AI5" s="187">
        <f t="shared" ref="AI5:AI19" si="9">AN5*$AM$3/$AN$3</f>
        <v>0.62435102673382414</v>
      </c>
      <c r="AK5" s="184">
        <f>IF(COUNTIF(F5:F10,"IMP")+COUNTIF(J5:J10,"IMP")=0,0,COUNTIF(J5:J10,"IMP")/(COUNTIF(F5:F10,"IMP")+COUNTIF(J5:J10,"IMP")))</f>
        <v>0</v>
      </c>
      <c r="AL5">
        <f>COUNTIF(J5:J10,"IMP")</f>
        <v>0</v>
      </c>
      <c r="AM5" s="188">
        <v>0.45</v>
      </c>
      <c r="AN5" s="189">
        <f t="shared" ref="AN5:AN19" si="10">IF(AG5=0,IF(AK5=0,0,AM5),AM5)</f>
        <v>0.45</v>
      </c>
      <c r="AO5">
        <f>1/6</f>
        <v>0.16666666666666666</v>
      </c>
      <c r="BH5">
        <v>0</v>
      </c>
      <c r="BI5">
        <v>2</v>
      </c>
      <c r="BJ5" s="107">
        <f t="shared" si="0"/>
        <v>8.3116504192388332E-3</v>
      </c>
      <c r="BL5">
        <v>1</v>
      </c>
      <c r="BM5">
        <v>1</v>
      </c>
      <c r="BN5" s="107">
        <f>$H$26*H40</f>
        <v>1.2880028826909938E-2</v>
      </c>
      <c r="BP5">
        <f>BP4+1</f>
        <v>2</v>
      </c>
      <c r="BQ5">
        <v>0</v>
      </c>
      <c r="BR5" s="107">
        <f>$H$27*H39</f>
        <v>4.2103677454771041E-3</v>
      </c>
    </row>
    <row r="6" spans="1:70" x14ac:dyDescent="0.25">
      <c r="A6" s="2" t="s">
        <v>35</v>
      </c>
      <c r="B6" s="161">
        <v>10</v>
      </c>
      <c r="C6" s="162">
        <v>10</v>
      </c>
      <c r="E6" s="182" t="s">
        <v>36</v>
      </c>
      <c r="F6" s="160" t="s">
        <v>37</v>
      </c>
      <c r="G6" s="160"/>
      <c r="H6" s="10"/>
      <c r="I6" s="10"/>
      <c r="J6" s="159" t="s">
        <v>32</v>
      </c>
      <c r="K6" s="159"/>
      <c r="L6" s="10"/>
      <c r="M6" s="10"/>
      <c r="O6" s="67">
        <f t="shared" si="1"/>
        <v>0</v>
      </c>
      <c r="P6" s="190">
        <f>P3</f>
        <v>0.56999999999999995</v>
      </c>
      <c r="Q6" s="194">
        <f t="shared" si="2"/>
        <v>0</v>
      </c>
      <c r="R6" s="155">
        <f t="shared" si="3"/>
        <v>0</v>
      </c>
      <c r="S6" s="169">
        <f t="shared" si="4"/>
        <v>1</v>
      </c>
      <c r="T6" s="170">
        <f>R6*S5*PRODUCT(S7:S19)</f>
        <v>0</v>
      </c>
      <c r="U6" s="170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76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155">
        <f t="shared" si="7"/>
        <v>0</v>
      </c>
      <c r="AC6" s="169">
        <f t="shared" si="8"/>
        <v>1</v>
      </c>
      <c r="AD6" s="170">
        <f>AB6*AC5*PRODUCT(AC7:AC19)</f>
        <v>0</v>
      </c>
      <c r="AE6" s="170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184">
        <f>IF(COUNTIF(F11:F18,"IMP")+COUNTIF(J11:J18,"IMP")=0,0,COUNTIF(F11:F18,"IMP")/(COUNTIF(F11:F18,"IMP")+COUNTIF(J11:J18,"IMP")))</f>
        <v>0</v>
      </c>
      <c r="AH6">
        <f>COUNTIF(F11:F18,"IMP")</f>
        <v>0</v>
      </c>
      <c r="AI6" s="187">
        <f t="shared" si="9"/>
        <v>0</v>
      </c>
      <c r="AK6" s="184">
        <f>IF(COUNTIF(F11:F18,"IMP")+COUNTIF(J11:J18,"IMP")=0,0,COUNTIF(J11:J18,"IMP")/(COUNTIF(F11:F18,"IMP")+COUNTIF(J11:J18,"IMP")))</f>
        <v>0</v>
      </c>
      <c r="AL6">
        <f>COUNTIF(J11:J18,"IMP")</f>
        <v>0</v>
      </c>
      <c r="AM6" s="188">
        <v>0.35</v>
      </c>
      <c r="AN6" s="189">
        <f t="shared" si="10"/>
        <v>0</v>
      </c>
      <c r="AO6">
        <f>1/8</f>
        <v>0.125</v>
      </c>
      <c r="BH6">
        <v>0</v>
      </c>
      <c r="BI6">
        <v>3</v>
      </c>
      <c r="BJ6" s="107">
        <f t="shared" si="0"/>
        <v>1.1258101366155305E-2</v>
      </c>
      <c r="BL6">
        <f>BH14+1</f>
        <v>2</v>
      </c>
      <c r="BM6">
        <v>2</v>
      </c>
      <c r="BN6" s="107">
        <f>$H$27*H41</f>
        <v>4.652833129208489E-2</v>
      </c>
      <c r="BP6">
        <f>BL5+1</f>
        <v>2</v>
      </c>
      <c r="BQ6">
        <v>1</v>
      </c>
      <c r="BR6" s="107">
        <f>$H$27*H40</f>
        <v>2.0721706012827041E-2</v>
      </c>
    </row>
    <row r="7" spans="1:70" x14ac:dyDescent="0.25">
      <c r="A7" s="5" t="s">
        <v>40</v>
      </c>
      <c r="B7" s="161">
        <v>11.75</v>
      </c>
      <c r="C7" s="162">
        <v>14.5</v>
      </c>
      <c r="E7" s="182" t="s">
        <v>41</v>
      </c>
      <c r="F7" s="160"/>
      <c r="G7" s="160"/>
      <c r="H7" s="10"/>
      <c r="I7" s="10"/>
      <c r="J7" s="159"/>
      <c r="K7" s="159"/>
      <c r="L7" s="10"/>
      <c r="M7" s="10"/>
      <c r="O7" s="67">
        <f t="shared" si="1"/>
        <v>0</v>
      </c>
      <c r="P7" s="190">
        <f>P2</f>
        <v>0.45</v>
      </c>
      <c r="Q7" s="194">
        <f t="shared" si="2"/>
        <v>0</v>
      </c>
      <c r="R7" s="155">
        <f t="shared" si="3"/>
        <v>0</v>
      </c>
      <c r="S7" s="169">
        <f t="shared" si="4"/>
        <v>1</v>
      </c>
      <c r="T7" s="170">
        <f>R7*PRODUCT(S5:S6)*PRODUCT(S8:S19)</f>
        <v>0</v>
      </c>
      <c r="U7" s="170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77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69">
        <f t="shared" si="8"/>
        <v>1</v>
      </c>
      <c r="AD7" s="170">
        <f>AB7*PRODUCT(AC5:AC6)*PRODUCT(AC8:AC19)</f>
        <v>0</v>
      </c>
      <c r="AE7" s="170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84">
        <f>IF(COUNTIF(F14:F18,"IMP")+COUNTIF(J14:J18,"IMP")=0,0,COUNTIF(J14:J18,"IMP")/(COUNTIF(F14:F18,"IMP")+COUNTIF(J14:J18,"IMP")))</f>
        <v>0</v>
      </c>
      <c r="AH7">
        <f>COUNTIF(J14:J18,"IMP")</f>
        <v>0</v>
      </c>
      <c r="AI7" s="187">
        <f t="shared" si="9"/>
        <v>0</v>
      </c>
      <c r="AK7" s="184">
        <f>IF(COUNTIF(F14:F18,"IMP")+COUNTIF(J14:J18,"IMP")=0,0,COUNTIF(F14:F18,"IMP")/(COUNTIF(F14:F18,"IMP")+COUNTIF(J14:J18,"IMP")))</f>
        <v>0</v>
      </c>
      <c r="AL7">
        <f>COUNTIF(F14:F18,"IMP")</f>
        <v>0</v>
      </c>
      <c r="AM7" s="188">
        <v>0.05</v>
      </c>
      <c r="AN7" s="189">
        <f t="shared" si="10"/>
        <v>0</v>
      </c>
      <c r="AO7">
        <v>1</v>
      </c>
      <c r="BH7">
        <v>0</v>
      </c>
      <c r="BI7">
        <v>4</v>
      </c>
      <c r="BJ7" s="107">
        <f t="shared" si="0"/>
        <v>1.0246325682093903E-2</v>
      </c>
      <c r="BL7">
        <f>BH23+1</f>
        <v>3</v>
      </c>
      <c r="BM7">
        <v>3</v>
      </c>
      <c r="BN7" s="107">
        <f>$H$28*H42</f>
        <v>6.2161050767942316E-2</v>
      </c>
      <c r="BP7">
        <f>BP5+1</f>
        <v>3</v>
      </c>
      <c r="BQ7">
        <v>0</v>
      </c>
      <c r="BR7" s="107">
        <f>$H$28*H39</f>
        <v>4.1528191089562592E-3</v>
      </c>
    </row>
    <row r="8" spans="1:70" x14ac:dyDescent="0.25">
      <c r="A8" s="5" t="s">
        <v>44</v>
      </c>
      <c r="B8" s="161">
        <v>10.5</v>
      </c>
      <c r="C8" s="162">
        <v>14.25</v>
      </c>
      <c r="E8" s="182" t="s">
        <v>41</v>
      </c>
      <c r="F8" s="160" t="s">
        <v>32</v>
      </c>
      <c r="G8" s="160"/>
      <c r="H8" s="10"/>
      <c r="I8" s="10"/>
      <c r="J8" s="159" t="s">
        <v>32</v>
      </c>
      <c r="K8" s="159"/>
      <c r="L8" s="10"/>
      <c r="M8" s="10"/>
      <c r="O8" s="67">
        <f t="shared" si="1"/>
        <v>4.8027002056448012E-2</v>
      </c>
      <c r="P8" s="190">
        <f>P2</f>
        <v>0.45</v>
      </c>
      <c r="Q8" s="194">
        <f t="shared" si="2"/>
        <v>2.1612150925401606E-2</v>
      </c>
      <c r="R8" s="155">
        <f t="shared" si="3"/>
        <v>2.1612150925401603E-2</v>
      </c>
      <c r="S8" s="169">
        <f t="shared" si="4"/>
        <v>0.97838784907459841</v>
      </c>
      <c r="T8" s="170">
        <f>R8*PRODUCT(S5:S7)*PRODUCT(S9:S19)</f>
        <v>1.0262922280123463E-2</v>
      </c>
      <c r="U8" s="170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7.9586693062004554E-3</v>
      </c>
      <c r="W8" s="176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155">
        <f t="shared" si="7"/>
        <v>0</v>
      </c>
      <c r="AC8" s="169">
        <f t="shared" si="8"/>
        <v>1</v>
      </c>
      <c r="AD8" s="170">
        <f>AB8*PRODUCT(AC5:AC7)*PRODUCT(AC9:AC19)</f>
        <v>0</v>
      </c>
      <c r="AE8" s="170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84">
        <f>IF(COUNTIF(F6:F18,"IMP")+COUNTIF(J6:J18,"IMP")=0,0,COUNTIF(F6:F18,"IMP")/(COUNTIF(F6:F18,"IMP")+COUNTIF(J6:J18,"IMP")))</f>
        <v>1</v>
      </c>
      <c r="AH8">
        <f>COUNTIF(F6:F18,"IMP")</f>
        <v>1</v>
      </c>
      <c r="AI8" s="187">
        <f t="shared" si="9"/>
        <v>0.62435102673382414</v>
      </c>
      <c r="AK8" s="184">
        <f>IF(COUNTIF(F6:F18,"IMP")+COUNTIF(J6:J18,"IMP")=0,0,COUNTIF(J6:J18,"IMP")/(COUNTIF(F6:F18,"IMP")+COUNTIF(J6:J18,"IMP")))</f>
        <v>0</v>
      </c>
      <c r="AL8">
        <f>COUNTIF(J6:J18,"IMP")</f>
        <v>0</v>
      </c>
      <c r="AM8" s="188">
        <v>0.45</v>
      </c>
      <c r="AN8" s="189">
        <f t="shared" si="10"/>
        <v>0.45</v>
      </c>
      <c r="AO8">
        <f>1/13</f>
        <v>7.6923076923076927E-2</v>
      </c>
      <c r="BH8">
        <v>0</v>
      </c>
      <c r="BI8">
        <v>5</v>
      </c>
      <c r="BJ8" s="107">
        <f t="shared" si="0"/>
        <v>6.6046113867802986E-3</v>
      </c>
      <c r="BL8">
        <f>BH31+1</f>
        <v>4</v>
      </c>
      <c r="BM8">
        <v>4</v>
      </c>
      <c r="BN8" s="107">
        <f>$H$29*H43</f>
        <v>3.8216476829045706E-2</v>
      </c>
      <c r="BP8">
        <f>BP6+1</f>
        <v>3</v>
      </c>
      <c r="BQ8">
        <v>1</v>
      </c>
      <c r="BR8" s="107">
        <f>$H$28*H40</f>
        <v>2.0438475188463773E-2</v>
      </c>
    </row>
    <row r="9" spans="1:70" x14ac:dyDescent="0.25">
      <c r="A9" s="5" t="s">
        <v>47</v>
      </c>
      <c r="B9" s="161">
        <v>11.25</v>
      </c>
      <c r="C9" s="162">
        <v>16.5</v>
      </c>
      <c r="E9" s="182" t="s">
        <v>41</v>
      </c>
      <c r="F9" s="160"/>
      <c r="G9" s="160"/>
      <c r="H9" s="10"/>
      <c r="I9" s="10"/>
      <c r="J9" s="159"/>
      <c r="K9" s="159"/>
      <c r="L9" s="10"/>
      <c r="M9" s="10"/>
      <c r="O9" s="67">
        <f t="shared" si="1"/>
        <v>0</v>
      </c>
      <c r="P9" s="190">
        <f>P2</f>
        <v>0.45</v>
      </c>
      <c r="Q9" s="194">
        <f t="shared" si="2"/>
        <v>0</v>
      </c>
      <c r="R9" s="155">
        <f t="shared" si="3"/>
        <v>0</v>
      </c>
      <c r="S9" s="169">
        <f t="shared" si="4"/>
        <v>1</v>
      </c>
      <c r="T9" s="170">
        <f>R9*PRODUCT(S5:S8)*PRODUCT(S10:S19)</f>
        <v>0</v>
      </c>
      <c r="U9" s="170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77" t="s">
        <v>48</v>
      </c>
      <c r="X9" s="15" t="s">
        <v>49</v>
      </c>
      <c r="Y9" s="69">
        <f t="shared" si="5"/>
        <v>5.549786904300659E-2</v>
      </c>
      <c r="Z9" s="69">
        <f>Z2</f>
        <v>0.45</v>
      </c>
      <c r="AA9" s="69">
        <f t="shared" si="6"/>
        <v>2.4974041069352967E-2</v>
      </c>
      <c r="AB9" s="155">
        <f t="shared" si="7"/>
        <v>2.4974041069352967E-2</v>
      </c>
      <c r="AC9" s="169">
        <f t="shared" si="8"/>
        <v>0.97502595893064703</v>
      </c>
      <c r="AD9" s="170">
        <f>AB9*PRODUCT(AC5:AC8)*PRODUCT(AC10:AC19)</f>
        <v>1.8209530305581055E-2</v>
      </c>
      <c r="AE9" s="170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6.1331957157078135E-3</v>
      </c>
      <c r="AG9" s="184">
        <f>IF(COUNTIF(J6:J13,"IMP")+COUNTIF(F6:F13,"IMP")=0,0,COUNTIF(J6:J13,"IMP")/(COUNTIF(J6:J13,"IMP")+COUNTIF(F6:F13,"IMP")))</f>
        <v>0</v>
      </c>
      <c r="AH9">
        <f>COUNTIF(J6:J13,"IMP")</f>
        <v>0</v>
      </c>
      <c r="AI9" s="187">
        <f t="shared" si="9"/>
        <v>5.549786904300659E-2</v>
      </c>
      <c r="AK9" s="184">
        <f>IF(COUNTIF(J6:J13,"IMP")+COUNTIF(F6:F13,"IMP")=0,0,COUNTIF(F6:F13,"IMP")/(COUNTIF(J6:J13,"IMP")+COUNTIF(F6:F13,"IMP")))</f>
        <v>1</v>
      </c>
      <c r="AL9">
        <f>COUNTIF(F6:F13,"IMP")</f>
        <v>1</v>
      </c>
      <c r="AM9" s="188">
        <v>0.04</v>
      </c>
      <c r="AN9" s="189">
        <f t="shared" si="10"/>
        <v>0.04</v>
      </c>
      <c r="AO9">
        <v>1</v>
      </c>
      <c r="BH9">
        <v>0</v>
      </c>
      <c r="BI9">
        <v>6</v>
      </c>
      <c r="BJ9" s="107">
        <f t="shared" si="0"/>
        <v>3.095459386006306E-3</v>
      </c>
      <c r="BL9">
        <f>BH38+1</f>
        <v>5</v>
      </c>
      <c r="BM9">
        <v>5</v>
      </c>
      <c r="BN9" s="107">
        <f>$H$30*H44</f>
        <v>1.2047287325553966E-2</v>
      </c>
      <c r="BP9">
        <f>BL6+1</f>
        <v>3</v>
      </c>
      <c r="BQ9">
        <v>2</v>
      </c>
      <c r="BR9" s="107">
        <f>$H$28*H41</f>
        <v>4.5892367360353258E-2</v>
      </c>
    </row>
    <row r="10" spans="1:70" x14ac:dyDescent="0.25">
      <c r="A10" s="6" t="s">
        <v>50</v>
      </c>
      <c r="B10" s="161">
        <v>11.5</v>
      </c>
      <c r="C10" s="162">
        <v>16.25</v>
      </c>
      <c r="E10" s="182" t="s">
        <v>36</v>
      </c>
      <c r="F10" s="160" t="s">
        <v>32</v>
      </c>
      <c r="G10" s="160"/>
      <c r="H10" s="10"/>
      <c r="I10" s="10"/>
      <c r="J10" s="159" t="s">
        <v>32</v>
      </c>
      <c r="K10" s="159"/>
      <c r="L10" s="10"/>
      <c r="M10" s="10"/>
      <c r="O10" s="67">
        <f t="shared" si="1"/>
        <v>0.43357710189848903</v>
      </c>
      <c r="P10" s="190">
        <f>P3</f>
        <v>0.56999999999999995</v>
      </c>
      <c r="Q10" s="194">
        <f t="shared" si="2"/>
        <v>0.24713894808213871</v>
      </c>
      <c r="R10" s="155">
        <f t="shared" si="3"/>
        <v>0.24713894808213874</v>
      </c>
      <c r="S10" s="169">
        <f t="shared" si="4"/>
        <v>0.75286105191786123</v>
      </c>
      <c r="T10" s="170">
        <f>R10*PRODUCT(S5:S9)*PRODUCT(S11:S19)</f>
        <v>0.15251426369489451</v>
      </c>
      <c r="U10" s="170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6.8206138909292086E-2</v>
      </c>
      <c r="W10" s="176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5">
        <f t="shared" si="7"/>
        <v>0</v>
      </c>
      <c r="AC10" s="169">
        <f t="shared" si="8"/>
        <v>1</v>
      </c>
      <c r="AD10" s="170">
        <f>AB10*PRODUCT(AC5:AC9)*PRODUCT(AC11:AC19)</f>
        <v>0</v>
      </c>
      <c r="AE10" s="170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84">
        <f>IF(COUNTIF(F11:F18,"RAP")+COUNTIF(J11:J18,"RAP")=0,0,COUNTIF(F11:F18,"RAP")/(COUNTIF(F11:F18,"RAP")+COUNTIF(J11:J18,"RAP")))</f>
        <v>1</v>
      </c>
      <c r="AH10">
        <f>COUNTIF(F11:F18,"RAP")</f>
        <v>5</v>
      </c>
      <c r="AI10" s="187">
        <f t="shared" si="9"/>
        <v>0.69372336303758242</v>
      </c>
      <c r="AK10" s="184">
        <f>IF(COUNTIF(F11:F18,"RAP")+COUNTIF(J11:J18,"RAP")=0,0,COUNTIF(J11:J18,"RAP")/(COUNTIF(F11:F18,"RAP")+COUNTIF(J11:J18,"RAP")))</f>
        <v>0</v>
      </c>
      <c r="AL10">
        <f>COUNTIF(J11:J18,"RAP")</f>
        <v>0</v>
      </c>
      <c r="AM10" s="188">
        <v>0.5</v>
      </c>
      <c r="AN10" s="18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1.0656745997078528E-3</v>
      </c>
      <c r="BL10">
        <f>BH44+1</f>
        <v>6</v>
      </c>
      <c r="BM10">
        <v>6</v>
      </c>
      <c r="BN10" s="107">
        <f>$H$31*H45</f>
        <v>2.0585222477512706E-3</v>
      </c>
      <c r="BP10">
        <f>BP7+1</f>
        <v>4</v>
      </c>
      <c r="BQ10">
        <v>0</v>
      </c>
      <c r="BR10" s="107">
        <f>$H$29*H39</f>
        <v>2.8052547917128382E-3</v>
      </c>
    </row>
    <row r="11" spans="1:70" x14ac:dyDescent="0.25">
      <c r="A11" s="6" t="s">
        <v>53</v>
      </c>
      <c r="B11" s="161">
        <v>17.5</v>
      </c>
      <c r="C11" s="162">
        <v>10.5</v>
      </c>
      <c r="E11" s="182" t="s">
        <v>54</v>
      </c>
      <c r="F11" s="160" t="s">
        <v>32</v>
      </c>
      <c r="G11" s="160"/>
      <c r="H11" s="10"/>
      <c r="I11" s="10"/>
      <c r="J11" s="159" t="s">
        <v>32</v>
      </c>
      <c r="K11" s="159"/>
      <c r="L11" s="10"/>
      <c r="M11" s="10"/>
      <c r="O11" s="67">
        <f t="shared" si="1"/>
        <v>0.43357710189848903</v>
      </c>
      <c r="P11" s="190">
        <f>P3</f>
        <v>0.56999999999999995</v>
      </c>
      <c r="Q11" s="194">
        <f t="shared" si="2"/>
        <v>0.24713894808213871</v>
      </c>
      <c r="R11" s="155">
        <f t="shared" si="3"/>
        <v>0.24713894808213874</v>
      </c>
      <c r="S11" s="169">
        <f t="shared" si="4"/>
        <v>0.75286105191786123</v>
      </c>
      <c r="T11" s="170">
        <f>R11*PRODUCT(S5:S10)*PRODUCT(S12:S19)</f>
        <v>0.15251426369489449</v>
      </c>
      <c r="U11" s="170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1.8140838544689807E-2</v>
      </c>
      <c r="W11" s="176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5">
        <f t="shared" si="7"/>
        <v>0</v>
      </c>
      <c r="AC11" s="169">
        <f t="shared" si="8"/>
        <v>1</v>
      </c>
      <c r="AD11" s="170">
        <f>AB11*PRODUCT(AC5:AC10)*PRODUCT(AC12:AC19)</f>
        <v>0</v>
      </c>
      <c r="AE11" s="170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84">
        <f>IF(COUNTIF(F11:F18,"RAP")+COUNTIF(J11:J18,"RAP")=0,0,COUNTIF(F11:F18,"RAP")/(COUNTIF(F11:F18,"RAP")+COUNTIF(J11:J18,"RAP")))</f>
        <v>1</v>
      </c>
      <c r="AH11">
        <f>COUNTIF(F11:F18,"RAP")</f>
        <v>5</v>
      </c>
      <c r="AI11" s="187">
        <f t="shared" si="9"/>
        <v>0.69372336303758242</v>
      </c>
      <c r="AK11" s="184">
        <f>IF(COUNTIF(F11:F18,"RAP")+COUNTIF(J11:J18,"RAP")=0,0,COUNTIF(J11:J18,"RAP")/(COUNTIF(F11:F18,"RAP")+COUNTIF(J11:J18,"RAP")))</f>
        <v>0</v>
      </c>
      <c r="AL11">
        <f>COUNTIF(J11:J18,"RAP")</f>
        <v>0</v>
      </c>
      <c r="AM11" s="188">
        <v>0.5</v>
      </c>
      <c r="AN11" s="18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2.6891739278451924E-4</v>
      </c>
      <c r="BL11">
        <f>BH50+1</f>
        <v>7</v>
      </c>
      <c r="BM11">
        <v>7</v>
      </c>
      <c r="BN11" s="107">
        <f>$H$32*H46</f>
        <v>1.9513359983311461E-4</v>
      </c>
      <c r="BP11">
        <f>BP8+1</f>
        <v>4</v>
      </c>
      <c r="BQ11">
        <v>1</v>
      </c>
      <c r="BR11" s="107">
        <f>$H$29*H40</f>
        <v>1.3806315409715057E-2</v>
      </c>
    </row>
    <row r="12" spans="1:70" x14ac:dyDescent="0.25">
      <c r="A12" s="6" t="s">
        <v>57</v>
      </c>
      <c r="B12" s="161">
        <v>12</v>
      </c>
      <c r="C12" s="162">
        <v>17.5</v>
      </c>
      <c r="E12" s="182" t="s">
        <v>54</v>
      </c>
      <c r="F12" s="160" t="s">
        <v>1</v>
      </c>
      <c r="G12" s="160"/>
      <c r="H12" s="10"/>
      <c r="I12" s="10"/>
      <c r="J12" s="159" t="s">
        <v>144</v>
      </c>
      <c r="K12" s="159"/>
      <c r="L12" s="10"/>
      <c r="M12" s="10"/>
      <c r="O12" s="67">
        <f t="shared" si="1"/>
        <v>3.4686168151879117E-4</v>
      </c>
      <c r="P12" s="190">
        <f>P2</f>
        <v>0.45</v>
      </c>
      <c r="Q12" s="194">
        <f t="shared" si="2"/>
        <v>1.5608775668345603E-4</v>
      </c>
      <c r="R12" s="155">
        <f t="shared" si="3"/>
        <v>1.5608775668345603E-4</v>
      </c>
      <c r="S12" s="169">
        <f t="shared" si="4"/>
        <v>0.99984391224331659</v>
      </c>
      <c r="T12" s="170">
        <f>R12*PRODUCT(S5:S11)*PRODUCT(S13:S19)</f>
        <v>7.2530509965317694E-5</v>
      </c>
      <c r="U12" s="170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8.6158326210324467E-6</v>
      </c>
      <c r="W12" s="177" t="s">
        <v>58</v>
      </c>
      <c r="X12" s="15" t="s">
        <v>59</v>
      </c>
      <c r="Y12" s="69">
        <f t="shared" si="5"/>
        <v>3.4686168151879112E-4</v>
      </c>
      <c r="Z12" s="69">
        <f>Z2</f>
        <v>0.45</v>
      </c>
      <c r="AA12" s="69">
        <f t="shared" si="6"/>
        <v>1.56087756683456E-4</v>
      </c>
      <c r="AB12" s="155">
        <f t="shared" si="7"/>
        <v>1.56087756683456E-4</v>
      </c>
      <c r="AC12" s="169">
        <f t="shared" si="8"/>
        <v>0.99984391224331659</v>
      </c>
      <c r="AD12" s="170">
        <f>AB12*PRODUCT(AC5:AC11)*PRODUCT(AC13:AC19)</f>
        <v>1.1098460301193453E-4</v>
      </c>
      <c r="AE12" s="170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3.7363665135570348E-5</v>
      </c>
      <c r="AG12" s="184">
        <f>IF(COUNTA(F6:F10)+COUNTA(J6:J10)=0,0,COUNTA(F6:F10)/(COUNTA(F6:F10)+COUNTA(J6:J10)))</f>
        <v>0.5</v>
      </c>
      <c r="AH12">
        <f>COUNTA(J6:J10)</f>
        <v>3</v>
      </c>
      <c r="AI12" s="187">
        <f t="shared" si="9"/>
        <v>1.3874467260751647E-3</v>
      </c>
      <c r="AK12" s="184">
        <f>IF(COUNTA(J6:J10)+COUNTA(F6:F10)=0,0,COUNTA(J6:J10)/(COUNTA(J6:J10)+COUNTA(F6:F10)))</f>
        <v>0.5</v>
      </c>
      <c r="AL12">
        <f>COUNTA(F6:F10)</f>
        <v>3</v>
      </c>
      <c r="AM12" s="188">
        <v>1E-3</v>
      </c>
      <c r="AN12" s="189">
        <f t="shared" si="10"/>
        <v>1E-3</v>
      </c>
      <c r="AO12">
        <f>1/6</f>
        <v>0.16666666666666666</v>
      </c>
      <c r="BH12">
        <v>0</v>
      </c>
      <c r="BI12">
        <v>9</v>
      </c>
      <c r="BJ12" s="107">
        <f t="shared" si="0"/>
        <v>4.9053640163572095E-5</v>
      </c>
      <c r="BL12">
        <f>BH54+1</f>
        <v>8</v>
      </c>
      <c r="BM12">
        <v>8</v>
      </c>
      <c r="BN12" s="107">
        <f>$H$33*H47</f>
        <v>1.0243809231600734E-5</v>
      </c>
      <c r="BP12">
        <f>BP9+1</f>
        <v>4</v>
      </c>
      <c r="BQ12">
        <v>2</v>
      </c>
      <c r="BR12" s="107">
        <f>$H$29*H41</f>
        <v>3.1000575768645362E-2</v>
      </c>
    </row>
    <row r="13" spans="1:70" x14ac:dyDescent="0.25">
      <c r="A13" s="7" t="s">
        <v>60</v>
      </c>
      <c r="B13" s="161">
        <v>6.5</v>
      </c>
      <c r="C13" s="162">
        <v>12.5</v>
      </c>
      <c r="E13" s="182" t="s">
        <v>54</v>
      </c>
      <c r="F13" s="160" t="s">
        <v>32</v>
      </c>
      <c r="G13" s="160"/>
      <c r="H13" s="10"/>
      <c r="I13" s="10"/>
      <c r="J13" s="159" t="s">
        <v>32</v>
      </c>
      <c r="K13" s="159"/>
      <c r="L13" s="10"/>
      <c r="M13" s="10"/>
      <c r="O13" s="67">
        <f t="shared" si="1"/>
        <v>0.10405850445563736</v>
      </c>
      <c r="P13" s="190">
        <f>P3</f>
        <v>0.56999999999999995</v>
      </c>
      <c r="Q13" s="194">
        <f t="shared" si="2"/>
        <v>5.931334753971329E-2</v>
      </c>
      <c r="R13" s="155">
        <f t="shared" si="3"/>
        <v>5.931334753971329E-2</v>
      </c>
      <c r="S13" s="169">
        <f t="shared" si="4"/>
        <v>0.94068665246028671</v>
      </c>
      <c r="T13" s="170">
        <f>R13*PRODUCT(S5:S12)*PRODUCT(S14:S19)</f>
        <v>2.9294868474429969E-2</v>
      </c>
      <c r="U13" s="170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1.6327739350256399E-3</v>
      </c>
      <c r="W13" s="176" t="s">
        <v>61</v>
      </c>
      <c r="X13" s="15" t="s">
        <v>62</v>
      </c>
      <c r="Y13" s="69">
        <f t="shared" si="5"/>
        <v>0.10405850445563736</v>
      </c>
      <c r="Z13" s="69">
        <f>Z3</f>
        <v>0.56999999999999995</v>
      </c>
      <c r="AA13" s="69">
        <f t="shared" si="6"/>
        <v>5.931334753971329E-2</v>
      </c>
      <c r="AB13" s="155">
        <f t="shared" si="7"/>
        <v>5.931334753971329E-2</v>
      </c>
      <c r="AC13" s="169">
        <f t="shared" si="8"/>
        <v>0.94068665246028671</v>
      </c>
      <c r="AD13" s="170">
        <f>AB13*PRODUCT(AC5:AC12)*PRODUCT(AC14:AC19)</f>
        <v>4.4826368234224867E-2</v>
      </c>
      <c r="AE13" s="170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1.226463094726277E-2</v>
      </c>
      <c r="AG13" s="184">
        <f>B22</f>
        <v>0.5</v>
      </c>
      <c r="AH13">
        <v>1</v>
      </c>
      <c r="AI13" s="187">
        <f t="shared" si="9"/>
        <v>0.20811700891127471</v>
      </c>
      <c r="AK13" s="184">
        <f>C22</f>
        <v>0.5</v>
      </c>
      <c r="AL13">
        <v>1</v>
      </c>
      <c r="AM13" s="188">
        <v>0.15</v>
      </c>
      <c r="AN13" s="189">
        <f t="shared" si="10"/>
        <v>0.15</v>
      </c>
      <c r="AO13">
        <v>1</v>
      </c>
      <c r="BH13">
        <v>0</v>
      </c>
      <c r="BI13">
        <v>10</v>
      </c>
      <c r="BJ13" s="107">
        <f t="shared" si="0"/>
        <v>6.2887673721808462E-6</v>
      </c>
      <c r="BL13">
        <f>BH57+1</f>
        <v>9</v>
      </c>
      <c r="BM13">
        <v>9</v>
      </c>
      <c r="BN13" s="107">
        <f>$H$34*H48</f>
        <v>2.9014092181641179E-7</v>
      </c>
      <c r="BP13">
        <f>BL7+1</f>
        <v>4</v>
      </c>
      <c r="BQ13">
        <v>3</v>
      </c>
      <c r="BR13" s="107">
        <f>$H$29*H42</f>
        <v>4.1990171242614525E-2</v>
      </c>
    </row>
    <row r="14" spans="1:70" x14ac:dyDescent="0.25">
      <c r="A14" s="7" t="s">
        <v>63</v>
      </c>
      <c r="B14" s="161">
        <v>5.5</v>
      </c>
      <c r="C14" s="162">
        <v>10.75</v>
      </c>
      <c r="E14" s="182" t="s">
        <v>64</v>
      </c>
      <c r="F14" s="160" t="s">
        <v>1</v>
      </c>
      <c r="G14" s="160"/>
      <c r="H14" s="10"/>
      <c r="I14" s="10"/>
      <c r="J14" s="159" t="s">
        <v>32</v>
      </c>
      <c r="K14" s="159"/>
      <c r="L14" s="10"/>
      <c r="M14" s="10"/>
      <c r="O14" s="67">
        <f t="shared" si="1"/>
        <v>0</v>
      </c>
      <c r="P14" s="190">
        <f>IF(COUNTIF(F6:F18,"CAB")-COUNTIF(J6:J18,"CAB")&gt;2,0.8,IF(COUNTIF(F6:F18,"CAB")-COUNTIF(J6:J18,"CAB")&gt;0,0.6,IF(COUNTIF(F6:F18,"CAB")-COUNTIF(J6:J18,"CAB")=0,0.5,0.15)))</f>
        <v>0.15</v>
      </c>
      <c r="Q14" s="194">
        <f t="shared" si="2"/>
        <v>0</v>
      </c>
      <c r="R14" s="155">
        <f t="shared" si="3"/>
        <v>0</v>
      </c>
      <c r="S14" s="169">
        <f t="shared" si="4"/>
        <v>1</v>
      </c>
      <c r="T14" s="170">
        <f>R14*PRODUCT(S5:S13)*PRODUCT(S15:S19)</f>
        <v>0</v>
      </c>
      <c r="U14" s="170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76" t="s">
        <v>65</v>
      </c>
      <c r="X14" s="15" t="s">
        <v>66</v>
      </c>
      <c r="Y14" s="69">
        <f t="shared" si="5"/>
        <v>0.27748934521503299</v>
      </c>
      <c r="Z14" s="19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0.16649360712901978</v>
      </c>
      <c r="AB14" s="155">
        <f t="shared" si="7"/>
        <v>0.16649360712901978</v>
      </c>
      <c r="AC14" s="169">
        <f t="shared" si="8"/>
        <v>0.83350639287098027</v>
      </c>
      <c r="AD14" s="170">
        <f>AB14*PRODUCT(AC5:AC13)*PRODUCT(AC15:AC19)</f>
        <v>0.14200862684624208</v>
      </c>
      <c r="AE14" s="170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1.0487649691845752E-2</v>
      </c>
      <c r="AG14" s="184">
        <f>IF(AL14=0,1,B22)</f>
        <v>0.5</v>
      </c>
      <c r="AH14">
        <f>IF(COUNTIF(F6:F18,"CAB")&gt;0,1,0)</f>
        <v>0</v>
      </c>
      <c r="AI14" s="187">
        <f t="shared" si="9"/>
        <v>0.27748934521503299</v>
      </c>
      <c r="AK14" s="184">
        <f>IF(AH14=0,1,C22)</f>
        <v>1</v>
      </c>
      <c r="AL14">
        <f>IF(COUNTIF(J6:J18,"CAB")&gt;0,1,0)</f>
        <v>1</v>
      </c>
      <c r="AM14" s="188">
        <v>0.2</v>
      </c>
      <c r="AN14" s="189">
        <f t="shared" si="10"/>
        <v>0.2</v>
      </c>
      <c r="AO14">
        <v>1</v>
      </c>
      <c r="BH14">
        <v>1</v>
      </c>
      <c r="BI14">
        <v>2</v>
      </c>
      <c r="BJ14" s="107">
        <f t="shared" ref="BJ14:BJ22" si="11">$H$26*H41</f>
        <v>2.8920700252146329E-2</v>
      </c>
      <c r="BL14">
        <f>BP39+1</f>
        <v>10</v>
      </c>
      <c r="BM14">
        <v>10</v>
      </c>
      <c r="BN14" s="107">
        <f>$H$35*H49</f>
        <v>4.1907859347136027E-9</v>
      </c>
      <c r="BP14">
        <f>BP10+1</f>
        <v>5</v>
      </c>
      <c r="BQ14">
        <v>0</v>
      </c>
      <c r="BR14" s="107">
        <f>$H$30*H39</f>
        <v>1.3719295836293556E-3</v>
      </c>
    </row>
    <row r="15" spans="1:70" x14ac:dyDescent="0.25">
      <c r="A15" s="179" t="s">
        <v>67</v>
      </c>
      <c r="B15" s="163">
        <v>3</v>
      </c>
      <c r="C15" s="164">
        <v>8.25</v>
      </c>
      <c r="E15" s="182" t="s">
        <v>64</v>
      </c>
      <c r="F15" s="160" t="s">
        <v>1</v>
      </c>
      <c r="G15" s="160"/>
      <c r="H15" s="10"/>
      <c r="I15" s="10"/>
      <c r="J15" s="159" t="s">
        <v>32</v>
      </c>
      <c r="K15" s="159"/>
      <c r="L15" s="10"/>
      <c r="M15" s="10"/>
      <c r="O15" s="67">
        <f t="shared" si="1"/>
        <v>6.9372336303758237E-3</v>
      </c>
      <c r="P15" s="190">
        <f>R3</f>
        <v>0.7</v>
      </c>
      <c r="Q15" s="194">
        <f t="shared" si="2"/>
        <v>4.8560635412630759E-3</v>
      </c>
      <c r="R15" s="155">
        <f t="shared" si="3"/>
        <v>4.8560635412630759E-3</v>
      </c>
      <c r="S15" s="169">
        <f t="shared" si="4"/>
        <v>0.99514393645873689</v>
      </c>
      <c r="T15" s="170">
        <f>R15*PRODUCT(S5:S14)*PRODUCT(S16:S19)</f>
        <v>2.2671620245610859E-3</v>
      </c>
      <c r="U15" s="170">
        <f>R15*R16*PRODUCT(S5:S14)*PRODUCT(S17:S19)+R15*R17*PRODUCT(S5:S14)*S16*PRODUCT(S18:S19)+R15*R18*PRODUCT(S5:S14)*S16*S17*S19+R15*R19*PRODUCT(S5:S14)*S16*S17*S18</f>
        <v>1.1529896044076568E-4</v>
      </c>
      <c r="W15" s="176" t="s">
        <v>68</v>
      </c>
      <c r="X15" s="15" t="s">
        <v>69</v>
      </c>
      <c r="Y15" s="69">
        <f t="shared" si="5"/>
        <v>6.9372336303758237E-3</v>
      </c>
      <c r="Z15" s="69">
        <f>AB3</f>
        <v>0.7</v>
      </c>
      <c r="AA15" s="69">
        <f t="shared" si="6"/>
        <v>4.8560635412630759E-3</v>
      </c>
      <c r="AB15" s="155">
        <f t="shared" si="7"/>
        <v>4.8560635412630759E-3</v>
      </c>
      <c r="AC15" s="169">
        <f t="shared" si="8"/>
        <v>0.99514393645873689</v>
      </c>
      <c r="AD15" s="170">
        <f>AB15*PRODUCT(AC5:AC14)*PRODUCT(AC16:AC19)</f>
        <v>3.4691618379625966E-3</v>
      </c>
      <c r="AE15" s="170">
        <f>AB15*AB16*PRODUCT(AC5:AC14)*PRODUCT(AC17:AC19)+AB15*AB17*PRODUCT(AC5:AC14)*AC16*PRODUCT(AC18:AC19)+AB15*AB18*PRODUCT(AC5:AC14)*AC16*AC17*AC19+AB15*AB19*PRODUCT(AC5:AC14)*AC16*AC17*AC18</f>
        <v>2.3927656124197793E-4</v>
      </c>
      <c r="AG15" s="184">
        <f>IF(AL15=0,1,B22)</f>
        <v>0.5</v>
      </c>
      <c r="AH15">
        <v>1</v>
      </c>
      <c r="AI15" s="187">
        <f t="shared" si="9"/>
        <v>1.3874467260751647E-2</v>
      </c>
      <c r="AK15" s="184">
        <f>IF(AH15=0,1,C22)</f>
        <v>0.5</v>
      </c>
      <c r="AL15">
        <v>1</v>
      </c>
      <c r="AM15" s="188">
        <v>0.01</v>
      </c>
      <c r="AN15" s="189">
        <f t="shared" si="10"/>
        <v>0.01</v>
      </c>
      <c r="AO15">
        <v>1</v>
      </c>
      <c r="BH15">
        <v>1</v>
      </c>
      <c r="BI15">
        <v>3</v>
      </c>
      <c r="BJ15" s="107">
        <f t="shared" si="11"/>
        <v>3.9172987144071185E-2</v>
      </c>
      <c r="BP15">
        <f>BP11+1</f>
        <v>5</v>
      </c>
      <c r="BQ15">
        <v>1</v>
      </c>
      <c r="BR15" s="107">
        <f>$H$30*H40</f>
        <v>6.7520756429902476E-3</v>
      </c>
    </row>
    <row r="16" spans="1:70" x14ac:dyDescent="0.25">
      <c r="A16" s="179" t="s">
        <v>70</v>
      </c>
      <c r="B16" s="52">
        <f>AVERAGE(G5:G18)</f>
        <v>12</v>
      </c>
      <c r="C16" s="54">
        <f>AVERAGE(K5:K18)</f>
        <v>12</v>
      </c>
      <c r="E16" s="182" t="s">
        <v>71</v>
      </c>
      <c r="F16" s="160" t="s">
        <v>1</v>
      </c>
      <c r="G16" s="160"/>
      <c r="H16" s="10"/>
      <c r="I16" s="10"/>
      <c r="J16" s="159" t="s">
        <v>32</v>
      </c>
      <c r="K16" s="159"/>
      <c r="L16" s="10"/>
      <c r="M16" s="10"/>
      <c r="O16" s="67">
        <f t="shared" si="1"/>
        <v>6.9372336303758237E-3</v>
      </c>
      <c r="P16" s="190">
        <v>0.15</v>
      </c>
      <c r="Q16" s="194">
        <f t="shared" si="2"/>
        <v>1.0405850445563735E-3</v>
      </c>
      <c r="R16" s="155">
        <f t="shared" si="3"/>
        <v>1.0405850445563735E-3</v>
      </c>
      <c r="S16" s="169">
        <f t="shared" si="4"/>
        <v>0.9989594149554436</v>
      </c>
      <c r="T16" s="170">
        <f>R16*PRODUCT(S5:S15)*PRODUCT(S17:S19)</f>
        <v>4.8396486553934493E-4</v>
      </c>
      <c r="U16" s="170">
        <f>R16*R17*PRODUCT(S5:S15)*PRODUCT(S18:S19)+R16*R18*PRODUCT(S5:S15)*S17*S19+R16*R19*PRODUCT(S5:S15)*S17*S18</f>
        <v>2.410842198275436E-5</v>
      </c>
      <c r="W16" s="177" t="s">
        <v>72</v>
      </c>
      <c r="X16" s="15" t="s">
        <v>73</v>
      </c>
      <c r="Y16" s="69">
        <f t="shared" si="5"/>
        <v>6.9372336303758237E-3</v>
      </c>
      <c r="Z16" s="69">
        <v>0.15</v>
      </c>
      <c r="AA16" s="69">
        <f t="shared" si="6"/>
        <v>1.0405850445563735E-3</v>
      </c>
      <c r="AB16" s="155">
        <f t="shared" si="7"/>
        <v>1.0405850445563735E-3</v>
      </c>
      <c r="AC16" s="169">
        <f t="shared" si="8"/>
        <v>0.9989594149554436</v>
      </c>
      <c r="AD16" s="170">
        <f>AB16*PRODUCT(AC5:AC15)*PRODUCT(AC17:AC19)</f>
        <v>7.405524723222345E-4</v>
      </c>
      <c r="AE16" s="170">
        <f>AB16*AB17*PRODUCT(AC5:AC15)*PRODUCT(AC18:AC19)+AB16*AB18*PRODUCT(AC5:AC15)*AC17*AC19+AB16*AB19*PRODUCT(AC5:AC15)*AC17*AC18</f>
        <v>5.0306301383884669E-5</v>
      </c>
      <c r="AG16" s="184">
        <f>C22</f>
        <v>0.5</v>
      </c>
      <c r="AH16">
        <v>1</v>
      </c>
      <c r="AI16" s="187">
        <f t="shared" si="9"/>
        <v>1.3874467260751647E-2</v>
      </c>
      <c r="AK16" s="184">
        <f>B22</f>
        <v>0.5</v>
      </c>
      <c r="AL16">
        <v>1</v>
      </c>
      <c r="AM16" s="188">
        <v>0.01</v>
      </c>
      <c r="AN16" s="189">
        <f t="shared" si="10"/>
        <v>0.01</v>
      </c>
      <c r="AO16">
        <v>1</v>
      </c>
      <c r="BH16">
        <v>1</v>
      </c>
      <c r="BI16">
        <v>4</v>
      </c>
      <c r="BJ16" s="107">
        <f t="shared" si="11"/>
        <v>3.5652475596398343E-2</v>
      </c>
      <c r="BP16">
        <f>BP12+1</f>
        <v>5</v>
      </c>
      <c r="BQ16">
        <v>2</v>
      </c>
      <c r="BR16" s="107">
        <f>$H$30*H41</f>
        <v>1.5161049588860874E-2</v>
      </c>
    </row>
    <row r="17" spans="1:70" x14ac:dyDescent="0.25">
      <c r="A17" s="178" t="s">
        <v>74</v>
      </c>
      <c r="B17" s="165" t="s">
        <v>75</v>
      </c>
      <c r="C17" s="166" t="s">
        <v>75</v>
      </c>
      <c r="E17" s="182" t="s">
        <v>71</v>
      </c>
      <c r="F17" s="160" t="s">
        <v>32</v>
      </c>
      <c r="G17" s="160"/>
      <c r="H17" s="10"/>
      <c r="I17" s="10"/>
      <c r="J17" s="159"/>
      <c r="K17" s="159"/>
      <c r="L17" s="10"/>
      <c r="M17" s="10"/>
      <c r="O17" s="67">
        <f t="shared" si="1"/>
        <v>8.3246803564509878E-2</v>
      </c>
      <c r="P17" s="190">
        <f>P3</f>
        <v>0.56999999999999995</v>
      </c>
      <c r="Q17" s="194">
        <f t="shared" si="2"/>
        <v>4.7450678031770624E-2</v>
      </c>
      <c r="R17" s="155">
        <f t="shared" si="3"/>
        <v>4.7450678031770631E-2</v>
      </c>
      <c r="S17" s="169">
        <f t="shared" si="4"/>
        <v>0.95254932196822939</v>
      </c>
      <c r="T17" s="170">
        <f>R17*PRODUCT(S5:S16)*PRODUCT(S18:S19)</f>
        <v>2.3144033489024975E-2</v>
      </c>
      <c r="U17" s="170">
        <f>R17*R18*PRODUCT(S5:S16)*S19+R17*R19*PRODUCT(S5:S16)*S18</f>
        <v>0</v>
      </c>
      <c r="W17" s="176" t="s">
        <v>76</v>
      </c>
      <c r="X17" s="15" t="s">
        <v>77</v>
      </c>
      <c r="Y17" s="69">
        <f t="shared" si="5"/>
        <v>8.3246803564509878E-2</v>
      </c>
      <c r="Z17" s="69">
        <f>Z3</f>
        <v>0.56999999999999995</v>
      </c>
      <c r="AA17" s="69">
        <f t="shared" si="6"/>
        <v>4.7450678031770624E-2</v>
      </c>
      <c r="AB17" s="155">
        <f t="shared" si="7"/>
        <v>4.7450678031770631E-2</v>
      </c>
      <c r="AC17" s="169">
        <f t="shared" si="8"/>
        <v>0.95254932196822939</v>
      </c>
      <c r="AD17" s="170">
        <f>AB17*PRODUCT(AC5:AC16)*PRODUCT(AC18:AC19)</f>
        <v>3.5414494811943441E-2</v>
      </c>
      <c r="AE17" s="170">
        <f>AB17*AB18*PRODUCT(AC5:AC16)*AC19+AB17*AB19*PRODUCT(AC5:AC16)*AC18</f>
        <v>6.4158198417808442E-4</v>
      </c>
      <c r="AG17" s="184">
        <f>COUNTA(F14:F15)/(COUNTA(F14:F15)+COUNTA(J14:J15))</f>
        <v>0.5</v>
      </c>
      <c r="AH17">
        <f>COUNTA(F14:F15)</f>
        <v>2</v>
      </c>
      <c r="AI17" s="187">
        <f t="shared" si="9"/>
        <v>0.16649360712901976</v>
      </c>
      <c r="AK17" s="184">
        <f>COUNTA(J14:J15)/(COUNTA(F14:F15)+COUNTA(J14:J15))</f>
        <v>0.5</v>
      </c>
      <c r="AL17">
        <f>COUNTA(J14:J15)</f>
        <v>2</v>
      </c>
      <c r="AM17" s="188">
        <v>0.12</v>
      </c>
      <c r="AN17" s="189">
        <f t="shared" si="10"/>
        <v>0.12</v>
      </c>
      <c r="AO17">
        <f>1/2</f>
        <v>0.5</v>
      </c>
      <c r="BH17">
        <v>1</v>
      </c>
      <c r="BI17">
        <v>5</v>
      </c>
      <c r="BJ17" s="107">
        <f t="shared" si="11"/>
        <v>2.2980993733429645E-2</v>
      </c>
      <c r="BP17">
        <f>BP13+1</f>
        <v>5</v>
      </c>
      <c r="BQ17">
        <v>3</v>
      </c>
      <c r="BR17" s="107">
        <f>$H$30*H42</f>
        <v>2.0535588538904644E-2</v>
      </c>
    </row>
    <row r="18" spans="1:70" x14ac:dyDescent="0.25">
      <c r="A18" s="178" t="s">
        <v>78</v>
      </c>
      <c r="B18" s="165">
        <v>20</v>
      </c>
      <c r="C18" s="166">
        <v>20</v>
      </c>
      <c r="E18" s="182" t="s">
        <v>71</v>
      </c>
      <c r="F18" s="160" t="s">
        <v>1</v>
      </c>
      <c r="G18" s="160"/>
      <c r="H18" s="10"/>
      <c r="I18" s="10"/>
      <c r="J18" s="159" t="s">
        <v>32</v>
      </c>
      <c r="K18" s="159"/>
      <c r="L18" s="10"/>
      <c r="M18" s="10"/>
      <c r="O18" s="67">
        <f t="shared" si="1"/>
        <v>0</v>
      </c>
      <c r="P18" s="190">
        <f>P17*1.2</f>
        <v>0.68399999999999994</v>
      </c>
      <c r="Q18" s="194">
        <f t="shared" si="2"/>
        <v>0</v>
      </c>
      <c r="R18" s="155">
        <f t="shared" si="3"/>
        <v>0</v>
      </c>
      <c r="S18" s="169">
        <f t="shared" si="4"/>
        <v>1</v>
      </c>
      <c r="T18" s="170">
        <f>R18*PRODUCT(S5:S17)*PRODUCT(S19)</f>
        <v>0</v>
      </c>
      <c r="U18" s="170">
        <f>R18*R19*PRODUCT(S5:S17)</f>
        <v>0</v>
      </c>
      <c r="W18" s="176" t="s">
        <v>79</v>
      </c>
      <c r="X18" s="15" t="s">
        <v>80</v>
      </c>
      <c r="Y18" s="69">
        <f t="shared" si="5"/>
        <v>2.6014626113909339E-2</v>
      </c>
      <c r="Z18" s="69">
        <f>Z17*1.2</f>
        <v>0.68399999999999994</v>
      </c>
      <c r="AA18" s="69">
        <f t="shared" si="6"/>
        <v>1.7794004261913986E-2</v>
      </c>
      <c r="AB18" s="155">
        <f t="shared" si="7"/>
        <v>1.7794004261913986E-2</v>
      </c>
      <c r="AC18" s="169">
        <f t="shared" si="8"/>
        <v>0.98220599573808598</v>
      </c>
      <c r="AD18" s="170">
        <f>AB18*PRODUCT(AC5:AC17)*PRODUCT(AC19)</f>
        <v>1.2879446814367488E-2</v>
      </c>
      <c r="AE18" s="170">
        <f>AB18*AB19*PRODUCT(AC5:AC17)</f>
        <v>0</v>
      </c>
      <c r="AG18" s="184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87">
        <f t="shared" si="9"/>
        <v>0.20811700891127471</v>
      </c>
      <c r="AK18" s="184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188">
        <v>0.15</v>
      </c>
      <c r="AN18" s="189">
        <f t="shared" si="10"/>
        <v>0.15</v>
      </c>
      <c r="AO18">
        <f>1/8</f>
        <v>0.125</v>
      </c>
      <c r="BH18">
        <v>1</v>
      </c>
      <c r="BI18">
        <v>6</v>
      </c>
      <c r="BJ18" s="107">
        <f t="shared" si="11"/>
        <v>1.0770767360254264E-2</v>
      </c>
      <c r="BP18">
        <f>BL8+1</f>
        <v>5</v>
      </c>
      <c r="BQ18">
        <v>4</v>
      </c>
      <c r="BR18" s="107">
        <f>$H$30*H43</f>
        <v>1.8690036747728213E-2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0">
        <f>P3</f>
        <v>0.56999999999999995</v>
      </c>
      <c r="Q19" s="194">
        <f t="shared" si="2"/>
        <v>0</v>
      </c>
      <c r="R19" s="155">
        <f t="shared" si="3"/>
        <v>0</v>
      </c>
      <c r="S19" s="171">
        <f t="shared" si="4"/>
        <v>1</v>
      </c>
      <c r="T19" s="172">
        <f>R19*PRODUCT(S5:S18)</f>
        <v>0</v>
      </c>
      <c r="U19" s="172">
        <v>0</v>
      </c>
      <c r="V19" s="1" t="s">
        <v>82</v>
      </c>
      <c r="W19" s="176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1">
        <f t="shared" si="8"/>
        <v>1</v>
      </c>
      <c r="AD19" s="172">
        <f>AB19*PRODUCT(AC5:AC18)</f>
        <v>0</v>
      </c>
      <c r="AE19" s="172">
        <v>0</v>
      </c>
      <c r="AF19" s="1" t="s">
        <v>82</v>
      </c>
      <c r="AG19" s="184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87">
        <f t="shared" si="9"/>
        <v>0</v>
      </c>
      <c r="AK19" s="184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188">
        <v>0.6</v>
      </c>
      <c r="AN19" s="18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3.7080548519146314E-3</v>
      </c>
      <c r="BP19">
        <f>BP15+1</f>
        <v>6</v>
      </c>
      <c r="BQ19">
        <v>1</v>
      </c>
      <c r="BR19" s="107">
        <f>$H$31*H40</f>
        <v>2.4616468822557412E-3</v>
      </c>
    </row>
    <row r="20" spans="1:70" x14ac:dyDescent="0.25">
      <c r="A20" s="180" t="s">
        <v>85</v>
      </c>
      <c r="B20">
        <f>IF(B17="Pres",IF(C17="Pres",2,1),IF(C17="Pres",1,0))</f>
        <v>0</v>
      </c>
      <c r="D20" s="36"/>
      <c r="O20" s="22"/>
      <c r="P20" s="22"/>
      <c r="Q20" s="22"/>
      <c r="S20" s="173">
        <f>PRODUCT(S5:S19)</f>
        <v>0.46460523478336668</v>
      </c>
      <c r="T20" s="174">
        <f>SUM(T5:T19)</f>
        <v>0.39984887750786319</v>
      </c>
      <c r="U20" s="174">
        <f>SUM(U5:U19)</f>
        <v>0.11945107724756034</v>
      </c>
      <c r="V20" s="174">
        <f>1-S20-T20-U20</f>
        <v>1.6094810461209794E-2</v>
      </c>
      <c r="W20" s="21"/>
      <c r="X20" s="22"/>
      <c r="Y20" s="22"/>
      <c r="Z20" s="22"/>
      <c r="AA20" s="22"/>
      <c r="AB20" s="23"/>
      <c r="AC20" s="175">
        <f>PRODUCT(AC5:AC19)</f>
        <v>0.7109287879590982</v>
      </c>
      <c r="AD20" s="174">
        <f>SUM(AD5:AD19)</f>
        <v>0.25765916592565569</v>
      </c>
      <c r="AE20" s="174">
        <f>SUM(AE5:AE19)</f>
        <v>2.9854004866755851E-2</v>
      </c>
      <c r="AF20" s="174">
        <f>1-AC20-AD20-AE20</f>
        <v>1.5580412484902662E-3</v>
      </c>
      <c r="BH20">
        <v>1</v>
      </c>
      <c r="BI20">
        <v>8</v>
      </c>
      <c r="BJ20" s="107">
        <f t="shared" si="11"/>
        <v>9.3570818273442356E-4</v>
      </c>
      <c r="BP20">
        <f>BP16+1</f>
        <v>6</v>
      </c>
      <c r="BQ20">
        <v>2</v>
      </c>
      <c r="BR20" s="107">
        <f>$H$31*H41</f>
        <v>5.5273596484200346E-3</v>
      </c>
    </row>
    <row r="21" spans="1:70" x14ac:dyDescent="0.25">
      <c r="A21" s="180" t="s">
        <v>86</v>
      </c>
      <c r="B21" s="18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1.7068398595825854E-4</v>
      </c>
      <c r="BP21">
        <f>BP17+1</f>
        <v>6</v>
      </c>
      <c r="BQ21">
        <v>3</v>
      </c>
      <c r="BR21" s="107">
        <f>$H$31*H42</f>
        <v>7.4867892741340772E-3</v>
      </c>
    </row>
    <row r="22" spans="1:70" x14ac:dyDescent="0.25">
      <c r="A22" s="26" t="s">
        <v>87</v>
      </c>
      <c r="B22" s="62">
        <f>(B6)/((B6)+(C6))</f>
        <v>0.5</v>
      </c>
      <c r="C22" s="63">
        <f>1-B22</f>
        <v>0.5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2.1882002605082621E-5</v>
      </c>
      <c r="BP22">
        <f>BP18+1</f>
        <v>6</v>
      </c>
      <c r="BQ22">
        <v>4</v>
      </c>
      <c r="BR22" s="107">
        <f>$H$31*H43</f>
        <v>6.8139447959316701E-3</v>
      </c>
    </row>
    <row r="23" spans="1:70" x14ac:dyDescent="0.25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59">
        <f>SUM(H25:H35)</f>
        <v>0.99999754495756199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0.99897460937500004</v>
      </c>
      <c r="Y23" s="80">
        <f>SUM(Y25:Y35)</f>
        <v>9.716796875E-4</v>
      </c>
      <c r="Z23" s="81"/>
      <c r="AA23" s="80">
        <f>SUM(AA25:AA35)</f>
        <v>9.7216796875000001E-3</v>
      </c>
      <c r="AB23" s="81"/>
      <c r="AC23" s="80">
        <f>SUM(AC25:AC35)</f>
        <v>4.3774414062499996E-2</v>
      </c>
      <c r="AD23" s="81"/>
      <c r="AE23" s="80">
        <f>SUM(AE25:AE35)</f>
        <v>0.1168212890625</v>
      </c>
      <c r="AF23" s="81"/>
      <c r="AG23" s="80">
        <f>SUM(AG25:AG35)</f>
        <v>0.20463867187500001</v>
      </c>
      <c r="AH23" s="81"/>
      <c r="AI23" s="80">
        <f>SUM(AI25:AI35)</f>
        <v>0.24588867187500002</v>
      </c>
      <c r="AJ23" s="81"/>
      <c r="AK23" s="80">
        <f>SUM(AK25:AK35)</f>
        <v>0.20528320312499998</v>
      </c>
      <c r="AL23" s="81"/>
      <c r="AM23" s="80">
        <f>SUM(AM25:AM35)</f>
        <v>0.11762695312500002</v>
      </c>
      <c r="AN23" s="81"/>
      <c r="AO23" s="80">
        <f>SUM(AO25:AO35)</f>
        <v>4.43115234375E-2</v>
      </c>
      <c r="AP23" s="81"/>
      <c r="AQ23" s="80">
        <f>SUM(AQ25:AQ35)</f>
        <v>9.9365234375000024E-3</v>
      </c>
      <c r="AR23" s="81"/>
      <c r="AS23" s="80">
        <f>SUM(AS25:AS35)</f>
        <v>1.025390624999956E-3</v>
      </c>
      <c r="BH23">
        <f t="shared" ref="BH23:BH30" si="12">BH15+1</f>
        <v>2</v>
      </c>
      <c r="BI23">
        <v>3</v>
      </c>
      <c r="BJ23" s="107">
        <f t="shared" ref="BJ23:BJ30" si="13">$H$27*H42</f>
        <v>6.3022461684850081E-2</v>
      </c>
      <c r="BP23">
        <f>BL9+1</f>
        <v>6</v>
      </c>
      <c r="BQ23">
        <v>5</v>
      </c>
      <c r="BR23" s="107">
        <f>$H$31*H44</f>
        <v>4.3921556648105608E-3</v>
      </c>
    </row>
    <row r="24" spans="1:70" x14ac:dyDescent="0.25">
      <c r="A24" s="26" t="s">
        <v>89</v>
      </c>
      <c r="B24" s="64">
        <f>B23/B21</f>
        <v>0.5</v>
      </c>
      <c r="C24" s="65">
        <f>C23/B21</f>
        <v>0.5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5.73585764338152E-2</v>
      </c>
      <c r="BP24">
        <f>BH49+1</f>
        <v>7</v>
      </c>
      <c r="BQ24">
        <v>0</v>
      </c>
      <c r="BR24" s="107">
        <f t="shared" ref="BR24:BR30" si="14">$H$32*H39</f>
        <v>1.377200791900407E-4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4.5360424470794039E-2</v>
      </c>
      <c r="I25" s="97">
        <v>0</v>
      </c>
      <c r="J25" s="98">
        <f t="shared" ref="J25:J35" si="15">Y25+AA25+AC25+AE25+AG25+AI25+AK25+AM25+AO25+AQ25+AS25</f>
        <v>9.7632185508939484E-2</v>
      </c>
      <c r="K25" s="97">
        <v>0</v>
      </c>
      <c r="L25" s="98">
        <f>S20</f>
        <v>0.46460523478336668</v>
      </c>
      <c r="M25" s="84">
        <v>0</v>
      </c>
      <c r="N25" s="71">
        <f>(1-$B$24)^$B$21</f>
        <v>3.125E-2</v>
      </c>
      <c r="O25" s="70">
        <v>0</v>
      </c>
      <c r="P25" s="71">
        <f t="shared" ref="P25:P30" si="16">N25</f>
        <v>3.125E-2</v>
      </c>
      <c r="Q25" s="12">
        <v>0</v>
      </c>
      <c r="R25" s="73">
        <f>P25*N25</f>
        <v>9.765625E-4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0.41481679477751243</v>
      </c>
      <c r="X25" s="12">
        <v>0</v>
      </c>
      <c r="Y25" s="79">
        <f>V25</f>
        <v>9.716796875E-4</v>
      </c>
      <c r="Z25" s="12">
        <v>0</v>
      </c>
      <c r="AA25" s="78">
        <f>((1-W25)^Z26)*V26</f>
        <v>5.6889636796776015E-3</v>
      </c>
      <c r="AB25" s="12">
        <v>0</v>
      </c>
      <c r="AC25" s="79">
        <f>(((1-$W$25)^AB27))*V27</f>
        <v>1.499008337227329E-2</v>
      </c>
      <c r="AD25" s="12">
        <v>0</v>
      </c>
      <c r="AE25" s="79">
        <f>(((1-$W$25)^AB28))*V28</f>
        <v>2.3409791962807066E-2</v>
      </c>
      <c r="AF25" s="12">
        <v>0</v>
      </c>
      <c r="AG25" s="79">
        <f>(((1-$W$25)^AB29))*V29</f>
        <v>2.399689891016769E-2</v>
      </c>
      <c r="AH25" s="12">
        <v>0</v>
      </c>
      <c r="AI25" s="79">
        <f>(((1-$W$25)^AB30))*V30</f>
        <v>1.6873212966290456E-2</v>
      </c>
      <c r="AJ25" s="12">
        <v>0</v>
      </c>
      <c r="AK25" s="79">
        <f>(((1-$W$25)^AB31))*V31</f>
        <v>8.2433651099762303E-3</v>
      </c>
      <c r="AL25" s="12">
        <v>0</v>
      </c>
      <c r="AM25" s="79">
        <f>(((1-$W$25)^AB32))*V32</f>
        <v>2.7640749892612511E-3</v>
      </c>
      <c r="AN25" s="12">
        <v>0</v>
      </c>
      <c r="AO25" s="79">
        <f>(((1-$W$25)^AB33))*V33</f>
        <v>6.0932852323984004E-4</v>
      </c>
      <c r="AP25" s="12">
        <v>0</v>
      </c>
      <c r="AQ25" s="79">
        <f>(((1-$W$25)^AB34))*V34</f>
        <v>7.9957856216545818E-5</v>
      </c>
      <c r="AR25" s="12">
        <v>0</v>
      </c>
      <c r="AS25" s="79">
        <f>(((1-$W$25)^AB35))*V35</f>
        <v>4.8284515295027829E-6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3.6972385887198089E-2</v>
      </c>
      <c r="BP25">
        <f>BP19+1</f>
        <v>7</v>
      </c>
      <c r="BQ25">
        <v>1</v>
      </c>
      <c r="BR25" s="107">
        <f t="shared" si="14"/>
        <v>6.7780183716847767E-4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0.15783330304573795</v>
      </c>
      <c r="I26" s="93">
        <v>1</v>
      </c>
      <c r="J26" s="86">
        <f t="shared" si="15"/>
        <v>0.25569058281648532</v>
      </c>
      <c r="K26" s="93">
        <v>1</v>
      </c>
      <c r="L26" s="86">
        <f>T20</f>
        <v>0.39984887750786319</v>
      </c>
      <c r="M26" s="85">
        <v>1</v>
      </c>
      <c r="N26" s="71">
        <f>(($B$24)^M26)*((1-($B$24))^($B$21-M26))*HLOOKUP($B$21,$AV$24:$BF$34,M26+1)</f>
        <v>0.15625</v>
      </c>
      <c r="O26" s="72">
        <v>1</v>
      </c>
      <c r="P26" s="71">
        <f t="shared" si="16"/>
        <v>0.15625</v>
      </c>
      <c r="Q26" s="28">
        <v>1</v>
      </c>
      <c r="R26" s="37">
        <f>N26*P25+P26*N25</f>
        <v>9.765625E-3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9.7216796875000001E-3</v>
      </c>
      <c r="W26" s="135"/>
      <c r="X26" s="28">
        <v>1</v>
      </c>
      <c r="Y26" s="73"/>
      <c r="Z26" s="28">
        <v>1</v>
      </c>
      <c r="AA26" s="79">
        <f>(1-((1-W25)^Z26))*V26</f>
        <v>4.0327160078223985E-3</v>
      </c>
      <c r="AB26" s="28">
        <v>1</v>
      </c>
      <c r="AC26" s="79">
        <f>((($W$25)^M26)*((1-($W$25))^($U$27-M26))*HLOOKUP($U$27,$AV$24:$BF$34,M26+1))*V27</f>
        <v>2.1251937111113586E-2</v>
      </c>
      <c r="AD26" s="28">
        <v>1</v>
      </c>
      <c r="AE26" s="79">
        <f>((($W$25)^M26)*((1-($W$25))^($U$28-M26))*HLOOKUP($U$28,$AV$24:$BF$34,M26+1))*V28</f>
        <v>4.9783254791435513E-2</v>
      </c>
      <c r="AF26" s="28">
        <v>1</v>
      </c>
      <c r="AG26" s="79">
        <f>((($W$25)^M26)*((1-($W$25))^($U$29-M26))*HLOOKUP($U$29,$AV$24:$BF$34,M26+1))*V29</f>
        <v>6.8042394940101503E-2</v>
      </c>
      <c r="AH26" s="28">
        <v>1</v>
      </c>
      <c r="AI26" s="79">
        <f>((($W$25)^M26)*((1-($W$25))^($U$30-M26))*HLOOKUP($U$30,$AV$24:$BF$34,M26+1))*V30</f>
        <v>5.9804280589476483E-2</v>
      </c>
      <c r="AJ26" s="28">
        <v>1</v>
      </c>
      <c r="AK26" s="79">
        <f>((($W$25)^M26)*((1-($W$25))^($U$31-M26))*HLOOKUP($U$31,$AV$24:$BF$34,M26+1))*V31</f>
        <v>3.5060674290551673E-2</v>
      </c>
      <c r="AL26" s="28">
        <v>1</v>
      </c>
      <c r="AM26" s="79">
        <f>((($W$25)^Q26)*((1-($W$25))^($U$32-Q26))*HLOOKUP($U$32,$AV$24:$BF$34,Q26+1))*V32</f>
        <v>1.3715521944856125E-2</v>
      </c>
      <c r="AN26" s="28">
        <v>1</v>
      </c>
      <c r="AO26" s="79">
        <f>((($W$25)^Q26)*((1-($W$25))^($U$33-Q26))*HLOOKUP($U$33,$AV$24:$BF$34,Q26+1))*V33</f>
        <v>3.4554608228138167E-3</v>
      </c>
      <c r="AP26" s="28">
        <v>1</v>
      </c>
      <c r="AQ26" s="79">
        <f>((($W$25)^Q26)*((1-($W$25))^($U$34-Q26))*HLOOKUP($U$34,$AV$24:$BF$34,Q26+1))*V34</f>
        <v>5.1011504095331019E-4</v>
      </c>
      <c r="AR26" s="28">
        <v>1</v>
      </c>
      <c r="AS26" s="79">
        <f>((($W$25)^Q26)*((1-($W$25))^($U$35-Q26))*HLOOKUP($U$35,$AV$24:$BF$34,Q26+1))*V35</f>
        <v>3.4227277360863554E-5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1.7328274476019746E-2</v>
      </c>
      <c r="BP26">
        <f>BP20+1</f>
        <v>7</v>
      </c>
      <c r="BQ26">
        <v>2</v>
      </c>
      <c r="BR26" s="107">
        <f t="shared" si="14"/>
        <v>1.5219301157268056E-3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0.25392608577972164</v>
      </c>
      <c r="I27" s="93">
        <v>2</v>
      </c>
      <c r="J27" s="86">
        <f t="shared" si="15"/>
        <v>0.30138752866922119</v>
      </c>
      <c r="K27" s="93">
        <v>2</v>
      </c>
      <c r="L27" s="86">
        <f>U20</f>
        <v>0.11945107724756034</v>
      </c>
      <c r="M27" s="85">
        <v>2</v>
      </c>
      <c r="N27" s="71">
        <f>(($B$24)^M27)*((1-($B$24))^($B$21-M27))*HLOOKUP($B$21,$AV$24:$BF$34,M27+1)</f>
        <v>0.3125</v>
      </c>
      <c r="O27" s="72">
        <v>2</v>
      </c>
      <c r="P27" s="71">
        <f t="shared" si="16"/>
        <v>0.3125</v>
      </c>
      <c r="Q27" s="28">
        <v>2</v>
      </c>
      <c r="R27" s="37">
        <f>P25*N27+P26*N26+P27*N25</f>
        <v>4.39453125E-2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4.3774414062499996E-2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7.532393579113123E-3</v>
      </c>
      <c r="AD27" s="28">
        <v>2</v>
      </c>
      <c r="AE27" s="79">
        <f>((($W$25)^M27)*((1-($W$25))^($U$28-M27))*HLOOKUP($U$28,$AV$24:$BF$34,M27+1))*V28</f>
        <v>3.5289683644157216E-2</v>
      </c>
      <c r="AF27" s="28">
        <v>2</v>
      </c>
      <c r="AG27" s="79">
        <f>((($W$25)^M27)*((1-($W$25))^($U$29-M27))*HLOOKUP($U$29,$AV$24:$BF$34,M27+1))*V29</f>
        <v>7.234946575570457E-2</v>
      </c>
      <c r="AH27" s="28">
        <v>2</v>
      </c>
      <c r="AI27" s="79">
        <f>((($W$25)^M27)*((1-($W$25))^($U$30-M27))*HLOOKUP($U$30,$AV$24:$BF$34,M27+1))*V30</f>
        <v>8.4786507085997651E-2</v>
      </c>
      <c r="AJ27" s="28">
        <v>2</v>
      </c>
      <c r="AK27" s="79">
        <f>((($W$25)^M27)*((1-($W$25))^($U$31-M27))*HLOOKUP($U$31,$AV$24:$BF$34,M27+1))*V31</f>
        <v>6.2133347309649041E-2</v>
      </c>
      <c r="AL27" s="28">
        <v>2</v>
      </c>
      <c r="AM27" s="79">
        <f>((($W$25)^Q27)*((1-($W$25))^($U$32-Q27))*HLOOKUP($U$32,$AV$24:$BF$34,Q27+1))*V32</f>
        <v>2.916742381406549E-2</v>
      </c>
      <c r="AN27" s="28">
        <v>2</v>
      </c>
      <c r="AO27" s="79">
        <f>((($W$25)^Q27)*((1-($W$25))^($U$33-Q27))*HLOOKUP($U$33,$AV$24:$BF$34,Q27+1))*V33</f>
        <v>8.573111968564983E-3</v>
      </c>
      <c r="AP27" s="28">
        <v>2</v>
      </c>
      <c r="AQ27" s="79">
        <f>((($W$25)^Q27)*((1-($W$25))^($U$34-Q27))*HLOOKUP($U$34,$AV$24:$BF$34,Q27+1))*V34</f>
        <v>1.4464139392079739E-3</v>
      </c>
      <c r="AR27" s="28">
        <v>2</v>
      </c>
      <c r="AS27" s="79">
        <f>((($W$25)^Q27)*((1-($W$25))^($U$35-Q27))*HLOOKUP($U$35,$AV$24:$BF$34,Q27+1))*V35</f>
        <v>1.0918157276110299E-4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5.9656095148077392E-3</v>
      </c>
      <c r="BP27">
        <f>BP21+1</f>
        <v>7</v>
      </c>
      <c r="BQ27">
        <v>3</v>
      </c>
      <c r="BR27" s="107">
        <f t="shared" si="14"/>
        <v>2.0614490084179889E-3</v>
      </c>
    </row>
    <row r="28" spans="1:70" x14ac:dyDescent="0.25">
      <c r="A28" s="26" t="s">
        <v>117</v>
      </c>
      <c r="B28" s="167">
        <v>0.9</v>
      </c>
      <c r="C28" s="168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0.25045534381676698</v>
      </c>
      <c r="I28" s="93">
        <v>3</v>
      </c>
      <c r="J28" s="86">
        <f t="shared" si="15"/>
        <v>0.21057014510170277</v>
      </c>
      <c r="K28" s="93">
        <v>3</v>
      </c>
      <c r="L28" s="86">
        <f>V20</f>
        <v>1.6094810461209794E-2</v>
      </c>
      <c r="M28" s="85">
        <v>3</v>
      </c>
      <c r="N28" s="71">
        <f>(($B$24)^M28)*((1-($B$24))^($B$21-M28))*HLOOKUP($B$21,$AV$24:$BF$34,M28+1)</f>
        <v>0.3125</v>
      </c>
      <c r="O28" s="72">
        <v>3</v>
      </c>
      <c r="P28" s="71">
        <f t="shared" si="16"/>
        <v>0.3125</v>
      </c>
      <c r="Q28" s="28">
        <v>3</v>
      </c>
      <c r="R28" s="37">
        <f>P25*N28+P26*N27+P27*N26+P28*N25</f>
        <v>0.1171875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0.1168212890625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8.338558664100203E-3</v>
      </c>
      <c r="AF28" s="28">
        <v>3</v>
      </c>
      <c r="AG28" s="79">
        <f>((($W$25)^M28)*((1-($W$25))^($U$29-M28))*HLOOKUP($U$29,$AV$24:$BF$34,M28+1))*V29</f>
        <v>3.4190743708757264E-2</v>
      </c>
      <c r="AH28" s="28">
        <v>3</v>
      </c>
      <c r="AI28" s="79">
        <f>((($W$25)^M28)*((1-($W$25))^($U$30-M28))*HLOOKUP($U$30,$AV$24:$BF$34,M28+1))*V30</f>
        <v>6.0102318036318859E-2</v>
      </c>
      <c r="AJ28" s="28">
        <v>3</v>
      </c>
      <c r="AK28" s="79">
        <f>((($W$25)^M28)*((1-($W$25))^($U$31-M28))*HLOOKUP($U$31,$AV$24:$BF$34,M28+1))*V31</f>
        <v>5.8725668018188799E-2</v>
      </c>
      <c r="AL28" s="28">
        <v>3</v>
      </c>
      <c r="AM28" s="79">
        <f>((($W$25)^Q28)*((1-($W$25))^($U$32-Q28))*HLOOKUP($U$32,$AV$24:$BF$34,Q28+1))*V32</f>
        <v>3.4459684734879509E-2</v>
      </c>
      <c r="AN28" s="28">
        <v>3</v>
      </c>
      <c r="AO28" s="79">
        <f>((($W$25)^Q28)*((1-($W$25))^($U$33-Q28))*HLOOKUP($U$33,$AV$24:$BF$34,Q28+1))*V33</f>
        <v>1.2154384460561394E-2</v>
      </c>
      <c r="AP28" s="28">
        <v>3</v>
      </c>
      <c r="AQ28" s="79">
        <f>((($W$25)^Q28)*((1-($W$25))^($U$34-Q28))*HLOOKUP($U$34,$AV$24:$BF$34,Q28+1))*V34</f>
        <v>2.3924003752463208E-3</v>
      </c>
      <c r="AR28" s="28">
        <v>3</v>
      </c>
      <c r="AS28" s="79">
        <f>((($W$25)^Q28)*((1-($W$25))^($U$35-Q28))*HLOOKUP($U$35,$AV$24:$BF$34,Q28+1))*V35</f>
        <v>2.063871036504271E-4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1.5053902547104096E-3</v>
      </c>
      <c r="BP28">
        <f>BP22+1</f>
        <v>7</v>
      </c>
      <c r="BQ28">
        <v>4</v>
      </c>
      <c r="BR28" s="107">
        <f t="shared" si="14"/>
        <v>1.8761847340244377E-3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0.16918412165769878</v>
      </c>
      <c r="I29" s="93">
        <v>4</v>
      </c>
      <c r="J29" s="86">
        <f t="shared" si="15"/>
        <v>9.6579904200544464E-2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0.15625</v>
      </c>
      <c r="O29" s="72">
        <v>4</v>
      </c>
      <c r="P29" s="71">
        <f t="shared" si="16"/>
        <v>0.15625</v>
      </c>
      <c r="Q29" s="28">
        <v>4</v>
      </c>
      <c r="R29" s="37">
        <f>P25*N29+P26*N28+P27*N27+P28*N26+P29*N25</f>
        <v>0.205078125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0.20463867187499998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6.0591685602689703E-3</v>
      </c>
      <c r="AH29" s="28">
        <v>4</v>
      </c>
      <c r="AI29" s="79">
        <f>((($W$25)^M29)*((1-($W$25))^($U$30-M29))*HLOOKUP($U$30,$AV$24:$BF$34,M29+1))*V30</f>
        <v>2.1302261158576388E-2</v>
      </c>
      <c r="AJ29" s="28">
        <v>4</v>
      </c>
      <c r="AK29" s="79">
        <f>((($W$25)^M29)*((1-($W$25))^($U$31-M29))*HLOOKUP($U$31,$AV$24:$BF$34,M29+1))*V31</f>
        <v>3.1221495885051274E-2</v>
      </c>
      <c r="AL29" s="28">
        <v>4</v>
      </c>
      <c r="AM29" s="79">
        <f>((($W$25)^Q29)*((1-($W$25))^($U$32-Q29))*HLOOKUP($U$32,$AV$24:$BF$34,Q29+1))*V32</f>
        <v>2.4427317536106521E-2</v>
      </c>
      <c r="AN29" s="28">
        <v>4</v>
      </c>
      <c r="AO29" s="79">
        <f>((($W$25)^Q29)*((1-($W$25))^($U$33-Q29))*HLOOKUP($U$33,$AV$24:$BF$34,Q29+1))*V33</f>
        <v>1.0769795594412959E-2</v>
      </c>
      <c r="AP29" s="28">
        <v>4</v>
      </c>
      <c r="AQ29" s="79">
        <f>((($W$25)^Q29)*((1-($W$25))^($U$34-Q29))*HLOOKUP($U$34,$AV$24:$BF$34,Q29+1))*V34</f>
        <v>2.5438388695046758E-3</v>
      </c>
      <c r="AR29" s="28">
        <v>4</v>
      </c>
      <c r="AS29" s="79">
        <f>((($W$25)^Q29)*((1-($W$25))^($U$35-Q29))*HLOOKUP($U$35,$AV$24:$BF$34,Q29+1))*V35</f>
        <v>2.560265966236761E-4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2.7460057936633242E-4</v>
      </c>
      <c r="BP29">
        <f>BP23+1</f>
        <v>7</v>
      </c>
      <c r="BQ29">
        <v>5</v>
      </c>
      <c r="BR29" s="107">
        <f t="shared" si="14"/>
        <v>1.2093575241021316E-3</v>
      </c>
    </row>
    <row r="30" spans="1:70" x14ac:dyDescent="0.25">
      <c r="A30" s="26" t="s">
        <v>119</v>
      </c>
      <c r="B30" s="167">
        <v>0.15</v>
      </c>
      <c r="C30" s="168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8.2740684471239612E-2</v>
      </c>
      <c r="I30" s="93">
        <v>5</v>
      </c>
      <c r="J30" s="86">
        <f t="shared" si="15"/>
        <v>3.0390773310037221E-2</v>
      </c>
      <c r="K30" s="93">
        <v>5</v>
      </c>
      <c r="L30" s="86"/>
      <c r="M30" s="85">
        <v>5</v>
      </c>
      <c r="N30" s="71">
        <f>(($B$24)^M30)*((1-($B$24))^($B$21-M30))*HLOOKUP($B$21,$AV$24:$BF$34,M30+1)</f>
        <v>3.125E-2</v>
      </c>
      <c r="O30" s="72">
        <v>5</v>
      </c>
      <c r="P30" s="71">
        <f t="shared" si="16"/>
        <v>3.125E-2</v>
      </c>
      <c r="Q30" s="28">
        <v>5</v>
      </c>
      <c r="R30" s="37">
        <f>P25*N30+P26*N29+P27*N28+P28*N27+P29*N26+P30*N25</f>
        <v>0.24609375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0.24588867187500002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3.0200920383401946E-3</v>
      </c>
      <c r="AJ30" s="28">
        <v>5</v>
      </c>
      <c r="AK30" s="79">
        <f>((($W$25)^M30)*((1-($W$25))^($U$31-M30))*HLOOKUP($U$31,$AV$24:$BF$34,M30+1))*V31</f>
        <v>8.8527495222780316E-3</v>
      </c>
      <c r="AL30" s="28">
        <v>5</v>
      </c>
      <c r="AM30" s="79">
        <f>((($W$25)^Q30)*((1-($W$25))^($U$32-Q30))*HLOOKUP($U$32,$AV$24:$BF$34,Q30+1))*V32</f>
        <v>1.0389424858651948E-2</v>
      </c>
      <c r="AN30" s="28">
        <v>5</v>
      </c>
      <c r="AO30" s="79">
        <f>((($W$25)^Q30)*((1-($W$25))^($U$33-Q30))*HLOOKUP($U$33,$AV$24:$BF$34,Q30+1))*V33</f>
        <v>6.1074782037667122E-3</v>
      </c>
      <c r="AP30" s="28">
        <v>5</v>
      </c>
      <c r="AQ30" s="79">
        <f>((($W$25)^Q30)*((1-($W$25))^($U$34-Q30))*HLOOKUP($U$34,$AV$24:$BF$34,Q30+1))*V34</f>
        <v>1.8032422613311007E-3</v>
      </c>
      <c r="AR30" s="28">
        <v>5</v>
      </c>
      <c r="AS30" s="79">
        <f>((($W$25)^Q30)*((1-($W$25))^($U$35-Q30))*HLOOKUP($U$35,$AV$24:$BF$34,Q30+1))*V35</f>
        <v>2.1778642566923858E-4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3.5204302028198252E-5</v>
      </c>
      <c r="BP30">
        <f>BL10+1</f>
        <v>7</v>
      </c>
      <c r="BQ30">
        <v>6</v>
      </c>
      <c r="BR30" s="107">
        <f t="shared" si="14"/>
        <v>5.6680353767857771E-4</v>
      </c>
    </row>
    <row r="31" spans="1:70" x14ac:dyDescent="0.25">
      <c r="A31" s="179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3.0165294160438536E-2</v>
      </c>
      <c r="I31" s="93">
        <v>6</v>
      </c>
      <c r="J31" s="86">
        <f t="shared" si="15"/>
        <v>6.6463250157770635E-3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0.205078125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0.20528320312499998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1.0459029893049548E-3</v>
      </c>
      <c r="AL31" s="28">
        <v>6</v>
      </c>
      <c r="AM31" s="79">
        <f>((($W$25)^Q31)*((1-($W$25))^($U$32-Q31))*HLOOKUP($U$32,$AV$24:$BF$34,Q31+1))*V32</f>
        <v>2.4549052222652525E-3</v>
      </c>
      <c r="AN31" s="28">
        <v>6</v>
      </c>
      <c r="AO31" s="79">
        <f>((($W$25)^Q31)*((1-($W$25))^($U$33-Q31))*HLOOKUP($U$33,$AV$24:$BF$34,Q31+1))*V33</f>
        <v>2.1646934755217319E-3</v>
      </c>
      <c r="AP31" s="28">
        <v>6</v>
      </c>
      <c r="AQ31" s="79">
        <f>((($W$25)^Q31)*((1-($W$25))^($U$34-Q31))*HLOOKUP($U$34,$AV$24:$BF$34,Q31+1))*V34</f>
        <v>8.5217207007655437E-4</v>
      </c>
      <c r="AR31" s="28">
        <v>6</v>
      </c>
      <c r="AS31" s="79">
        <f>((($W$25)^Q31)*((1-($W$25))^($U$35-Q31))*HLOOKUP($U$35,$AV$24:$BF$34,Q31+1))*V35</f>
        <v>1.2865125860857046E-4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5.6574581289902018E-2</v>
      </c>
      <c r="BP31">
        <f t="shared" ref="BP31:BP37" si="21">BP24+1</f>
        <v>8</v>
      </c>
      <c r="BQ31">
        <v>0</v>
      </c>
      <c r="BR31" s="107">
        <f t="shared" ref="BR31:BR38" si="22">$H$33*H39</f>
        <v>2.8650513609076901E-5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8.3058589548542089E-3</v>
      </c>
      <c r="I32" s="93">
        <v>7</v>
      </c>
      <c r="J32" s="86">
        <f t="shared" si="15"/>
        <v>9.9802468910969284E-4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0.1171875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0.117626953125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2.486000249139256E-4</v>
      </c>
      <c r="AN32" s="28">
        <v>7</v>
      </c>
      <c r="AO32" s="79">
        <f>((($W$25)^Q32)*((1-($W$25))^($U$33-Q32))*HLOOKUP($U$33,$AV$24:$BF$34,Q32+1))*V33</f>
        <v>4.3842250777335174E-4</v>
      </c>
      <c r="AP32" s="28">
        <v>7</v>
      </c>
      <c r="AQ32" s="79">
        <f>((($W$25)^Q32)*((1-($W$25))^($U$34-Q32))*HLOOKUP($U$34,$AV$24:$BF$34,Q32+1))*V34</f>
        <v>2.588898291435863E-4</v>
      </c>
      <c r="AR32" s="28">
        <v>7</v>
      </c>
      <c r="AS32" s="79">
        <f>((($W$25)^Q32)*((1-($W$25))^($U$35-Q32))*HLOOKUP($U$35,$AV$24:$BF$34,Q32+1))*V35</f>
        <v>5.21123272788293E-5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3.6467035636257084E-2</v>
      </c>
      <c r="BP32">
        <f t="shared" si="21"/>
        <v>8</v>
      </c>
      <c r="BQ32">
        <v>1</v>
      </c>
      <c r="BR32" s="107">
        <f t="shared" si="22"/>
        <v>1.4100609638232852E-4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1.7279043580330185E-3</v>
      </c>
      <c r="I33" s="93">
        <v>8</v>
      </c>
      <c r="J33" s="86">
        <f t="shared" si="15"/>
        <v>9.8580222244177469E-5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4.39453125E-2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4.43115234375E-2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3.8847880845220822E-5</v>
      </c>
      <c r="AP33" s="28">
        <v>8</v>
      </c>
      <c r="AQ33" s="79">
        <f>((($W$25)^Q33)*((1-($W$25))^($U$34-Q33))*HLOOKUP($U$34,$AV$24:$BF$34,Q33+1))*V34</f>
        <v>4.5879584447835335E-5</v>
      </c>
      <c r="AR33" s="28">
        <v>8</v>
      </c>
      <c r="AS33" s="79">
        <f>((($W$25)^Q33)*((1-($W$25))^($U$35-Q33))*HLOOKUP($U$35,$AV$24:$BF$34,Q33+1))*V35</f>
        <v>1.3852756951121308E-5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1.7091426145983694E-2</v>
      </c>
      <c r="BP33">
        <f t="shared" si="21"/>
        <v>8</v>
      </c>
      <c r="BQ33">
        <v>2</v>
      </c>
      <c r="BR33" s="107">
        <f t="shared" si="22"/>
        <v>3.1661381368017748E-4</v>
      </c>
    </row>
    <row r="34" spans="1:70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2.6829640626167806E-4</v>
      </c>
      <c r="I34" s="93">
        <v>9</v>
      </c>
      <c r="J34" s="86">
        <f t="shared" si="15"/>
        <v>5.7957793518625885E-6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9.765625E-3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9.936523437499999E-3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3.6136113720981158E-6</v>
      </c>
      <c r="AR34" s="28">
        <v>9</v>
      </c>
      <c r="AS34" s="79">
        <f>((($W$25)^Q34)*((1-($W$25))^($U$35-Q34))*HLOOKUP($U$35,$AV$24:$BF$34,Q34+1))*V35</f>
        <v>2.1821679797644727E-6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5.8840696792525765E-3</v>
      </c>
      <c r="BP34">
        <f t="shared" si="21"/>
        <v>8</v>
      </c>
      <c r="BQ34">
        <v>3</v>
      </c>
      <c r="BR34" s="107">
        <f t="shared" si="22"/>
        <v>4.2885230111288475E-4</v>
      </c>
    </row>
    <row r="35" spans="1:70" x14ac:dyDescent="0.25">
      <c r="G35" s="88">
        <v>10</v>
      </c>
      <c r="H35" s="127">
        <f>J35*L25+J34*L26+J33*L27+J32*L28</f>
        <v>3.0227836015330314E-5</v>
      </c>
      <c r="I35" s="94">
        <v>10</v>
      </c>
      <c r="J35" s="89">
        <f t="shared" si="15"/>
        <v>1.5468658685921441E-7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9.765625E-4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1.5468658685921441E-7</v>
      </c>
      <c r="BH35">
        <f t="shared" si="19"/>
        <v>3</v>
      </c>
      <c r="BI35">
        <v>8</v>
      </c>
      <c r="BJ35" s="107">
        <f t="shared" si="20"/>
        <v>1.4848141051131644E-3</v>
      </c>
      <c r="BP35">
        <f t="shared" si="21"/>
        <v>8</v>
      </c>
      <c r="BQ35">
        <v>4</v>
      </c>
      <c r="BR35" s="107">
        <f t="shared" si="22"/>
        <v>3.903109595307051E-4</v>
      </c>
    </row>
    <row r="36" spans="1:70" x14ac:dyDescent="0.25">
      <c r="A36" s="1"/>
      <c r="B36" s="108">
        <f>SUM(B37:B39)</f>
        <v>0.99995480785719026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2.7084725189337178E-4</v>
      </c>
      <c r="BP36">
        <f t="shared" si="21"/>
        <v>8</v>
      </c>
      <c r="BQ36">
        <v>5</v>
      </c>
      <c r="BR36" s="107">
        <f t="shared" si="22"/>
        <v>2.5158796310823867E-4</v>
      </c>
    </row>
    <row r="37" spans="1:70" x14ac:dyDescent="0.25">
      <c r="A37" s="109" t="s">
        <v>124</v>
      </c>
      <c r="B37" s="107">
        <f>SUM(BN4:BN14)</f>
        <v>0.174849493678958</v>
      </c>
      <c r="G37" s="13"/>
      <c r="H37" s="59">
        <f>SUM(H39:H49)</f>
        <v>0.99998748613586885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0.99892492675781253</v>
      </c>
      <c r="W37" s="13"/>
      <c r="X37" s="13"/>
      <c r="Y37" s="80">
        <f>SUM(Y39:Y49)</f>
        <v>9.6682128906250004E-4</v>
      </c>
      <c r="Z37" s="81"/>
      <c r="AA37" s="80">
        <f>SUM(AA39:AA49)</f>
        <v>9.6779296874999997E-3</v>
      </c>
      <c r="AB37" s="81"/>
      <c r="AC37" s="80">
        <f>SUM(AC39:AC49)</f>
        <v>4.3604150390624999E-2</v>
      </c>
      <c r="AD37" s="81"/>
      <c r="AE37" s="80">
        <f>SUM(AE39:AE49)</f>
        <v>0.1164560546875</v>
      </c>
      <c r="AF37" s="81"/>
      <c r="AG37" s="80">
        <f>SUM(AG39:AG49)</f>
        <v>0.20419958496093749</v>
      </c>
      <c r="AH37" s="81"/>
      <c r="AI37" s="80">
        <f>SUM(AI39:AI49)</f>
        <v>0.24568242187499997</v>
      </c>
      <c r="AJ37" s="81"/>
      <c r="AK37" s="80">
        <f>SUM(AK39:AK49)</f>
        <v>0.20548623046874995</v>
      </c>
      <c r="AL37" s="81"/>
      <c r="AM37" s="80">
        <f>SUM(AM39:AM49)</f>
        <v>0.11806523437499999</v>
      </c>
      <c r="AN37" s="81"/>
      <c r="AO37" s="80">
        <f>SUM(AO39:AO49)</f>
        <v>4.4678100585937491E-2</v>
      </c>
      <c r="AP37" s="81"/>
      <c r="AQ37" s="80">
        <f>SUM(AQ39:AQ49)</f>
        <v>1.0108398437499997E-2</v>
      </c>
      <c r="AR37" s="81"/>
      <c r="AS37" s="80">
        <f>SUM(AS39:AS49)</f>
        <v>1.0750732421874742E-3</v>
      </c>
      <c r="BH37">
        <f t="shared" si="19"/>
        <v>3</v>
      </c>
      <c r="BI37">
        <v>10</v>
      </c>
      <c r="BJ37" s="107">
        <f t="shared" si="20"/>
        <v>3.4723118506030346E-5</v>
      </c>
      <c r="BP37">
        <f t="shared" si="21"/>
        <v>8</v>
      </c>
      <c r="BQ37">
        <v>6</v>
      </c>
      <c r="BR37" s="107">
        <f t="shared" si="22"/>
        <v>1.1791463209605365E-4</v>
      </c>
    </row>
    <row r="38" spans="1:70" x14ac:dyDescent="0.25">
      <c r="A38" s="110" t="s">
        <v>125</v>
      </c>
      <c r="B38" s="107">
        <f>SUM(BJ4:BJ59)</f>
        <v>0.53824289584910767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2.463370635083699E-2</v>
      </c>
      <c r="BP38">
        <f>BL11+1</f>
        <v>8</v>
      </c>
      <c r="BQ38">
        <v>7</v>
      </c>
      <c r="BR38" s="107">
        <f t="shared" si="22"/>
        <v>4.0594500747361671E-5</v>
      </c>
    </row>
    <row r="39" spans="1:70" x14ac:dyDescent="0.25">
      <c r="A39" s="111" t="s">
        <v>126</v>
      </c>
      <c r="B39" s="107">
        <f>SUM(BR4:BR47)</f>
        <v>0.28686241832912457</v>
      </c>
      <c r="G39" s="128">
        <v>0</v>
      </c>
      <c r="H39" s="129">
        <f>L39*J39</f>
        <v>1.6581076073962548E-2</v>
      </c>
      <c r="I39" s="97">
        <v>0</v>
      </c>
      <c r="J39" s="98">
        <f t="shared" ref="J39:J49" si="26">Y39+AA39+AC39+AE39+AG39+AI39+AK39+AM39+AO39+AQ39+AS39</f>
        <v>2.3323118088328848E-2</v>
      </c>
      <c r="K39" s="102">
        <v>0</v>
      </c>
      <c r="L39" s="98">
        <f>AC20</f>
        <v>0.7109287879590982</v>
      </c>
      <c r="M39" s="84">
        <v>0</v>
      </c>
      <c r="N39" s="71">
        <f>(1-$C$24)^$B$21</f>
        <v>3.125E-2</v>
      </c>
      <c r="O39" s="70">
        <v>0</v>
      </c>
      <c r="P39" s="71">
        <f t="shared" ref="P39:P44" si="27">N39</f>
        <v>3.125E-2</v>
      </c>
      <c r="Q39" s="12">
        <v>0</v>
      </c>
      <c r="R39" s="73">
        <f>P39*N39</f>
        <v>9.765625E-4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9.6682128906250004E-4</v>
      </c>
      <c r="W39" s="134">
        <f>C31</f>
        <v>0.62570229526274812</v>
      </c>
      <c r="X39" s="12">
        <v>0</v>
      </c>
      <c r="Y39" s="79">
        <f>V39</f>
        <v>9.6682128906250004E-4</v>
      </c>
      <c r="Z39" s="12">
        <v>0</v>
      </c>
      <c r="AA39" s="78">
        <f>((1-W39)^Z40)*V40</f>
        <v>3.6224268686397593E-3</v>
      </c>
      <c r="AB39" s="12">
        <v>0</v>
      </c>
      <c r="AC39" s="79">
        <f>(((1-$W$39)^AB41))*V41</f>
        <v>6.1088879138696036E-3</v>
      </c>
      <c r="AD39" s="12">
        <v>0</v>
      </c>
      <c r="AE39" s="79">
        <f>(((1-$W$39)^AB42))*V42</f>
        <v>6.1067981419812376E-3</v>
      </c>
      <c r="AF39" s="12">
        <v>0</v>
      </c>
      <c r="AG39" s="79">
        <f>(((1-$W$39)^AB43))*V43</f>
        <v>4.0079612207107327E-3</v>
      </c>
      <c r="AH39" s="12">
        <v>0</v>
      </c>
      <c r="AI39" s="79">
        <f>(((1-$W$39)^AB44))*V44</f>
        <v>1.8049280919529276E-3</v>
      </c>
      <c r="AJ39" s="12">
        <v>0</v>
      </c>
      <c r="AK39" s="79">
        <f>(((1-$W$39)^AB45))*V45</f>
        <v>5.6504847743059925E-4</v>
      </c>
      <c r="AL39" s="12">
        <v>0</v>
      </c>
      <c r="AM39" s="79">
        <f>(((1-$W$39)^AB46))*V46</f>
        <v>1.2151843877274348E-4</v>
      </c>
      <c r="AN39" s="12">
        <v>0</v>
      </c>
      <c r="AO39" s="79">
        <f>(((1-$W$39)^AB47))*V47</f>
        <v>1.7212026780078332E-5</v>
      </c>
      <c r="AP39" s="12">
        <v>0</v>
      </c>
      <c r="AQ39" s="79">
        <f>(((1-$W$39)^AB48))*V48</f>
        <v>1.457594857744724E-6</v>
      </c>
      <c r="AR39" s="12">
        <v>0</v>
      </c>
      <c r="AS39" s="79">
        <f>(((1-$W$39)^AB49))*V49</f>
        <v>5.8024270917612163E-8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1.1545363242483541E-2</v>
      </c>
      <c r="BP39">
        <f t="shared" ref="BP39:BP46" si="28">BP31+1</f>
        <v>9</v>
      </c>
      <c r="BQ39">
        <v>0</v>
      </c>
      <c r="BR39" s="107">
        <f t="shared" ref="BR39:BR47" si="29">$H$34*H39</f>
        <v>4.4486431225956458E-6</v>
      </c>
    </row>
    <row r="40" spans="1:70" x14ac:dyDescent="0.25">
      <c r="G40" s="91">
        <v>1</v>
      </c>
      <c r="H40" s="130">
        <f>L39*J40+L40*J39</f>
        <v>8.1605266938989937E-2</v>
      </c>
      <c r="I40" s="93">
        <v>1</v>
      </c>
      <c r="J40" s="86">
        <f t="shared" si="26"/>
        <v>0.10633392973518861</v>
      </c>
      <c r="K40" s="95">
        <v>1</v>
      </c>
      <c r="L40" s="86">
        <f>AD20</f>
        <v>0.25765916592565569</v>
      </c>
      <c r="M40" s="85">
        <v>1</v>
      </c>
      <c r="N40" s="71">
        <f>(($C$24)^M26)*((1-($C$24))^($B$21-M26))*HLOOKUP($B$21,$AV$24:$BF$34,M26+1)</f>
        <v>0.15625</v>
      </c>
      <c r="O40" s="72">
        <v>1</v>
      </c>
      <c r="P40" s="71">
        <f t="shared" si="27"/>
        <v>0.15625</v>
      </c>
      <c r="Q40" s="28">
        <v>1</v>
      </c>
      <c r="R40" s="37">
        <f>P40*N39+P39*N40</f>
        <v>9.765625E-3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9.6779296874999997E-3</v>
      </c>
      <c r="W40" s="135"/>
      <c r="X40" s="28">
        <v>1</v>
      </c>
      <c r="Y40" s="73"/>
      <c r="Z40" s="28">
        <v>1</v>
      </c>
      <c r="AA40" s="79">
        <f>(1-((1-W39)^Z40))*V40</f>
        <v>6.0555028188602408E-3</v>
      </c>
      <c r="AB40" s="28">
        <v>1</v>
      </c>
      <c r="AC40" s="79">
        <f>((($W$39)^M40)*((1-($W$39))^($U$27-M40))*HLOOKUP($U$27,$AV$24:$BF$34,M40+1))*V41</f>
        <v>2.0424090988718557E-2</v>
      </c>
      <c r="AD40" s="28">
        <v>1</v>
      </c>
      <c r="AE40" s="79">
        <f>((($W$39)^M40)*((1-($W$39))^($U$28-M40))*HLOOKUP($U$28,$AV$24:$BF$34,M40+1))*V42</f>
        <v>3.0625656255302641E-2</v>
      </c>
      <c r="AF40" s="28">
        <v>1</v>
      </c>
      <c r="AG40" s="79">
        <f>((($W$39)^M40)*((1-($W$39))^($U$29-M40))*HLOOKUP($U$29,$AV$24:$BF$34,M40+1))*V43</f>
        <v>2.6799956327631783E-2</v>
      </c>
      <c r="AH40" s="28">
        <v>1</v>
      </c>
      <c r="AI40" s="79">
        <f>((($W$39)^M40)*((1-($W$39))^($U$30-M40))*HLOOKUP($U$30,$AV$24:$BF$34,M40+1))*V44</f>
        <v>1.5086221951480233E-2</v>
      </c>
      <c r="AJ40" s="28">
        <v>1</v>
      </c>
      <c r="AK40" s="79">
        <f>((($W$39)^M40)*((1-($W$39))^($U$31-M40))*HLOOKUP($U$31,$AV$24:$BF$34,M40+1))*V45</f>
        <v>5.6674479932154378E-3</v>
      </c>
      <c r="AL40" s="28">
        <v>1</v>
      </c>
      <c r="AM40" s="79">
        <f>((($W$39)^Q40)*((1-($W$39))^($U$32-Q40))*HLOOKUP($U$32,$AV$24:$BF$34,Q40+1))*V46</f>
        <v>1.4219712161248209E-3</v>
      </c>
      <c r="AN40" s="28">
        <v>1</v>
      </c>
      <c r="AO40" s="79">
        <f>((($W$39)^Q40)*((1-($W$39))^($U$33-Q40))*HLOOKUP($U$33,$AV$24:$BF$34,Q40+1))*V47</f>
        <v>2.3018264928937056E-4</v>
      </c>
      <c r="AP40" s="28">
        <v>1</v>
      </c>
      <c r="AQ40" s="79">
        <f>((($W$39)^Q40)*((1-($W$39))^($U$34-Q40))*HLOOKUP($U$34,$AV$24:$BF$34,Q40+1))*V48</f>
        <v>2.1929560156529481E-5</v>
      </c>
      <c r="AR40" s="28">
        <v>1</v>
      </c>
      <c r="AS40" s="79">
        <f>((($W$39)^Q40)*((1-($W$39))^($U$35-Q40))*HLOOKUP($U$35,$AV$24:$BF$34,Q40+1))*V49</f>
        <v>9.6997440899573101E-7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3.9747251756997665E-3</v>
      </c>
      <c r="BP40">
        <f t="shared" si="28"/>
        <v>9</v>
      </c>
      <c r="BQ40">
        <v>1</v>
      </c>
      <c r="BR40" s="107">
        <f t="shared" si="29"/>
        <v>2.1894399851755931E-5</v>
      </c>
    </row>
    <row r="41" spans="1:70" x14ac:dyDescent="0.25">
      <c r="G41" s="91">
        <v>2</v>
      </c>
      <c r="H41" s="130">
        <f>L39*J41+J40*L40+J39*L41</f>
        <v>0.18323572841762997</v>
      </c>
      <c r="I41" s="93">
        <v>2</v>
      </c>
      <c r="J41" s="86">
        <f t="shared" si="26"/>
        <v>0.2182237249625526</v>
      </c>
      <c r="K41" s="95">
        <v>2</v>
      </c>
      <c r="L41" s="86">
        <f>AE20</f>
        <v>2.9854004866755851E-2</v>
      </c>
      <c r="M41" s="85">
        <v>2</v>
      </c>
      <c r="N41" s="71">
        <f>(($C$24)^M27)*((1-($C$24))^($B$21-M27))*HLOOKUP($B$21,$AV$24:$BF$34,M27+1)</f>
        <v>0.3125</v>
      </c>
      <c r="O41" s="72">
        <v>2</v>
      </c>
      <c r="P41" s="71">
        <f t="shared" si="27"/>
        <v>0.3125</v>
      </c>
      <c r="Q41" s="28">
        <v>2</v>
      </c>
      <c r="R41" s="37">
        <f>P41*N39+P40*N40+P39*N41</f>
        <v>4.39453125E-2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4.3604150390624999E-2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1.707117148803684E-2</v>
      </c>
      <c r="AD41" s="28">
        <v>2</v>
      </c>
      <c r="AE41" s="79">
        <f>((($W$39)^M41)*((1-($W$39))^($U$28-M41))*HLOOKUP($U$28,$AV$24:$BF$34,M41+1))*V42</f>
        <v>5.1195994980312409E-2</v>
      </c>
      <c r="AF41" s="28">
        <v>2</v>
      </c>
      <c r="AG41" s="79">
        <f>((($W$39)^M41)*((1-($W$39))^($U$29-M41))*HLOOKUP($U$29,$AV$24:$BF$34,M41+1))*V43</f>
        <v>6.7201029988596561E-2</v>
      </c>
      <c r="AH41" s="28">
        <v>2</v>
      </c>
      <c r="AI41" s="79">
        <f>((($W$39)^M41)*((1-($W$39))^($U$30-M41))*HLOOKUP($U$30,$AV$24:$BF$34,M41+1))*V44</f>
        <v>5.0438373425296487E-2</v>
      </c>
      <c r="AJ41" s="28">
        <v>2</v>
      </c>
      <c r="AK41" s="79">
        <f>((($W$39)^M41)*((1-($W$39))^($U$31-M41))*HLOOKUP($U$31,$AV$24:$BF$34,M41+1))*V45</f>
        <v>2.3685258904582771E-2</v>
      </c>
      <c r="AL41" s="28">
        <v>2</v>
      </c>
      <c r="AM41" s="79">
        <f>((($W$39)^Q41)*((1-($W$39))^($U$32-Q41))*HLOOKUP($U$32,$AV$24:$BF$34,Q41+1))*V46</f>
        <v>7.1312004519351645E-3</v>
      </c>
      <c r="AN41" s="28">
        <v>2</v>
      </c>
      <c r="AO41" s="79">
        <f>((($W$39)^Q41)*((1-($W$39))^($U$33-Q41))*HLOOKUP($U$33,$AV$24:$BF$34,Q41+1))*V47</f>
        <v>1.3467631128513788E-3</v>
      </c>
      <c r="AP41" s="28">
        <v>2</v>
      </c>
      <c r="AQ41" s="79">
        <f>((($W$39)^Q41)*((1-($W$39))^($U$34-Q41))*HLOOKUP($U$34,$AV$24:$BF$34,Q41+1))*V48</f>
        <v>1.4663596330279489E-4</v>
      </c>
      <c r="AR41" s="28">
        <v>2</v>
      </c>
      <c r="AS41" s="79">
        <f>((($W$39)^Q41)*((1-($W$39))^($U$35-Q41))*HLOOKUP($U$35,$AV$24:$BF$34,Q41+1))*V49</f>
        <v>7.2966476381777041E-6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1.0030010395079279E-3</v>
      </c>
      <c r="BP41">
        <f t="shared" si="28"/>
        <v>9</v>
      </c>
      <c r="BQ41">
        <v>2</v>
      </c>
      <c r="BR41" s="107">
        <f t="shared" si="29"/>
        <v>4.9161487433190957E-5</v>
      </c>
    </row>
    <row r="42" spans="1:70" ht="15" customHeight="1" x14ac:dyDescent="0.25">
      <c r="G42" s="91">
        <v>3</v>
      </c>
      <c r="H42" s="130">
        <f>J42*L39+J41*L40+L42*J39+L41*J40</f>
        <v>0.2481921520245913</v>
      </c>
      <c r="I42" s="93">
        <v>3</v>
      </c>
      <c r="J42" s="86">
        <f t="shared" si="26"/>
        <v>0.26550335311582463</v>
      </c>
      <c r="K42" s="95">
        <v>3</v>
      </c>
      <c r="L42" s="86">
        <f>AF20</f>
        <v>1.5580412484902662E-3</v>
      </c>
      <c r="M42" s="85">
        <v>3</v>
      </c>
      <c r="N42" s="71">
        <f>(($C$24)^M28)*((1-($C$24))^($B$21-M28))*HLOOKUP($B$21,$AV$24:$BF$34,M28+1)</f>
        <v>0.3125</v>
      </c>
      <c r="O42" s="72">
        <v>3</v>
      </c>
      <c r="P42" s="71">
        <f t="shared" si="27"/>
        <v>0.3125</v>
      </c>
      <c r="Q42" s="28">
        <v>3</v>
      </c>
      <c r="R42" s="37">
        <f>P42*N39+P41*N40+P40*N41+P39*N42</f>
        <v>0.1171875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0.1164560546875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2.8527605309903718E-2</v>
      </c>
      <c r="AF42" s="28">
        <v>3</v>
      </c>
      <c r="AG42" s="79">
        <f>((($W$39)^M42)*((1-($W$39))^($U$29-M42))*HLOOKUP($U$29,$AV$24:$BF$34,M42+1))*V43</f>
        <v>7.4891969993782032E-2</v>
      </c>
      <c r="AH42" s="28">
        <v>3</v>
      </c>
      <c r="AI42" s="79">
        <f>((($W$39)^M42)*((1-($W$39))^($U$30-M42))*HLOOKUP($U$30,$AV$24:$BF$34,M42+1))*V44</f>
        <v>8.4316322601234117E-2</v>
      </c>
      <c r="AJ42" s="28">
        <v>3</v>
      </c>
      <c r="AK42" s="79">
        <f>((($W$39)^M42)*((1-($W$39))^($U$31-M42))*HLOOKUP($U$31,$AV$24:$BF$34,M42+1))*V45</f>
        <v>5.2791919989261367E-2</v>
      </c>
      <c r="AL42" s="28">
        <v>3</v>
      </c>
      <c r="AM42" s="79">
        <f>((($W$39)^Q42)*((1-($W$39))^($U$32-Q42))*HLOOKUP($U$32,$AV$24:$BF$34,Q42+1))*V46</f>
        <v>1.9868358057778292E-2</v>
      </c>
      <c r="AN42" s="28">
        <v>3</v>
      </c>
      <c r="AO42" s="79">
        <f>((($W$39)^Q42)*((1-($W$39))^($U$33-Q42))*HLOOKUP($U$33,$AV$24:$BF$34,Q42+1))*V47</f>
        <v>4.5026873540560319E-3</v>
      </c>
      <c r="AP42" s="28">
        <v>3</v>
      </c>
      <c r="AQ42" s="79">
        <f>((($W$39)^Q42)*((1-($W$39))^($U$34-Q42))*HLOOKUP($U$34,$AV$24:$BF$34,Q42+1))*V48</f>
        <v>5.7196290859545123E-4</v>
      </c>
      <c r="AR42" s="28">
        <v>3</v>
      </c>
      <c r="AS42" s="79">
        <f>((($W$39)^Q42)*((1-($W$39))^($U$35-Q42))*HLOOKUP($U$35,$AV$24:$BF$34,Q42+1))*V49</f>
        <v>3.2526901213647166E-5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1.8295898069759582E-4</v>
      </c>
      <c r="BP42">
        <f t="shared" si="28"/>
        <v>9</v>
      </c>
      <c r="BQ42">
        <v>3</v>
      </c>
      <c r="BR42" s="107">
        <f t="shared" si="29"/>
        <v>6.6589062450549908E-5</v>
      </c>
    </row>
    <row r="43" spans="1:70" ht="15" customHeight="1" x14ac:dyDescent="0.25">
      <c r="G43" s="91">
        <v>4</v>
      </c>
      <c r="H43" s="130">
        <f>J43*L39+J42*L40+J41*L41+J40*L42</f>
        <v>0.22588690034616293</v>
      </c>
      <c r="I43" s="93">
        <v>4</v>
      </c>
      <c r="J43" s="86">
        <f t="shared" si="26"/>
        <v>0.21211266949684329</v>
      </c>
      <c r="K43" s="95">
        <v>4</v>
      </c>
      <c r="L43" s="86"/>
      <c r="M43" s="85">
        <v>4</v>
      </c>
      <c r="N43" s="71">
        <f>(($C$24)^M29)*((1-($C$24))^($B$21-M29))*HLOOKUP($B$21,$AV$24:$BF$34,M29+1)</f>
        <v>0.15625</v>
      </c>
      <c r="O43" s="72">
        <v>4</v>
      </c>
      <c r="P43" s="71">
        <f t="shared" si="27"/>
        <v>0.15625</v>
      </c>
      <c r="Q43" s="28">
        <v>4</v>
      </c>
      <c r="R43" s="37">
        <f>P43*N39+P42*N40+P41*N41+P40*N42+P39*N43</f>
        <v>0.205078125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0.20419958496093749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3.1298667430216372E-2</v>
      </c>
      <c r="AH43" s="28">
        <v>4</v>
      </c>
      <c r="AI43" s="79">
        <f>((($W$39)^M43)*((1-($W$39))^($U$30-M43))*HLOOKUP($U$30,$AV$24:$BF$34,M43+1))*V44</f>
        <v>7.0474539266465214E-2</v>
      </c>
      <c r="AJ43" s="28">
        <v>4</v>
      </c>
      <c r="AK43" s="79">
        <f>((($W$39)^M43)*((1-($W$39))^($U$31-M43))*HLOOKUP($U$31,$AV$24:$BF$34,M43+1))*V45</f>
        <v>6.6188007080745834E-2</v>
      </c>
      <c r="AL43" s="28">
        <v>4</v>
      </c>
      <c r="AM43" s="79">
        <f>((($W$39)^Q43)*((1-($W$39))^($U$32-Q43))*HLOOKUP($U$32,$AV$24:$BF$34,Q43+1))*V46</f>
        <v>3.3213340831413155E-2</v>
      </c>
      <c r="AN43" s="28">
        <v>4</v>
      </c>
      <c r="AO43" s="79">
        <f>((($W$39)^Q43)*((1-($W$39))^($U$33-Q43))*HLOOKUP($U$33,$AV$24:$BF$34,Q43+1))*V47</f>
        <v>9.4087599811128811E-3</v>
      </c>
      <c r="AP43" s="28">
        <v>4</v>
      </c>
      <c r="AQ43" s="79">
        <f>((($W$39)^Q43)*((1-($W$39))^($U$34-Q43))*HLOOKUP($U$34,$AV$24:$BF$34,Q43+1))*V48</f>
        <v>1.434199970440188E-3</v>
      </c>
      <c r="AR43" s="28">
        <v>4</v>
      </c>
      <c r="AS43" s="79">
        <f>((($W$39)^Q43)*((1-($W$39))^($U$35-Q43))*HLOOKUP($U$35,$AV$24:$BF$34,Q43+1))*V49</f>
        <v>9.5154936449685812E-5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2.3455679627889212E-5</v>
      </c>
      <c r="BP43">
        <f t="shared" si="28"/>
        <v>9</v>
      </c>
      <c r="BQ43">
        <v>4</v>
      </c>
      <c r="BR43" s="107">
        <f t="shared" si="29"/>
        <v>6.0604643584465314E-5</v>
      </c>
    </row>
    <row r="44" spans="1:70" ht="15" customHeight="1" x14ac:dyDescent="0.25">
      <c r="G44" s="91">
        <v>5</v>
      </c>
      <c r="H44" s="130">
        <f>J44*L39+J43*L40+J42*L41+J41*L42</f>
        <v>0.14560294494229817</v>
      </c>
      <c r="I44" s="93">
        <v>5</v>
      </c>
      <c r="J44" s="86">
        <f t="shared" si="26"/>
        <v>0.11630395741026539</v>
      </c>
      <c r="K44" s="95">
        <v>5</v>
      </c>
      <c r="L44" s="86"/>
      <c r="M44" s="85">
        <v>5</v>
      </c>
      <c r="N44" s="71">
        <f>(($C$24)^M30)*((1-($C$24))^($B$21-M30))*HLOOKUP($B$21,$AV$24:$BF$34,M30+1)</f>
        <v>3.125E-2</v>
      </c>
      <c r="O44" s="72">
        <v>5</v>
      </c>
      <c r="P44" s="71">
        <f t="shared" si="27"/>
        <v>3.125E-2</v>
      </c>
      <c r="Q44" s="28">
        <v>5</v>
      </c>
      <c r="R44" s="37">
        <f>P44*N39+P43*N40+P42*N41+P41*N42+P40*N43+P39*N44</f>
        <v>0.24609375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0.245682421875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2.3562036538571005E-2</v>
      </c>
      <c r="AJ44" s="28">
        <v>5</v>
      </c>
      <c r="AK44" s="79">
        <f>((($W$39)^M44)*((1-($W$39))^($U$31-M44))*HLOOKUP($U$31,$AV$24:$BF$34,M44+1))*V45</f>
        <v>4.4257805939110779E-2</v>
      </c>
      <c r="AL44" s="28">
        <v>5</v>
      </c>
      <c r="AM44" s="79">
        <f>((($W$39)^Q44)*((1-($W$39))^($U$32-Q44))*HLOOKUP($U$32,$AV$24:$BF$34,Q44+1))*V46</f>
        <v>3.3313050005712538E-2</v>
      </c>
      <c r="AN44" s="28">
        <v>5</v>
      </c>
      <c r="AO44" s="79">
        <f>((($W$39)^Q44)*((1-($W$39))^($U$33-Q44))*HLOOKUP($U$33,$AV$24:$BF$34,Q44+1))*V47</f>
        <v>1.2582674467408156E-2</v>
      </c>
      <c r="AP44" s="28">
        <v>5</v>
      </c>
      <c r="AQ44" s="79">
        <f>((($W$39)^Q44)*((1-($W$39))^($U$34-Q44))*HLOOKUP($U$34,$AV$24:$BF$34,Q44+1))*V48</f>
        <v>2.3975092607103538E-3</v>
      </c>
      <c r="AR44" s="28">
        <v>5</v>
      </c>
      <c r="AS44" s="79">
        <f>((($W$39)^Q44)*((1-($W$39))^($U$35-Q44))*HLOOKUP($U$35,$AV$24:$BF$34,Q44+1))*V49</f>
        <v>1.9088119875256221E-4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5.6463410856305296E-3</v>
      </c>
      <c r="BP44">
        <f t="shared" si="28"/>
        <v>9</v>
      </c>
      <c r="BQ44">
        <v>5</v>
      </c>
      <c r="BR44" s="107">
        <f t="shared" si="29"/>
        <v>3.9064746869135572E-5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6.8241411365084603E-2</v>
      </c>
      <c r="I45" s="93">
        <v>6</v>
      </c>
      <c r="J45" s="86">
        <f t="shared" si="26"/>
        <v>4.4348398033208211E-2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0.205078125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0.20548623046875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1.2330742084403186E-2</v>
      </c>
      <c r="AL45" s="28">
        <v>6</v>
      </c>
      <c r="AM45" s="79">
        <f>((($W$39)^Q45)*((1-($W$39))^($U$32-Q45))*HLOOKUP($U$32,$AV$24:$BF$34,Q45+1))*V46</f>
        <v>1.8562810286185668E-2</v>
      </c>
      <c r="AN45" s="28">
        <v>6</v>
      </c>
      <c r="AO45" s="79">
        <f>((($W$39)^Q45)*((1-($W$39))^($U$33-Q45))*HLOOKUP($U$33,$AV$24:$BF$34,Q45+1))*V47</f>
        <v>1.0517040573796634E-2</v>
      </c>
      <c r="AP45" s="28">
        <v>6</v>
      </c>
      <c r="AQ45" s="79">
        <f>((($W$39)^Q45)*((1-($W$39))^($U$34-Q45))*HLOOKUP($U$34,$AV$24:$BF$34,Q45+1))*V48</f>
        <v>2.6718964224715486E-3</v>
      </c>
      <c r="AR45" s="28">
        <v>6</v>
      </c>
      <c r="AS45" s="79">
        <f>((($W$39)^Q45)*((1-($W$39))^($U$35-Q45))*HLOOKUP($U$35,$AV$24:$BF$34,Q45+1))*V49</f>
        <v>2.6590866635116774E-4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1.9438672991302041E-3</v>
      </c>
      <c r="BP45">
        <f t="shared" si="28"/>
        <v>9</v>
      </c>
      <c r="BQ45">
        <v>6</v>
      </c>
      <c r="BR45" s="107">
        <f t="shared" si="29"/>
        <v>1.8308925427477032E-5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2.3493488258559014E-2</v>
      </c>
      <c r="I46" s="93">
        <v>7</v>
      </c>
      <c r="J46" s="86">
        <f t="shared" si="26"/>
        <v>1.16243679426111E-2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0.1171875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0.11806523437500001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4.4329850870776146E-3</v>
      </c>
      <c r="AN46" s="28">
        <v>7</v>
      </c>
      <c r="AO46" s="79">
        <f>((($W$39)^Q46)*((1-($W$39))^($U$33-Q46))*HLOOKUP($U$33,$AV$24:$BF$34,Q46+1))*V47</f>
        <v>5.023149329767853E-3</v>
      </c>
      <c r="AP46" s="28">
        <v>7</v>
      </c>
      <c r="AQ46" s="79">
        <f>((($W$39)^Q46)*((1-($W$39))^($U$34-Q46))*HLOOKUP($U$34,$AV$24:$BF$34,Q46+1))*V48</f>
        <v>1.9142269105417175E-3</v>
      </c>
      <c r="AR46" s="28">
        <v>7</v>
      </c>
      <c r="AS46" s="79">
        <f>((($W$39)^Q46)*((1-($W$39))^($U$35-Q46))*HLOOKUP($U$35,$AV$24:$BF$34,Q46+1))*V49</f>
        <v>2.5400661522391498E-4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4.9052471190031647E-4</v>
      </c>
      <c r="BP46">
        <f t="shared" si="28"/>
        <v>9</v>
      </c>
      <c r="BQ46">
        <v>7</v>
      </c>
      <c r="BR46" s="107">
        <f t="shared" si="29"/>
        <v>6.3032184703223125E-6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5.9284584728184269E-3</v>
      </c>
      <c r="I47" s="93">
        <v>8</v>
      </c>
      <c r="J47" s="86">
        <f t="shared" si="26"/>
        <v>2.0088508086556975E-3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4.39453125E-2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4.4678100585937498E-2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1.0496310908751059E-3</v>
      </c>
      <c r="AP47" s="28">
        <v>8</v>
      </c>
      <c r="AQ47" s="79">
        <f>((($W$39)^Q47)*((1-($W$39))^($U$34-Q47))*HLOOKUP($U$34,$AV$24:$BF$34,Q47+1))*V48</f>
        <v>7.9998899032820297E-4</v>
      </c>
      <c r="AR47" s="28">
        <v>8</v>
      </c>
      <c r="AS47" s="79">
        <f>((($W$39)^Q47)*((1-($W$39))^($U$35-Q47))*HLOOKUP($U$35,$AV$24:$BF$34,Q47+1))*V49</f>
        <v>1.5923072745238864E-4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8.9477376155355816E-5</v>
      </c>
      <c r="BP47">
        <f>BL12+1</f>
        <v>9</v>
      </c>
      <c r="BQ47">
        <v>8</v>
      </c>
      <c r="BR47" s="107">
        <f t="shared" si="29"/>
        <v>1.5905841029287801E-6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1.0814193371394922E-3</v>
      </c>
      <c r="I48" s="93">
        <v>9</v>
      </c>
      <c r="J48" s="86">
        <f t="shared" si="26"/>
        <v>2.0774224541432964E-4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9.765625E-3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1.0108398437499999E-2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1.4859085609546572E-4</v>
      </c>
      <c r="AR48" s="28">
        <v>9</v>
      </c>
      <c r="AS48" s="79">
        <f>((($W$39)^Q48)*((1-($W$39))^($U$35-Q48))*HLOOKUP($U$35,$AV$24:$BF$34,Q48+1))*V49</f>
        <v>5.9151389318863927E-5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1.1471165072312508E-5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1.3863995863244092E-4</v>
      </c>
      <c r="I49" s="94">
        <v>10</v>
      </c>
      <c r="J49" s="89">
        <f t="shared" si="26"/>
        <v>9.8881611071525321E-6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9.765625E-4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1.0750732421874742E-3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9.8881611071525321E-6</v>
      </c>
      <c r="BH49">
        <f>BP14+1</f>
        <v>6</v>
      </c>
      <c r="BI49">
        <v>0</v>
      </c>
      <c r="BJ49" s="107">
        <f>$H$31*H39</f>
        <v>5.0017303726768961E-4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7.0868798417424151E-4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1.7883369375051205E-4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3.2621332415599236E-5</v>
      </c>
    </row>
    <row r="53" spans="1:62" x14ac:dyDescent="0.25">
      <c r="BH53">
        <f>BH48+1</f>
        <v>6</v>
      </c>
      <c r="BI53">
        <v>10</v>
      </c>
      <c r="BJ53" s="107">
        <f>$H$31*H49</f>
        <v>4.1821151345386107E-6</v>
      </c>
    </row>
    <row r="54" spans="1:62" x14ac:dyDescent="0.25">
      <c r="BH54">
        <f>BH51+1</f>
        <v>7</v>
      </c>
      <c r="BI54">
        <v>8</v>
      </c>
      <c r="BJ54" s="107">
        <f>$H$32*H47</f>
        <v>4.9240939894940241E-5</v>
      </c>
    </row>
    <row r="55" spans="1:62" x14ac:dyDescent="0.25">
      <c r="BH55">
        <f>BH52+1</f>
        <v>7</v>
      </c>
      <c r="BI55">
        <v>9</v>
      </c>
      <c r="BJ55" s="107">
        <f>$H$32*H48</f>
        <v>8.9821164853325539E-6</v>
      </c>
    </row>
    <row r="56" spans="1:62" x14ac:dyDescent="0.25">
      <c r="BH56">
        <f>BH53+1</f>
        <v>7</v>
      </c>
      <c r="BI56">
        <v>10</v>
      </c>
      <c r="BJ56" s="107">
        <f>$H$32*H49</f>
        <v>1.1515239419078766E-6</v>
      </c>
    </row>
    <row r="57" spans="1:62" x14ac:dyDescent="0.25">
      <c r="BH57">
        <f>BH55+1</f>
        <v>8</v>
      </c>
      <c r="BI57">
        <v>9</v>
      </c>
      <c r="BJ57" s="107">
        <f>$H$33*H48</f>
        <v>1.8685891855045068E-6</v>
      </c>
    </row>
    <row r="58" spans="1:62" x14ac:dyDescent="0.25">
      <c r="BH58">
        <f>BH56+1</f>
        <v>8</v>
      </c>
      <c r="BI58">
        <v>10</v>
      </c>
      <c r="BJ58" s="107">
        <f>$H$33*H49</f>
        <v>2.3955658871851208E-7</v>
      </c>
    </row>
    <row r="59" spans="1:62" x14ac:dyDescent="0.25">
      <c r="BH59">
        <f>BH58+1</f>
        <v>9</v>
      </c>
      <c r="BI59">
        <v>10</v>
      </c>
      <c r="BJ59" s="107">
        <f>$H$34*H49</f>
        <v>3.7196602665351611E-8</v>
      </c>
    </row>
  </sheetData>
  <mergeCells count="2">
    <mergeCell ref="P1:Q1"/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W16" sqref="W16"/>
    </sheetView>
  </sheetViews>
  <sheetFormatPr baseColWidth="10" defaultRowHeight="15" x14ac:dyDescent="0.25"/>
  <cols>
    <col min="4" max="4" width="12.42578125" bestFit="1" customWidth="1"/>
    <col min="7" max="8" width="11.42578125" style="158"/>
    <col min="9" max="9" width="4.5703125" bestFit="1" customWidth="1"/>
    <col min="10" max="10" width="5.140625" bestFit="1" customWidth="1"/>
    <col min="11" max="13" width="4.5703125" style="158" bestFit="1" customWidth="1"/>
    <col min="14" max="14" width="4.7109375" style="158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58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236"/>
      <c r="B1" s="236"/>
      <c r="C1" s="236"/>
      <c r="D1" s="236"/>
      <c r="Q1" s="184"/>
      <c r="S1" s="184"/>
    </row>
    <row r="2" spans="1:32" x14ac:dyDescent="0.25">
      <c r="A2" s="248" t="s">
        <v>161</v>
      </c>
      <c r="B2" s="248" t="s">
        <v>162</v>
      </c>
      <c r="C2" s="248" t="s">
        <v>28</v>
      </c>
      <c r="D2" s="248" t="s">
        <v>163</v>
      </c>
      <c r="E2" s="291" t="s">
        <v>184</v>
      </c>
      <c r="I2" s="276">
        <v>1.5</v>
      </c>
      <c r="J2" s="276">
        <v>2.5</v>
      </c>
      <c r="K2" s="276">
        <v>3.5</v>
      </c>
      <c r="L2" s="212"/>
      <c r="M2" s="211"/>
      <c r="N2" s="213"/>
      <c r="O2" s="212"/>
      <c r="P2" s="212"/>
      <c r="Q2" s="212"/>
      <c r="R2" s="212">
        <f>COUNTIF(F18:G18,"JC")</f>
        <v>0</v>
      </c>
      <c r="S2" s="211"/>
      <c r="T2" s="212">
        <f>COUNTIF(J6:L6,"CAB")+COUNTIF(I5:M5,"CAB")</f>
        <v>2</v>
      </c>
      <c r="U2" s="294">
        <f>COUNTIF(J11:L11,"CAB")+COUNTIF(I10:M10,"CAB")</f>
        <v>0</v>
      </c>
      <c r="V2" s="293"/>
      <c r="W2" s="214"/>
      <c r="X2" s="214"/>
      <c r="Y2" s="211"/>
      <c r="Z2" s="31"/>
      <c r="AA2" s="31"/>
      <c r="AB2" s="31"/>
      <c r="AC2" s="31"/>
    </row>
    <row r="3" spans="1:32" ht="18.75" x14ac:dyDescent="0.3">
      <c r="A3" s="237">
        <v>5</v>
      </c>
      <c r="B3" s="237">
        <v>6</v>
      </c>
      <c r="C3" s="250">
        <v>0.45</v>
      </c>
      <c r="D3" s="237" t="s">
        <v>173</v>
      </c>
      <c r="E3" s="184">
        <f>C3/B3</f>
        <v>7.4999999999999997E-2</v>
      </c>
      <c r="I3" s="236"/>
      <c r="J3" s="236"/>
      <c r="K3" s="236"/>
      <c r="L3" s="236"/>
      <c r="M3" s="236"/>
      <c r="N3" s="236"/>
      <c r="O3" s="236"/>
      <c r="P3" s="236"/>
      <c r="Q3" s="236"/>
      <c r="R3" s="252">
        <f>SUM(R5:R16)</f>
        <v>3.5750000000000002</v>
      </c>
      <c r="S3" s="236"/>
      <c r="T3" s="238"/>
      <c r="U3" s="238"/>
      <c r="V3" s="189">
        <f>SUM(V5:V16)</f>
        <v>2.1</v>
      </c>
      <c r="W3" s="189">
        <f>SUM(W5:W16)</f>
        <v>3.5749999999999997</v>
      </c>
      <c r="X3" s="298">
        <f t="shared" ref="X3:Y3" si="0">SUM(X5:X16)</f>
        <v>2.1279761904761902</v>
      </c>
      <c r="Y3" s="299">
        <f t="shared" si="0"/>
        <v>0.35749999999999998</v>
      </c>
      <c r="Z3" s="31"/>
      <c r="AA3" s="31"/>
      <c r="AB3" s="31"/>
      <c r="AC3" s="31"/>
    </row>
    <row r="4" spans="1:32" x14ac:dyDescent="0.25">
      <c r="A4" s="237">
        <v>6</v>
      </c>
      <c r="B4" s="237">
        <v>8</v>
      </c>
      <c r="C4" s="250">
        <v>0.35</v>
      </c>
      <c r="D4" s="237" t="s">
        <v>174</v>
      </c>
      <c r="E4" s="184">
        <f t="shared" ref="E4:E14" si="1">C4/B4</f>
        <v>4.3749999999999997E-2</v>
      </c>
      <c r="I4" s="239"/>
      <c r="J4" s="240"/>
      <c r="K4" s="270" t="s">
        <v>157</v>
      </c>
      <c r="L4" s="239"/>
      <c r="M4" s="239"/>
      <c r="N4" s="236"/>
      <c r="O4" s="248" t="s">
        <v>161</v>
      </c>
      <c r="P4" s="248" t="s">
        <v>162</v>
      </c>
      <c r="Q4" s="248" t="s">
        <v>28</v>
      </c>
      <c r="R4" s="248" t="s">
        <v>28</v>
      </c>
      <c r="S4" s="248" t="s">
        <v>163</v>
      </c>
      <c r="T4" s="253" t="s">
        <v>164</v>
      </c>
      <c r="U4" s="255" t="s">
        <v>165</v>
      </c>
      <c r="V4" s="248" t="s">
        <v>28</v>
      </c>
      <c r="W4" s="248" t="s">
        <v>166</v>
      </c>
      <c r="X4" s="253" t="s">
        <v>167</v>
      </c>
      <c r="Y4" s="255" t="s">
        <v>168</v>
      </c>
      <c r="Z4" s="31"/>
      <c r="AA4" s="31"/>
      <c r="AB4" s="31"/>
      <c r="AC4" s="31"/>
    </row>
    <row r="5" spans="1:32" x14ac:dyDescent="0.25">
      <c r="A5" s="237">
        <v>8</v>
      </c>
      <c r="B5" s="237">
        <v>13</v>
      </c>
      <c r="C5" s="250">
        <v>0.45</v>
      </c>
      <c r="D5" s="237" t="s">
        <v>37</v>
      </c>
      <c r="E5" s="184">
        <f t="shared" si="1"/>
        <v>3.4615384615384617E-2</v>
      </c>
      <c r="I5" s="270" t="s">
        <v>157</v>
      </c>
      <c r="J5" s="270" t="s">
        <v>144</v>
      </c>
      <c r="K5" s="270" t="s">
        <v>157</v>
      </c>
      <c r="L5" s="270" t="s">
        <v>144</v>
      </c>
      <c r="M5" s="270" t="s">
        <v>157</v>
      </c>
      <c r="N5" s="236"/>
      <c r="O5" s="237">
        <v>5</v>
      </c>
      <c r="P5" s="237">
        <v>6</v>
      </c>
      <c r="Q5" s="250">
        <v>0.45</v>
      </c>
      <c r="R5" s="250">
        <f>IF($N$1=2,Q5*$G$1/$E$1,IF($N$1=1,Q5*$F$1/$E$1,Q5))</f>
        <v>0.45</v>
      </c>
      <c r="S5" s="237" t="s">
        <v>173</v>
      </c>
      <c r="T5" s="240">
        <f>COUNTIF(I4:M5,"IMP")</f>
        <v>0</v>
      </c>
      <c r="U5" s="242">
        <f>COUNTIF(I9:M10,"IMP")</f>
        <v>0</v>
      </c>
      <c r="V5" s="249">
        <f t="shared" ref="V5:V15" si="2">IF(T5+U5=0,0,R5)</f>
        <v>0</v>
      </c>
      <c r="W5" s="249">
        <f>V5*$R$3/$V$3</f>
        <v>0</v>
      </c>
      <c r="X5" s="254">
        <f>IF(W5=0,0,W5*(T5^2.7/(T5^2.7+U5^2.7))*T5/P5)</f>
        <v>0</v>
      </c>
      <c r="Y5" s="256">
        <f>IF(W5=0,0,W5*U5^2.7/(T5^2.7+U5^2.7)*U5/P5)</f>
        <v>0</v>
      </c>
      <c r="Z5" s="31"/>
      <c r="AA5" s="31"/>
      <c r="AB5" s="31"/>
      <c r="AC5" s="31"/>
    </row>
    <row r="6" spans="1:32" x14ac:dyDescent="0.25">
      <c r="A6" s="237">
        <v>9</v>
      </c>
      <c r="B6" s="237">
        <v>8</v>
      </c>
      <c r="C6" s="250">
        <v>0.02</v>
      </c>
      <c r="D6" s="237" t="s">
        <v>175</v>
      </c>
      <c r="E6" s="184">
        <f t="shared" si="1"/>
        <v>2.5000000000000001E-3</v>
      </c>
      <c r="I6" s="270" t="s">
        <v>1</v>
      </c>
      <c r="J6" s="270" t="s">
        <v>1</v>
      </c>
      <c r="K6" s="270" t="s">
        <v>1</v>
      </c>
      <c r="L6" s="270" t="s">
        <v>1</v>
      </c>
      <c r="M6" s="270" t="s">
        <v>1</v>
      </c>
      <c r="N6" s="236"/>
      <c r="O6" s="237">
        <v>6</v>
      </c>
      <c r="P6" s="237">
        <v>8</v>
      </c>
      <c r="Q6" s="250">
        <v>0.35</v>
      </c>
      <c r="R6" s="250">
        <f t="shared" ref="R6:R16" si="3">IF($N$1=2,Q6*$G$1/$E$1,IF($N$1=1,Q6*$F$1/$E$1,Q6))</f>
        <v>0.35</v>
      </c>
      <c r="S6" s="237" t="s">
        <v>174</v>
      </c>
      <c r="T6" s="240">
        <f>COUNTIF(I6:M7,"IMP")</f>
        <v>0</v>
      </c>
      <c r="U6" s="242">
        <f>COUNTIF(I11:M12,"IMP")</f>
        <v>0</v>
      </c>
      <c r="V6" s="249">
        <f t="shared" si="2"/>
        <v>0</v>
      </c>
      <c r="W6" s="249">
        <f t="shared" ref="W6:W16" si="4">V6*$R$3/$V$3</f>
        <v>0</v>
      </c>
      <c r="X6" s="254">
        <f t="shared" ref="X6:X10" si="5">IF(W6=0,0,W6*(T6^2.7/(T6^2.7+U6^2.7))*T6/P6)</f>
        <v>0</v>
      </c>
      <c r="Y6" s="256">
        <f t="shared" ref="Y6:Y10" si="6">IF(W6=0,0,W6*U6^2.7/(T6^2.7+U6^2.7)*U6/P6)</f>
        <v>0</v>
      </c>
      <c r="Z6" s="31"/>
      <c r="AA6" s="31"/>
      <c r="AB6" s="31"/>
      <c r="AC6" s="31"/>
    </row>
    <row r="7" spans="1:32" x14ac:dyDescent="0.25">
      <c r="A7" s="237">
        <v>15</v>
      </c>
      <c r="B7" s="237">
        <v>8</v>
      </c>
      <c r="C7" s="250">
        <v>0.5</v>
      </c>
      <c r="D7" s="237" t="s">
        <v>176</v>
      </c>
      <c r="E7" s="184">
        <f>C7/B7</f>
        <v>6.25E-2</v>
      </c>
      <c r="I7" s="239"/>
      <c r="J7" s="270" t="s">
        <v>1</v>
      </c>
      <c r="K7" s="270" t="s">
        <v>1</v>
      </c>
      <c r="L7" s="270" t="s">
        <v>1</v>
      </c>
      <c r="M7" s="239"/>
      <c r="N7" s="236"/>
      <c r="O7" s="237">
        <v>8</v>
      </c>
      <c r="P7" s="237">
        <v>13</v>
      </c>
      <c r="Q7" s="250">
        <v>0.45</v>
      </c>
      <c r="R7" s="250">
        <f t="shared" si="3"/>
        <v>0.45</v>
      </c>
      <c r="S7" s="237" t="s">
        <v>37</v>
      </c>
      <c r="T7" s="240">
        <f>COUNTIF(I5:M7,"IMP")</f>
        <v>0</v>
      </c>
      <c r="U7" s="242">
        <f>COUNTIF(I10:M12,"IMP")</f>
        <v>0</v>
      </c>
      <c r="V7" s="249">
        <f t="shared" si="2"/>
        <v>0</v>
      </c>
      <c r="W7" s="249">
        <f t="shared" si="4"/>
        <v>0</v>
      </c>
      <c r="X7" s="254">
        <f t="shared" si="5"/>
        <v>0</v>
      </c>
      <c r="Y7" s="256">
        <f t="shared" si="6"/>
        <v>0</v>
      </c>
      <c r="Z7" s="31"/>
      <c r="AA7" s="31"/>
      <c r="AB7" s="31"/>
      <c r="AC7" s="31"/>
    </row>
    <row r="8" spans="1:32" x14ac:dyDescent="0.25">
      <c r="A8" s="237">
        <v>16</v>
      </c>
      <c r="B8" s="237">
        <v>8</v>
      </c>
      <c r="C8" s="250">
        <v>0.5</v>
      </c>
      <c r="D8" s="237" t="s">
        <v>177</v>
      </c>
      <c r="E8" s="184">
        <f t="shared" si="1"/>
        <v>6.25E-2</v>
      </c>
      <c r="I8" s="238"/>
      <c r="J8" s="238"/>
      <c r="K8" s="238"/>
      <c r="L8" s="238"/>
      <c r="M8" s="238"/>
      <c r="N8" s="236"/>
      <c r="O8" s="237">
        <v>9</v>
      </c>
      <c r="P8" s="237">
        <v>8</v>
      </c>
      <c r="Q8" s="250">
        <v>0.02</v>
      </c>
      <c r="R8" s="250">
        <f t="shared" si="3"/>
        <v>0.02</v>
      </c>
      <c r="S8" s="237" t="s">
        <v>175</v>
      </c>
      <c r="T8" s="240">
        <f>COUNTIF(I10:M10,"IMP")+COUNTIF(J11:L11,"IMP")</f>
        <v>0</v>
      </c>
      <c r="U8" s="242">
        <f>COUNTIF(I5:M5,"IMP")+COUNTIF(J6:L6,"IMP")</f>
        <v>0</v>
      </c>
      <c r="V8" s="249">
        <f t="shared" si="2"/>
        <v>0</v>
      </c>
      <c r="W8" s="249">
        <f t="shared" si="4"/>
        <v>0</v>
      </c>
      <c r="X8" s="254">
        <f t="shared" si="5"/>
        <v>0</v>
      </c>
      <c r="Y8" s="256">
        <f t="shared" si="6"/>
        <v>0</v>
      </c>
      <c r="Z8" s="31"/>
      <c r="AA8" s="31"/>
      <c r="AB8" s="31"/>
      <c r="AC8" s="31"/>
    </row>
    <row r="9" spans="1:32" x14ac:dyDescent="0.25">
      <c r="A9" s="237">
        <v>18</v>
      </c>
      <c r="B9" s="237" t="s">
        <v>178</v>
      </c>
      <c r="C9" s="250">
        <v>0.15</v>
      </c>
      <c r="D9" s="237" t="s">
        <v>179</v>
      </c>
      <c r="E9" s="184"/>
      <c r="I9" s="241"/>
      <c r="J9" s="242"/>
      <c r="K9" s="271" t="s">
        <v>157</v>
      </c>
      <c r="L9" s="241"/>
      <c r="M9" s="241"/>
      <c r="N9" s="236"/>
      <c r="O9" s="237">
        <v>15</v>
      </c>
      <c r="P9" s="237">
        <v>8</v>
      </c>
      <c r="Q9" s="250">
        <v>0.5</v>
      </c>
      <c r="R9" s="250">
        <f t="shared" si="3"/>
        <v>0.5</v>
      </c>
      <c r="S9" s="237" t="s">
        <v>176</v>
      </c>
      <c r="T9" s="240">
        <f>COUNTIF(I6:M7,"RAP")</f>
        <v>8</v>
      </c>
      <c r="U9" s="242">
        <f>COUNTIF(I11:M12,"RAP")</f>
        <v>0</v>
      </c>
      <c r="V9" s="249">
        <f t="shared" si="2"/>
        <v>0.5</v>
      </c>
      <c r="W9" s="249">
        <f t="shared" si="4"/>
        <v>0.85119047619047616</v>
      </c>
      <c r="X9" s="254">
        <f t="shared" si="5"/>
        <v>0.85119047619047616</v>
      </c>
      <c r="Y9" s="256">
        <f t="shared" si="6"/>
        <v>0</v>
      </c>
      <c r="Z9" s="31"/>
      <c r="AA9" s="31"/>
      <c r="AB9" s="31"/>
      <c r="AC9" s="31"/>
      <c r="AD9" s="297"/>
      <c r="AE9" s="297"/>
    </row>
    <row r="10" spans="1:32" x14ac:dyDescent="0.25">
      <c r="A10" s="237">
        <v>19</v>
      </c>
      <c r="B10" s="237" t="s">
        <v>178</v>
      </c>
      <c r="C10" s="250">
        <v>0.23</v>
      </c>
      <c r="D10" s="237" t="s">
        <v>180</v>
      </c>
      <c r="E10" s="184"/>
      <c r="I10" s="271" t="s">
        <v>157</v>
      </c>
      <c r="J10" s="271" t="s">
        <v>157</v>
      </c>
      <c r="K10" s="271" t="s">
        <v>157</v>
      </c>
      <c r="L10" s="271" t="s">
        <v>157</v>
      </c>
      <c r="M10" s="271" t="s">
        <v>157</v>
      </c>
      <c r="N10" s="236"/>
      <c r="O10" s="237">
        <v>16</v>
      </c>
      <c r="P10" s="237">
        <v>8</v>
      </c>
      <c r="Q10" s="250">
        <v>0.5</v>
      </c>
      <c r="R10" s="250">
        <f t="shared" si="3"/>
        <v>0.5</v>
      </c>
      <c r="S10" s="237" t="s">
        <v>177</v>
      </c>
      <c r="T10" s="240">
        <f>COUNTIF(I6:M7,"RAP")</f>
        <v>8</v>
      </c>
      <c r="U10" s="242">
        <f>COUNTIF(I11:M12,"RAP")</f>
        <v>0</v>
      </c>
      <c r="V10" s="249">
        <f t="shared" si="2"/>
        <v>0.5</v>
      </c>
      <c r="W10" s="249">
        <f t="shared" si="4"/>
        <v>0.85119047619047616</v>
      </c>
      <c r="X10" s="254">
        <f t="shared" si="5"/>
        <v>0.85119047619047616</v>
      </c>
      <c r="Y10" s="256">
        <f t="shared" si="6"/>
        <v>0</v>
      </c>
      <c r="Z10" s="31"/>
      <c r="AA10" s="31"/>
      <c r="AB10" s="31"/>
      <c r="AC10" s="31"/>
      <c r="AD10" s="297"/>
      <c r="AE10" s="297"/>
    </row>
    <row r="11" spans="1:32" x14ac:dyDescent="0.25">
      <c r="A11" s="237">
        <v>25</v>
      </c>
      <c r="B11" s="237">
        <v>5</v>
      </c>
      <c r="C11" s="250">
        <v>2.5000000000000001E-2</v>
      </c>
      <c r="D11" s="237" t="s">
        <v>42</v>
      </c>
      <c r="E11" s="184">
        <f t="shared" si="1"/>
        <v>5.0000000000000001E-3</v>
      </c>
      <c r="I11" s="271" t="s">
        <v>157</v>
      </c>
      <c r="J11" s="271" t="s">
        <v>2</v>
      </c>
      <c r="K11" s="271" t="s">
        <v>157</v>
      </c>
      <c r="L11" s="271" t="s">
        <v>157</v>
      </c>
      <c r="M11" s="271" t="s">
        <v>157</v>
      </c>
      <c r="N11" s="236"/>
      <c r="O11" s="237">
        <v>18</v>
      </c>
      <c r="P11" s="237" t="s">
        <v>178</v>
      </c>
      <c r="Q11" s="250">
        <v>0.15</v>
      </c>
      <c r="R11" s="250">
        <f t="shared" si="3"/>
        <v>0.15</v>
      </c>
      <c r="S11" s="237" t="s">
        <v>179</v>
      </c>
      <c r="T11" s="240">
        <v>1</v>
      </c>
      <c r="U11" s="242">
        <v>1</v>
      </c>
      <c r="V11" s="249">
        <f t="shared" si="2"/>
        <v>0.15</v>
      </c>
      <c r="W11" s="249">
        <f t="shared" si="4"/>
        <v>0.25535714285714284</v>
      </c>
      <c r="X11" s="254">
        <f>W11*K14</f>
        <v>0.12767857142857142</v>
      </c>
      <c r="Y11" s="256">
        <f>W11*K15</f>
        <v>0.12767857142857142</v>
      </c>
      <c r="Z11" s="31"/>
      <c r="AA11" s="31"/>
      <c r="AB11" s="31"/>
      <c r="AC11" s="31"/>
      <c r="AD11" s="297"/>
      <c r="AE11" s="297"/>
      <c r="AF11" s="297"/>
    </row>
    <row r="12" spans="1:32" x14ac:dyDescent="0.25">
      <c r="A12" s="237">
        <v>37</v>
      </c>
      <c r="B12" s="237">
        <v>2</v>
      </c>
      <c r="C12" s="250">
        <v>0.18</v>
      </c>
      <c r="D12" s="237" t="s">
        <v>181</v>
      </c>
      <c r="E12" s="184">
        <f t="shared" si="1"/>
        <v>0.09</v>
      </c>
      <c r="I12" s="241"/>
      <c r="J12" s="271" t="s">
        <v>157</v>
      </c>
      <c r="K12" s="271" t="s">
        <v>157</v>
      </c>
      <c r="L12" s="271" t="s">
        <v>157</v>
      </c>
      <c r="M12" s="241"/>
      <c r="N12" s="236"/>
      <c r="O12" s="237">
        <v>19</v>
      </c>
      <c r="P12" s="237" t="s">
        <v>178</v>
      </c>
      <c r="Q12" s="250">
        <v>0.23</v>
      </c>
      <c r="R12" s="250">
        <f t="shared" si="3"/>
        <v>0.23</v>
      </c>
      <c r="S12" s="237" t="s">
        <v>180</v>
      </c>
      <c r="T12" s="240">
        <f>COUNTIF(I5:M7,"CAB")</f>
        <v>2</v>
      </c>
      <c r="U12" s="242">
        <f>COUNTIF(I10:M12,"CAB")</f>
        <v>0</v>
      </c>
      <c r="V12" s="249">
        <f t="shared" si="2"/>
        <v>0.23</v>
      </c>
      <c r="W12" s="249">
        <f t="shared" si="4"/>
        <v>0.39154761904761903</v>
      </c>
      <c r="X12" s="254">
        <f>IF(T12&gt;0,W12*K14,0)</f>
        <v>0.19577380952380952</v>
      </c>
      <c r="Y12" s="256">
        <f>IF(U12&gt;0,W12*K15,0)</f>
        <v>0</v>
      </c>
      <c r="Z12" s="31"/>
      <c r="AA12" s="31"/>
      <c r="AB12" s="31"/>
      <c r="AC12" s="31"/>
      <c r="AD12" s="189"/>
      <c r="AE12" s="189"/>
    </row>
    <row r="13" spans="1:32" x14ac:dyDescent="0.25">
      <c r="A13" s="237">
        <v>38</v>
      </c>
      <c r="B13" s="237">
        <v>2</v>
      </c>
      <c r="C13" s="250">
        <v>0.12</v>
      </c>
      <c r="D13" s="237" t="s">
        <v>182</v>
      </c>
      <c r="E13" s="184">
        <f t="shared" si="1"/>
        <v>0.06</v>
      </c>
      <c r="I13" s="238"/>
      <c r="J13" s="238"/>
      <c r="K13" s="238"/>
      <c r="L13" s="238"/>
      <c r="M13" s="238"/>
      <c r="N13" s="236"/>
      <c r="O13" s="237">
        <v>25</v>
      </c>
      <c r="P13" s="237">
        <v>5</v>
      </c>
      <c r="Q13" s="250">
        <v>2.5000000000000001E-2</v>
      </c>
      <c r="R13" s="250">
        <f t="shared" si="3"/>
        <v>2.5000000000000001E-2</v>
      </c>
      <c r="S13" s="237" t="s">
        <v>42</v>
      </c>
      <c r="T13" s="240">
        <f>COUNTIF(J7:L7,"IMP")+COUNTIF(I6,"IMP")+COUNTIF(M6,"IMP")</f>
        <v>0</v>
      </c>
      <c r="U13" s="242">
        <f>COUNTIF(J12:L12,"IMP")+COUNTIF(I11,"IMP")+COUNTIF(M11,"IMP")</f>
        <v>0</v>
      </c>
      <c r="V13" s="249">
        <f t="shared" si="2"/>
        <v>0</v>
      </c>
      <c r="W13" s="249">
        <f t="shared" si="4"/>
        <v>0</v>
      </c>
      <c r="X13" s="254">
        <f t="shared" ref="X13" si="7">IF(W13=0,0,W13*(T13^2.7/(T13^2.7+U13^2.7))*T13/P13)</f>
        <v>0</v>
      </c>
      <c r="Y13" s="256">
        <f>IF(W13=0,0,W13*U13^2.7/(T13^2.7+U13^2.7)*U13/P13)</f>
        <v>0</v>
      </c>
      <c r="Z13" s="31"/>
      <c r="AA13" s="31"/>
      <c r="AB13" s="31"/>
      <c r="AC13" s="31"/>
    </row>
    <row r="14" spans="1:32" x14ac:dyDescent="0.25">
      <c r="A14" s="237">
        <v>39</v>
      </c>
      <c r="B14" s="237">
        <v>8</v>
      </c>
      <c r="C14" s="250">
        <v>0.6</v>
      </c>
      <c r="D14" s="237" t="s">
        <v>183</v>
      </c>
      <c r="E14" s="184">
        <f t="shared" si="1"/>
        <v>7.4999999999999997E-2</v>
      </c>
      <c r="I14" s="238"/>
      <c r="J14" s="238" t="s">
        <v>158</v>
      </c>
      <c r="K14" s="245">
        <v>0.5</v>
      </c>
      <c r="L14" s="238"/>
      <c r="M14" s="238"/>
      <c r="N14" s="236"/>
      <c r="O14" s="237">
        <v>37</v>
      </c>
      <c r="P14" s="237">
        <v>2</v>
      </c>
      <c r="Q14" s="250">
        <v>0.18</v>
      </c>
      <c r="R14" s="250">
        <f t="shared" si="3"/>
        <v>0.18</v>
      </c>
      <c r="S14" s="237" t="s">
        <v>181</v>
      </c>
      <c r="T14" s="240">
        <f>COUNTIF(I6:M7,"CAB")</f>
        <v>0</v>
      </c>
      <c r="U14" s="242">
        <f>COUNTIF(I11:M12,"CAB")</f>
        <v>0</v>
      </c>
      <c r="V14" s="249">
        <f t="shared" si="2"/>
        <v>0</v>
      </c>
      <c r="W14" s="249">
        <f t="shared" si="4"/>
        <v>0</v>
      </c>
      <c r="X14" s="254">
        <f>IF((U14+T14)=0,0,W14*T14^2.7/(U14^2.7+T14^2.7))</f>
        <v>0</v>
      </c>
      <c r="Y14" s="256">
        <f>IF(T14+U14=0,0,W14*U14^2.7/(U14^2.7+T14^2.7))</f>
        <v>0</v>
      </c>
      <c r="Z14" s="31"/>
      <c r="AA14" s="31"/>
      <c r="AB14" s="31"/>
      <c r="AC14" s="31"/>
    </row>
    <row r="15" spans="1:32" x14ac:dyDescent="0.25">
      <c r="I15" s="238"/>
      <c r="J15" s="238" t="s">
        <v>159</v>
      </c>
      <c r="K15" s="243">
        <v>0.5</v>
      </c>
      <c r="L15" s="238"/>
      <c r="M15" s="238"/>
      <c r="N15" s="236"/>
      <c r="O15" s="237">
        <v>38</v>
      </c>
      <c r="P15" s="237">
        <v>2</v>
      </c>
      <c r="Q15" s="250">
        <v>0.12</v>
      </c>
      <c r="R15" s="250">
        <f t="shared" si="3"/>
        <v>0.12</v>
      </c>
      <c r="S15" s="237" t="s">
        <v>182</v>
      </c>
      <c r="T15" s="240">
        <f>COUNTA(I6,M6)</f>
        <v>2</v>
      </c>
      <c r="U15" s="242">
        <f>COUNTA(I11,M11)</f>
        <v>2</v>
      </c>
      <c r="V15" s="249">
        <f t="shared" si="2"/>
        <v>0.12</v>
      </c>
      <c r="W15" s="249">
        <f t="shared" si="4"/>
        <v>0.20428571428571426</v>
      </c>
      <c r="X15" s="254">
        <f>W15*T15^2.7/(U15^2.7+T15^2.7)</f>
        <v>0.10214285714285713</v>
      </c>
      <c r="Y15" s="256">
        <f>W15*U15^2.7/(U15^2.7+T15^2.7)</f>
        <v>0.10214285714285713</v>
      </c>
      <c r="Z15" s="31"/>
      <c r="AA15" s="31"/>
      <c r="AB15" s="31"/>
      <c r="AC15" s="31"/>
    </row>
    <row r="16" spans="1:32" s="14" customFormat="1" x14ac:dyDescent="0.25">
      <c r="A16" s="288"/>
      <c r="B16" s="288"/>
      <c r="C16" s="288"/>
      <c r="D16" s="288" t="s">
        <v>31</v>
      </c>
      <c r="E16" s="288"/>
      <c r="F16" s="288"/>
      <c r="G16" s="288"/>
      <c r="H16" s="288"/>
      <c r="I16" s="238"/>
      <c r="J16" s="238"/>
      <c r="K16" s="238"/>
      <c r="L16" s="238"/>
      <c r="M16" s="238"/>
      <c r="N16" s="236"/>
      <c r="O16" s="237">
        <v>39</v>
      </c>
      <c r="P16" s="237">
        <v>8</v>
      </c>
      <c r="Q16" s="250">
        <v>0.6</v>
      </c>
      <c r="R16" s="250">
        <f t="shared" si="3"/>
        <v>0.6</v>
      </c>
      <c r="S16" s="237" t="s">
        <v>183</v>
      </c>
      <c r="T16" s="240">
        <f>COUNTIF(I6:M7,"TEC")</f>
        <v>0</v>
      </c>
      <c r="U16" s="242">
        <f>COUNTIF(I11:M12,"TEC")</f>
        <v>1</v>
      </c>
      <c r="V16" s="249">
        <f>IF(T16&lt;&gt;0,IF(U2&lt;&gt;0,Q16,IF(U16&lt;&gt;0,IF(T2&lt;&gt;0,Q16,0),0)),IF(U16&lt;&gt;0,IF(T2&lt;&gt;0,Q16,0),0))</f>
        <v>0.6</v>
      </c>
      <c r="W16" s="249">
        <f t="shared" si="4"/>
        <v>1.0214285714285714</v>
      </c>
      <c r="X16" s="254">
        <f>IF(T16&lt;&gt;0,IF(U2&lt;&gt;0,IF(U16&lt;&gt;0,IF(T2&lt;&gt;0,W16*T16^2.7/(T16^2.7+U16^2.7)*T16/P16,W16*T16/P16),W16*T16/P16),0),0)</f>
        <v>0</v>
      </c>
      <c r="Y16" s="256">
        <f>IF(U16&lt;&gt;0,IF(T2&lt;&gt;0,IF(T16&lt;&gt;0,IF(U2&lt;&gt;0,W16*U16^2.7/(T16^2.7+U16^2.7)*U16/P16,W16*U16/P16),W16*U16/P16),0),0)</f>
        <v>0.12767857142857142</v>
      </c>
      <c r="Z16" s="31"/>
      <c r="AA16" s="31"/>
      <c r="AB16" s="31"/>
      <c r="AC16" s="31"/>
    </row>
    <row r="17" spans="1:29" x14ac:dyDescent="0.25">
      <c r="A17" s="288"/>
      <c r="B17" s="158"/>
      <c r="C17" s="158" t="s">
        <v>37</v>
      </c>
      <c r="D17" s="184">
        <f>E3</f>
        <v>7.4999999999999997E-2</v>
      </c>
      <c r="E17" s="158"/>
      <c r="F17" s="158"/>
      <c r="Z17" s="31"/>
      <c r="AA17" s="31"/>
      <c r="AB17" s="31"/>
      <c r="AC17" s="31"/>
    </row>
    <row r="18" spans="1:29" x14ac:dyDescent="0.25">
      <c r="A18" s="288"/>
      <c r="B18" s="158" t="s">
        <v>185</v>
      </c>
      <c r="C18" s="158" t="s">
        <v>186</v>
      </c>
      <c r="D18" s="158" t="s">
        <v>186</v>
      </c>
      <c r="E18" s="158" t="s">
        <v>186</v>
      </c>
      <c r="F18" s="158" t="s">
        <v>185</v>
      </c>
    </row>
    <row r="19" spans="1:29" x14ac:dyDescent="0.25">
      <c r="A19" s="288" t="s">
        <v>37</v>
      </c>
      <c r="B19" s="184">
        <f>E3+E5</f>
        <v>0.10961538461538461</v>
      </c>
      <c r="C19" s="184">
        <f>B19</f>
        <v>0.10961538461538461</v>
      </c>
      <c r="D19" s="184">
        <f t="shared" ref="D19:F19" si="8">C19</f>
        <v>0.10961538461538461</v>
      </c>
      <c r="E19" s="184">
        <f t="shared" si="8"/>
        <v>0.10961538461538461</v>
      </c>
      <c r="F19" s="184">
        <f t="shared" si="8"/>
        <v>0.10961538461538461</v>
      </c>
    </row>
    <row r="20" spans="1:29" x14ac:dyDescent="0.25">
      <c r="A20" s="288" t="s">
        <v>1</v>
      </c>
      <c r="B20" s="158">
        <v>0</v>
      </c>
      <c r="C20" s="158">
        <v>0</v>
      </c>
      <c r="D20" s="158">
        <v>0</v>
      </c>
      <c r="E20" s="158">
        <v>0</v>
      </c>
      <c r="F20" s="158">
        <v>0</v>
      </c>
    </row>
    <row r="21" spans="1:29" x14ac:dyDescent="0.25">
      <c r="A21" s="288" t="s">
        <v>2</v>
      </c>
      <c r="B21" s="158">
        <v>1.7000000000000001E-2</v>
      </c>
      <c r="C21" s="158">
        <v>1.7000000000000001E-2</v>
      </c>
      <c r="D21" s="158">
        <v>1.7000000000000001E-2</v>
      </c>
      <c r="E21" s="158">
        <v>1.7000000000000001E-2</v>
      </c>
      <c r="F21" s="158">
        <v>1.7000000000000001E-2</v>
      </c>
    </row>
    <row r="22" spans="1:29" x14ac:dyDescent="0.25">
      <c r="A22" s="288" t="s">
        <v>6</v>
      </c>
      <c r="B22" s="158">
        <v>0</v>
      </c>
      <c r="C22" s="158">
        <v>0</v>
      </c>
      <c r="D22" s="158">
        <v>0</v>
      </c>
      <c r="E22" s="158">
        <v>0</v>
      </c>
      <c r="F22" s="158">
        <v>0</v>
      </c>
    </row>
    <row r="23" spans="1:29" x14ac:dyDescent="0.25">
      <c r="A23" s="288" t="s">
        <v>144</v>
      </c>
      <c r="B23" s="292">
        <v>0</v>
      </c>
      <c r="C23" s="158">
        <v>0</v>
      </c>
      <c r="D23" s="158">
        <v>0</v>
      </c>
      <c r="E23" s="158">
        <v>0</v>
      </c>
      <c r="F23" s="158">
        <v>0</v>
      </c>
    </row>
    <row r="24" spans="1:29" s="14" customFormat="1" x14ac:dyDescent="0.25">
      <c r="A24" s="288"/>
      <c r="B24" s="288" t="s">
        <v>64</v>
      </c>
      <c r="C24" s="288" t="s">
        <v>187</v>
      </c>
      <c r="D24" s="288" t="s">
        <v>187</v>
      </c>
      <c r="E24" s="288" t="s">
        <v>187</v>
      </c>
      <c r="F24" s="288" t="s">
        <v>64</v>
      </c>
      <c r="G24" s="288"/>
      <c r="H24" s="288"/>
      <c r="K24" s="288"/>
      <c r="L24" s="288"/>
      <c r="M24" s="288"/>
      <c r="N24" s="288"/>
      <c r="S24" s="288"/>
    </row>
    <row r="25" spans="1:29" x14ac:dyDescent="0.25">
      <c r="A25" s="288" t="s">
        <v>37</v>
      </c>
      <c r="B25" s="184">
        <f>E4+E5-E6-E11</f>
        <v>7.0865384615384608E-2</v>
      </c>
      <c r="C25" s="184">
        <f>E4+E5-E6</f>
        <v>7.5865384615384612E-2</v>
      </c>
      <c r="D25" s="184">
        <f>C25</f>
        <v>7.5865384615384612E-2</v>
      </c>
      <c r="E25" s="184">
        <f>D25</f>
        <v>7.5865384615384612E-2</v>
      </c>
      <c r="F25" s="184">
        <f>B25</f>
        <v>7.0865384615384608E-2</v>
      </c>
    </row>
    <row r="26" spans="1:29" x14ac:dyDescent="0.25">
      <c r="A26" s="288" t="s">
        <v>1</v>
      </c>
      <c r="B26" s="184">
        <f>E7+E8</f>
        <v>0.125</v>
      </c>
      <c r="C26" s="184">
        <f>B26</f>
        <v>0.125</v>
      </c>
      <c r="D26" s="184">
        <f t="shared" ref="D26:F26" si="9">C26</f>
        <v>0.125</v>
      </c>
      <c r="E26" s="184">
        <f t="shared" si="9"/>
        <v>0.125</v>
      </c>
      <c r="F26" s="184">
        <f t="shared" si="9"/>
        <v>0.125</v>
      </c>
    </row>
    <row r="27" spans="1:29" x14ac:dyDescent="0.25">
      <c r="A27" s="288" t="s">
        <v>2</v>
      </c>
      <c r="B27" s="184">
        <f>E14</f>
        <v>7.4999999999999997E-2</v>
      </c>
      <c r="C27" s="184">
        <f>B27</f>
        <v>7.4999999999999997E-2</v>
      </c>
      <c r="D27" s="184">
        <f t="shared" ref="D27:F27" si="10">C27</f>
        <v>7.4999999999999997E-2</v>
      </c>
      <c r="E27" s="184">
        <f t="shared" si="10"/>
        <v>7.4999999999999997E-2</v>
      </c>
      <c r="F27" s="184">
        <f t="shared" si="10"/>
        <v>7.4999999999999997E-2</v>
      </c>
    </row>
    <row r="28" spans="1:29" x14ac:dyDescent="0.25">
      <c r="A28" s="288" t="s">
        <v>6</v>
      </c>
      <c r="B28" s="158">
        <v>0</v>
      </c>
      <c r="C28" s="158">
        <v>0.1</v>
      </c>
      <c r="D28" s="158">
        <v>0.1</v>
      </c>
      <c r="E28" s="158">
        <v>0.1</v>
      </c>
      <c r="F28" s="158">
        <v>0</v>
      </c>
    </row>
    <row r="29" spans="1:29" x14ac:dyDescent="0.25">
      <c r="A29" s="288" t="s">
        <v>144</v>
      </c>
      <c r="B29" s="158">
        <v>0</v>
      </c>
      <c r="C29" s="158">
        <v>0</v>
      </c>
      <c r="D29" s="158">
        <v>0</v>
      </c>
      <c r="E29" s="158">
        <v>0</v>
      </c>
      <c r="F29" s="158">
        <v>0</v>
      </c>
    </row>
    <row r="30" spans="1:29" s="14" customFormat="1" x14ac:dyDescent="0.25">
      <c r="A30" s="288"/>
      <c r="B30" s="288"/>
      <c r="C30" s="288" t="s">
        <v>188</v>
      </c>
      <c r="D30" s="288" t="s">
        <v>188</v>
      </c>
      <c r="E30" s="288" t="s">
        <v>188</v>
      </c>
      <c r="F30" s="288"/>
      <c r="G30" s="288"/>
      <c r="H30" s="288"/>
      <c r="K30" s="288"/>
      <c r="L30" s="288"/>
      <c r="M30" s="288"/>
      <c r="N30" s="288"/>
      <c r="S30" s="288"/>
    </row>
    <row r="31" spans="1:29" x14ac:dyDescent="0.25">
      <c r="A31" s="288"/>
      <c r="B31" s="288" t="s">
        <v>37</v>
      </c>
      <c r="C31" s="184">
        <f>B25</f>
        <v>7.0865384615384608E-2</v>
      </c>
      <c r="D31" s="184">
        <f t="shared" ref="D31:E33" si="11">C31</f>
        <v>7.0865384615384608E-2</v>
      </c>
      <c r="E31" s="184">
        <f t="shared" si="11"/>
        <v>7.0865384615384608E-2</v>
      </c>
      <c r="F31" s="158"/>
    </row>
    <row r="32" spans="1:29" x14ac:dyDescent="0.25">
      <c r="A32" s="288"/>
      <c r="B32" s="288" t="s">
        <v>1</v>
      </c>
      <c r="C32" s="184">
        <f>B26</f>
        <v>0.125</v>
      </c>
      <c r="D32" s="184">
        <f t="shared" si="11"/>
        <v>0.125</v>
      </c>
      <c r="E32" s="184">
        <f t="shared" si="11"/>
        <v>0.125</v>
      </c>
      <c r="F32" s="158"/>
    </row>
    <row r="33" spans="1:6" x14ac:dyDescent="0.25">
      <c r="A33" s="288"/>
      <c r="B33" s="288" t="s">
        <v>2</v>
      </c>
      <c r="C33" s="184">
        <f>B27</f>
        <v>7.4999999999999997E-2</v>
      </c>
      <c r="D33" s="184">
        <f t="shared" si="11"/>
        <v>7.4999999999999997E-2</v>
      </c>
      <c r="E33" s="184">
        <f t="shared" si="11"/>
        <v>7.4999999999999997E-2</v>
      </c>
      <c r="F33" s="158"/>
    </row>
    <row r="34" spans="1:6" x14ac:dyDescent="0.25">
      <c r="A34" s="288"/>
      <c r="B34" s="288" t="s">
        <v>6</v>
      </c>
      <c r="C34" s="158">
        <v>0.1</v>
      </c>
      <c r="D34" s="158">
        <v>0.1</v>
      </c>
      <c r="E34" s="158">
        <v>0.1</v>
      </c>
      <c r="F34" s="158"/>
    </row>
    <row r="35" spans="1:6" x14ac:dyDescent="0.25">
      <c r="A35" s="288"/>
      <c r="B35" s="288" t="s">
        <v>144</v>
      </c>
      <c r="C35" s="158">
        <v>0</v>
      </c>
      <c r="D35" s="158">
        <v>0</v>
      </c>
      <c r="E35" s="158">
        <v>0</v>
      </c>
      <c r="F35" s="158"/>
    </row>
  </sheetData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2" t="s">
        <v>152</v>
      </c>
      <c r="Q1" s="302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145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150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303" t="s">
        <v>156</v>
      </c>
      <c r="C3" s="303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146</v>
      </c>
      <c r="Q3" t="s">
        <v>8</v>
      </c>
      <c r="R3" s="16" t="s">
        <v>147</v>
      </c>
      <c r="Y3" t="s">
        <v>7</v>
      </c>
      <c r="Z3" s="19" t="s">
        <v>146</v>
      </c>
      <c r="AA3" t="s">
        <v>8</v>
      </c>
      <c r="AB3" s="19" t="s">
        <v>147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153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154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155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148</v>
      </c>
      <c r="X7" s="15" t="s">
        <v>149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151</v>
      </c>
      <c r="L19" s="13" t="s">
        <v>151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13" priority="1" operator="greaterThan">
      <formula>0.15</formula>
    </cfRule>
  </conditionalFormatting>
  <conditionalFormatting sqref="H38:H48">
    <cfRule type="cellIs" dxfId="12" priority="2" operator="greaterThan">
      <formula>0.15</formula>
    </cfRule>
  </conditionalFormatting>
  <conditionalFormatting sqref="H48">
    <cfRule type="cellIs" dxfId="11" priority="3" operator="greaterThan">
      <formula>0.15</formula>
    </cfRule>
  </conditionalFormatting>
  <conditionalFormatting sqref="H38:H48">
    <cfRule type="cellIs" dxfId="10" priority="4" operator="greaterThan">
      <formula>0.15</formula>
    </cfRule>
  </conditionalFormatting>
  <conditionalFormatting sqref="H34">
    <cfRule type="cellIs" dxfId="9" priority="5" operator="greaterThan">
      <formula>0.15</formula>
    </cfRule>
  </conditionalFormatting>
  <conditionalFormatting sqref="H24:H34">
    <cfRule type="cellIs" dxfId="8" priority="6" operator="greaterThan">
      <formula>0.15</formula>
    </cfRule>
  </conditionalFormatting>
  <conditionalFormatting sqref="H34">
    <cfRule type="cellIs" dxfId="7" priority="7" operator="greaterThan">
      <formula>0.15</formula>
    </cfRule>
  </conditionalFormatting>
  <conditionalFormatting sqref="H24:H34">
    <cfRule type="cellIs" dxfId="6" priority="8" operator="greaterThan">
      <formula>0.15</formula>
    </cfRule>
  </conditionalFormatting>
  <conditionalFormatting sqref="V48">
    <cfRule type="cellIs" dxfId="5" priority="9" operator="greaterThan">
      <formula>0.15</formula>
    </cfRule>
  </conditionalFormatting>
  <conditionalFormatting sqref="V34">
    <cfRule type="cellIs" dxfId="4" priority="10" operator="greaterThan">
      <formula>0.15</formula>
    </cfRule>
  </conditionalFormatting>
  <conditionalFormatting sqref="V24:V34 V38:V48">
    <cfRule type="cellIs" dxfId="3" priority="11" operator="greaterThan">
      <formula>0.15</formula>
    </cfRule>
  </conditionalFormatting>
  <conditionalFormatting sqref="V48">
    <cfRule type="cellIs" dxfId="2" priority="12" operator="greaterThan">
      <formula>0.15</formula>
    </cfRule>
  </conditionalFormatting>
  <conditionalFormatting sqref="V34">
    <cfRule type="cellIs" dxfId="1" priority="13" operator="greaterThan">
      <formula>0.15</formula>
    </cfRule>
  </conditionalFormatting>
  <conditionalFormatting sqref="V24:V34 V38:V48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Lokomotive-LUKE</vt:lpstr>
      <vt:lpstr>VADER-LothMunchen</vt:lpstr>
      <vt:lpstr>VADER_ConjuntoVacio</vt:lpstr>
      <vt:lpstr>SIMULADOR_v5</vt:lpstr>
      <vt:lpstr>SIMULADOR_v4</vt:lpstr>
      <vt:lpstr>SIMULADOR_v3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2021-08-11T10:43:46Z</dcterms:modified>
</cp:coreProperties>
</file>