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Knights-OBIWAN" sheetId="454" r:id="rId1"/>
    <sheet name="SIMULADOR_v3" sheetId="446" r:id="rId2"/>
    <sheet name="SIMULADOR&gt;22-12-17_v2" sheetId="436" r:id="rId3"/>
    <sheet name="SIMULADOR&gt;22-12-17" sheetId="435" r:id="rId4"/>
    <sheet name="SIMULADOR" sheetId="285" r:id="rId5"/>
    <sheet name="SIMULADOR_sinJC" sheetId="273" r:id="rId6"/>
  </sheets>
  <calcPr calcId="162913"/>
  <fileRecoveryPr autoRecover="0"/>
</workbook>
</file>

<file path=xl/calcChain.xml><?xml version="1.0" encoding="utf-8"?>
<calcChain xmlns="http://schemas.openxmlformats.org/spreadsheetml/2006/main">
  <c r="BH48" i="454" l="1"/>
  <c r="BH53" i="454" s="1"/>
  <c r="BH56" i="454" s="1"/>
  <c r="BH58" i="454" s="1"/>
  <c r="BH59" i="454" s="1"/>
  <c r="BF48" i="454"/>
  <c r="BF47" i="454"/>
  <c r="BE45" i="454"/>
  <c r="BF46" i="454" s="1"/>
  <c r="BE44" i="454"/>
  <c r="BF45" i="454" s="1"/>
  <c r="BD44" i="454"/>
  <c r="BE43" i="454"/>
  <c r="BD43" i="454"/>
  <c r="BC43" i="454"/>
  <c r="BE42" i="454"/>
  <c r="BF43" i="454" s="1"/>
  <c r="BD42" i="454"/>
  <c r="BC42" i="454"/>
  <c r="BF41" i="454"/>
  <c r="BE41" i="454"/>
  <c r="BF42" i="454" s="1"/>
  <c r="BD41" i="454"/>
  <c r="BC41" i="454"/>
  <c r="BF40" i="454"/>
  <c r="BE40" i="454"/>
  <c r="BD40" i="454"/>
  <c r="BC40" i="454"/>
  <c r="BC39" i="454"/>
  <c r="AS38" i="454"/>
  <c r="AR38" i="454"/>
  <c r="AQ38" i="454"/>
  <c r="AP38" i="454"/>
  <c r="AO38" i="454"/>
  <c r="AN38" i="454"/>
  <c r="AM38" i="454"/>
  <c r="AL38" i="454"/>
  <c r="AK38" i="454"/>
  <c r="AJ38" i="454"/>
  <c r="AI38" i="454"/>
  <c r="AH38" i="454"/>
  <c r="AG38" i="454"/>
  <c r="AF38" i="454"/>
  <c r="AE38" i="454"/>
  <c r="AD38" i="454"/>
  <c r="AC38" i="454"/>
  <c r="AB38" i="454"/>
  <c r="AA38" i="454"/>
  <c r="Z38" i="454"/>
  <c r="Y38" i="454"/>
  <c r="X38" i="454"/>
  <c r="W38" i="454"/>
  <c r="V38" i="454"/>
  <c r="U38" i="454"/>
  <c r="T38" i="454"/>
  <c r="S38" i="454"/>
  <c r="R38" i="454"/>
  <c r="Q38" i="454"/>
  <c r="P38" i="454"/>
  <c r="O38" i="454"/>
  <c r="N38" i="454"/>
  <c r="M38" i="454"/>
  <c r="L38" i="454"/>
  <c r="K38" i="454"/>
  <c r="J38" i="454"/>
  <c r="I38" i="454"/>
  <c r="H38" i="454"/>
  <c r="G38" i="454"/>
  <c r="BF34" i="454"/>
  <c r="BH33" i="454"/>
  <c r="BH39" i="454" s="1"/>
  <c r="BH44" i="454" s="1"/>
  <c r="BF33" i="454"/>
  <c r="C33" i="454"/>
  <c r="B33" i="454"/>
  <c r="BH32" i="454"/>
  <c r="BH38" i="454" s="1"/>
  <c r="BL9" i="454" s="1"/>
  <c r="BP23" i="454" s="1"/>
  <c r="BP29" i="454" s="1"/>
  <c r="BP36" i="454" s="1"/>
  <c r="BP44" i="454" s="1"/>
  <c r="BF32" i="454"/>
  <c r="C32" i="454"/>
  <c r="B32" i="454"/>
  <c r="BF31" i="454"/>
  <c r="BE31" i="454"/>
  <c r="BH30" i="454"/>
  <c r="BH37" i="454" s="1"/>
  <c r="BH43" i="454" s="1"/>
  <c r="BE30" i="454"/>
  <c r="BF30" i="454" s="1"/>
  <c r="BD30" i="454"/>
  <c r="E30" i="454"/>
  <c r="D30" i="454"/>
  <c r="BH29" i="454"/>
  <c r="BH36" i="454" s="1"/>
  <c r="BH42" i="454" s="1"/>
  <c r="BH47" i="454" s="1"/>
  <c r="BH52" i="454" s="1"/>
  <c r="BH55" i="454" s="1"/>
  <c r="BH57" i="454" s="1"/>
  <c r="BL13" i="454" s="1"/>
  <c r="BF29" i="454"/>
  <c r="BE29" i="454"/>
  <c r="BD29" i="454"/>
  <c r="BC29" i="454"/>
  <c r="C29" i="454"/>
  <c r="B29" i="454"/>
  <c r="BH28" i="454"/>
  <c r="BH35" i="454" s="1"/>
  <c r="BH41" i="454" s="1"/>
  <c r="BH46" i="454" s="1"/>
  <c r="BH51" i="454" s="1"/>
  <c r="BH54" i="454" s="1"/>
  <c r="BL12" i="454" s="1"/>
  <c r="BP47" i="454" s="1"/>
  <c r="BF28" i="454"/>
  <c r="BE28" i="454"/>
  <c r="BD28" i="454"/>
  <c r="BC28" i="454"/>
  <c r="BH27" i="454"/>
  <c r="BH34" i="454" s="1"/>
  <c r="BH40" i="454" s="1"/>
  <c r="BH45" i="454" s="1"/>
  <c r="BH50" i="454" s="1"/>
  <c r="BL11" i="454" s="1"/>
  <c r="BP38" i="454" s="1"/>
  <c r="BP46" i="454" s="1"/>
  <c r="BF27" i="454"/>
  <c r="BE27" i="454"/>
  <c r="BD27" i="454"/>
  <c r="BC27" i="454"/>
  <c r="C27" i="454"/>
  <c r="B27" i="454"/>
  <c r="BH26" i="454"/>
  <c r="BF26" i="454"/>
  <c r="BE26" i="454"/>
  <c r="BD26" i="454"/>
  <c r="BC26" i="454"/>
  <c r="E26" i="454"/>
  <c r="E27" i="454" s="1"/>
  <c r="D26" i="454"/>
  <c r="D27" i="454" s="1"/>
  <c r="D23" i="454" s="1"/>
  <c r="C26" i="454"/>
  <c r="B26" i="454"/>
  <c r="BH25" i="454"/>
  <c r="BC25" i="454"/>
  <c r="E25" i="454"/>
  <c r="E23" i="454" s="1"/>
  <c r="D25" i="454"/>
  <c r="C25" i="454"/>
  <c r="B25" i="454"/>
  <c r="BH24" i="454"/>
  <c r="BH31" i="454" s="1"/>
  <c r="BL8" i="454" s="1"/>
  <c r="BP18" i="454" s="1"/>
  <c r="BP22" i="454" s="1"/>
  <c r="BP28" i="454" s="1"/>
  <c r="BP35" i="454" s="1"/>
  <c r="BP43" i="454" s="1"/>
  <c r="BH23" i="454"/>
  <c r="B22" i="454"/>
  <c r="C22" i="454" s="1"/>
  <c r="AK13" i="454" s="1"/>
  <c r="B21" i="454"/>
  <c r="B20" i="454"/>
  <c r="AO19" i="454"/>
  <c r="AL19" i="454"/>
  <c r="AK19" i="454"/>
  <c r="AN19" i="454" s="1"/>
  <c r="AH19" i="454"/>
  <c r="AG19" i="454"/>
  <c r="Z19" i="454"/>
  <c r="P19" i="454"/>
  <c r="AO18" i="454"/>
  <c r="AL18" i="454"/>
  <c r="AK18" i="454"/>
  <c r="AH18" i="454"/>
  <c r="AG18" i="454"/>
  <c r="AO17" i="454"/>
  <c r="AL17" i="454"/>
  <c r="AK17" i="454"/>
  <c r="AH17" i="454"/>
  <c r="AG17" i="454"/>
  <c r="Z17" i="454"/>
  <c r="Z18" i="454" s="1"/>
  <c r="P17" i="454"/>
  <c r="P18" i="454" s="1"/>
  <c r="C16" i="454"/>
  <c r="B16" i="454"/>
  <c r="Z15" i="454"/>
  <c r="P15" i="454"/>
  <c r="AL14" i="454"/>
  <c r="AH14" i="454"/>
  <c r="AK14" i="454" s="1"/>
  <c r="Z14" i="454"/>
  <c r="P14" i="454"/>
  <c r="Z13" i="454"/>
  <c r="P13" i="454"/>
  <c r="AO12" i="454"/>
  <c r="AL12" i="454"/>
  <c r="AK12" i="454"/>
  <c r="AH12" i="454"/>
  <c r="AG12" i="454"/>
  <c r="AN12" i="454" s="1"/>
  <c r="Z12" i="454"/>
  <c r="P12" i="454"/>
  <c r="AO11" i="454"/>
  <c r="AL11" i="454"/>
  <c r="AK11" i="454"/>
  <c r="AH11" i="454"/>
  <c r="AG11" i="454"/>
  <c r="Z11" i="454"/>
  <c r="P11" i="454"/>
  <c r="BL10" i="454"/>
  <c r="BP30" i="454" s="1"/>
  <c r="BP37" i="454" s="1"/>
  <c r="BP45" i="454" s="1"/>
  <c r="AO10" i="454"/>
  <c r="AL10" i="454"/>
  <c r="AK10" i="454"/>
  <c r="AH10" i="454"/>
  <c r="AG10" i="454"/>
  <c r="Z10" i="454"/>
  <c r="P10" i="454"/>
  <c r="BP9" i="454"/>
  <c r="BP12" i="454" s="1"/>
  <c r="BP16" i="454" s="1"/>
  <c r="BP20" i="454" s="1"/>
  <c r="BP26" i="454" s="1"/>
  <c r="BP33" i="454" s="1"/>
  <c r="BP41" i="454" s="1"/>
  <c r="AL9" i="454"/>
  <c r="AK9" i="454"/>
  <c r="AH9" i="454"/>
  <c r="AG9" i="454"/>
  <c r="Z9" i="454"/>
  <c r="P9" i="454"/>
  <c r="BP8" i="454"/>
  <c r="BP11" i="454" s="1"/>
  <c r="BP15" i="454" s="1"/>
  <c r="BP19" i="454" s="1"/>
  <c r="BP25" i="454" s="1"/>
  <c r="BP32" i="454" s="1"/>
  <c r="BP40" i="454" s="1"/>
  <c r="AO8" i="454"/>
  <c r="AL8" i="454"/>
  <c r="AK8" i="454"/>
  <c r="AH8" i="454"/>
  <c r="AG8" i="454"/>
  <c r="Z8" i="454"/>
  <c r="P8" i="454"/>
  <c r="BP7" i="454"/>
  <c r="BP10" i="454" s="1"/>
  <c r="BP14" i="454" s="1"/>
  <c r="BH49" i="454" s="1"/>
  <c r="BP24" i="454" s="1"/>
  <c r="BP31" i="454" s="1"/>
  <c r="BP39" i="454" s="1"/>
  <c r="BL14" i="454" s="1"/>
  <c r="BL7" i="454"/>
  <c r="BP13" i="454" s="1"/>
  <c r="BP17" i="454" s="1"/>
  <c r="BP21" i="454" s="1"/>
  <c r="BP27" i="454" s="1"/>
  <c r="BP34" i="454" s="1"/>
  <c r="BP42" i="454" s="1"/>
  <c r="AL7" i="454"/>
  <c r="AK7" i="454"/>
  <c r="AH7" i="454"/>
  <c r="AG7" i="454"/>
  <c r="AN7" i="454" s="1"/>
  <c r="Z7" i="454"/>
  <c r="P7" i="454"/>
  <c r="BP6" i="454"/>
  <c r="BL6" i="454"/>
  <c r="AO6" i="454"/>
  <c r="AL6" i="454"/>
  <c r="AK6" i="454"/>
  <c r="AH6" i="454"/>
  <c r="AG6" i="454"/>
  <c r="Z6" i="454"/>
  <c r="P6" i="454"/>
  <c r="BP5" i="454"/>
  <c r="AO5" i="454"/>
  <c r="AL5" i="454"/>
  <c r="AK5" i="454"/>
  <c r="AH5" i="454"/>
  <c r="AG5" i="454"/>
  <c r="Z5" i="454"/>
  <c r="P5" i="454"/>
  <c r="AM3" i="454"/>
  <c r="G3" i="454"/>
  <c r="D3" i="454"/>
  <c r="G1" i="454" s="1"/>
  <c r="G2" i="454"/>
  <c r="K1" i="454"/>
  <c r="AN6" i="454" l="1"/>
  <c r="AN10" i="454"/>
  <c r="AN11" i="454"/>
  <c r="AN8" i="454"/>
  <c r="AN9" i="454"/>
  <c r="AN5" i="454"/>
  <c r="AG14" i="454"/>
  <c r="AN14" i="454" s="1"/>
  <c r="AG16" i="454"/>
  <c r="AN16" i="454" s="1"/>
  <c r="AG15" i="454"/>
  <c r="AN15" i="454" s="1"/>
  <c r="AK15" i="454"/>
  <c r="C31" i="454"/>
  <c r="W39" i="454" s="1"/>
  <c r="AG13" i="454"/>
  <c r="K2" i="454"/>
  <c r="AN13" i="454"/>
  <c r="BF44" i="454"/>
  <c r="B31" i="454"/>
  <c r="W25" i="454" s="1"/>
  <c r="K3" i="454"/>
  <c r="AN17" i="454"/>
  <c r="AN18" i="454"/>
  <c r="AK16" i="454"/>
  <c r="B23" i="454"/>
  <c r="AL14" i="446"/>
  <c r="AH14" i="446"/>
  <c r="AK14" i="446" s="1"/>
  <c r="AN3" i="454" l="1"/>
  <c r="AI6" i="454" s="1"/>
  <c r="T44" i="454"/>
  <c r="B34" i="454"/>
  <c r="B24" i="454"/>
  <c r="T43" i="454"/>
  <c r="T45" i="454"/>
  <c r="T46" i="454"/>
  <c r="T41" i="454"/>
  <c r="T42" i="454"/>
  <c r="C23" i="454"/>
  <c r="T40" i="454"/>
  <c r="T49" i="454"/>
  <c r="T39" i="454"/>
  <c r="T48" i="454"/>
  <c r="T47" i="454"/>
  <c r="Z19" i="446"/>
  <c r="P19" i="446"/>
  <c r="P18" i="446"/>
  <c r="Z17" i="446"/>
  <c r="Z18" i="446" s="1"/>
  <c r="P17" i="446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AI15" i="454" l="1"/>
  <c r="Y15" i="454" s="1"/>
  <c r="AA15" i="454" s="1"/>
  <c r="AB15" i="454" s="1"/>
  <c r="AI18" i="454"/>
  <c r="Y18" i="454" s="1"/>
  <c r="AA18" i="454" s="1"/>
  <c r="AB18" i="454" s="1"/>
  <c r="AI8" i="454"/>
  <c r="O8" i="454" s="1"/>
  <c r="Q8" i="454" s="1"/>
  <c r="R8" i="454" s="1"/>
  <c r="AI14" i="454"/>
  <c r="O14" i="454" s="1"/>
  <c r="Q14" i="454" s="1"/>
  <c r="R14" i="454" s="1"/>
  <c r="AI17" i="454"/>
  <c r="O17" i="454" s="1"/>
  <c r="Q17" i="454" s="1"/>
  <c r="R17" i="454" s="1"/>
  <c r="AI12" i="454"/>
  <c r="Y12" i="454" s="1"/>
  <c r="AA12" i="454" s="1"/>
  <c r="AB12" i="454" s="1"/>
  <c r="AI7" i="454"/>
  <c r="Y7" i="454" s="1"/>
  <c r="AA7" i="454" s="1"/>
  <c r="AB7" i="454" s="1"/>
  <c r="AI9" i="454"/>
  <c r="Y9" i="454" s="1"/>
  <c r="AA9" i="454" s="1"/>
  <c r="AB9" i="454" s="1"/>
  <c r="AI19" i="454"/>
  <c r="O19" i="454" s="1"/>
  <c r="Q19" i="454" s="1"/>
  <c r="R19" i="454" s="1"/>
  <c r="AI16" i="454"/>
  <c r="AI10" i="454"/>
  <c r="Y10" i="454" s="1"/>
  <c r="AA10" i="454" s="1"/>
  <c r="AB10" i="454" s="1"/>
  <c r="AI13" i="454"/>
  <c r="Y13" i="454" s="1"/>
  <c r="AA13" i="454" s="1"/>
  <c r="AB13" i="454" s="1"/>
  <c r="AI11" i="454"/>
  <c r="Y11" i="454" s="1"/>
  <c r="AA11" i="454" s="1"/>
  <c r="AB11" i="454" s="1"/>
  <c r="AI5" i="454"/>
  <c r="Y5" i="454" s="1"/>
  <c r="AA5" i="454" s="1"/>
  <c r="AB5" i="454" s="1"/>
  <c r="Y6" i="454"/>
  <c r="AA6" i="454" s="1"/>
  <c r="AB6" i="454" s="1"/>
  <c r="O6" i="454"/>
  <c r="Q6" i="454" s="1"/>
  <c r="R6" i="454" s="1"/>
  <c r="C34" i="454"/>
  <c r="T26" i="454"/>
  <c r="T27" i="454"/>
  <c r="T31" i="454"/>
  <c r="T34" i="454"/>
  <c r="C24" i="454"/>
  <c r="T30" i="454"/>
  <c r="T33" i="454"/>
  <c r="T29" i="454"/>
  <c r="T32" i="454"/>
  <c r="T35" i="454"/>
  <c r="T25" i="454"/>
  <c r="T28" i="454"/>
  <c r="N25" i="454"/>
  <c r="N27" i="454"/>
  <c r="P27" i="454" s="1"/>
  <c r="N30" i="454"/>
  <c r="P30" i="454" s="1"/>
  <c r="R35" i="454" s="1"/>
  <c r="N28" i="454"/>
  <c r="P28" i="454" s="1"/>
  <c r="N26" i="454"/>
  <c r="N29" i="454"/>
  <c r="P29" i="454" s="1"/>
  <c r="O13" i="454"/>
  <c r="Q13" i="454" s="1"/>
  <c r="R13" i="454" s="1"/>
  <c r="T37" i="454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F42" i="446"/>
  <c r="BE42" i="446"/>
  <c r="BF43" i="446" s="1"/>
  <c r="BD42" i="446"/>
  <c r="BC42" i="446"/>
  <c r="BF41" i="446"/>
  <c r="BE41" i="446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F30" i="446" s="1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F28" i="446" s="1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G3" i="446"/>
  <c r="D3" i="446"/>
  <c r="K2" i="446"/>
  <c r="G2" i="446"/>
  <c r="K1" i="446"/>
  <c r="G1" i="446"/>
  <c r="Y19" i="454" l="1"/>
  <c r="AA19" i="454" s="1"/>
  <c r="AB19" i="454" s="1"/>
  <c r="AC19" i="454" s="1"/>
  <c r="O5" i="454"/>
  <c r="Q5" i="454" s="1"/>
  <c r="R5" i="454" s="1"/>
  <c r="S5" i="454" s="1"/>
  <c r="O15" i="454"/>
  <c r="Q15" i="454" s="1"/>
  <c r="R15" i="454" s="1"/>
  <c r="S15" i="454" s="1"/>
  <c r="O11" i="454"/>
  <c r="Q11" i="454" s="1"/>
  <c r="R11" i="454" s="1"/>
  <c r="S11" i="454" s="1"/>
  <c r="Y14" i="454"/>
  <c r="AA14" i="454" s="1"/>
  <c r="AB14" i="454" s="1"/>
  <c r="AC14" i="454" s="1"/>
  <c r="O10" i="454"/>
  <c r="Q10" i="454" s="1"/>
  <c r="R10" i="454" s="1"/>
  <c r="S10" i="454" s="1"/>
  <c r="Y17" i="454"/>
  <c r="AA17" i="454" s="1"/>
  <c r="AB17" i="454" s="1"/>
  <c r="AC17" i="454" s="1"/>
  <c r="Y8" i="454"/>
  <c r="AA8" i="454" s="1"/>
  <c r="AB8" i="454" s="1"/>
  <c r="AC8" i="454" s="1"/>
  <c r="O18" i="454"/>
  <c r="Q18" i="454" s="1"/>
  <c r="R18" i="454" s="1"/>
  <c r="S18" i="454" s="1"/>
  <c r="O7" i="454"/>
  <c r="Q7" i="454" s="1"/>
  <c r="R7" i="454" s="1"/>
  <c r="S7" i="454" s="1"/>
  <c r="O12" i="454"/>
  <c r="Q12" i="454" s="1"/>
  <c r="R12" i="454" s="1"/>
  <c r="S12" i="454" s="1"/>
  <c r="AI3" i="454"/>
  <c r="O9" i="454"/>
  <c r="Q9" i="454" s="1"/>
  <c r="R9" i="454" s="1"/>
  <c r="S9" i="454" s="1"/>
  <c r="O16" i="454"/>
  <c r="Q16" i="454" s="1"/>
  <c r="R16" i="454" s="1"/>
  <c r="S16" i="454" s="1"/>
  <c r="Y16" i="454"/>
  <c r="AA16" i="454" s="1"/>
  <c r="AB16" i="454" s="1"/>
  <c r="AC16" i="454" s="1"/>
  <c r="AC6" i="454"/>
  <c r="AC7" i="454"/>
  <c r="S14" i="454"/>
  <c r="S8" i="454"/>
  <c r="R32" i="454"/>
  <c r="P25" i="454"/>
  <c r="N23" i="454"/>
  <c r="N43" i="454"/>
  <c r="P43" i="454" s="1"/>
  <c r="N41" i="454"/>
  <c r="P41" i="454" s="1"/>
  <c r="N44" i="454"/>
  <c r="P44" i="454" s="1"/>
  <c r="N40" i="454"/>
  <c r="P40" i="454" s="1"/>
  <c r="N39" i="454"/>
  <c r="N42" i="454"/>
  <c r="P42" i="454" s="1"/>
  <c r="AC10" i="454"/>
  <c r="AC9" i="454"/>
  <c r="S19" i="454"/>
  <c r="AC5" i="454"/>
  <c r="AC12" i="454"/>
  <c r="S17" i="454"/>
  <c r="AC15" i="454"/>
  <c r="T23" i="454"/>
  <c r="S13" i="454"/>
  <c r="R34" i="454"/>
  <c r="AC13" i="454"/>
  <c r="R26" i="454"/>
  <c r="P26" i="454"/>
  <c r="R31" i="454" s="1"/>
  <c r="AC18" i="454"/>
  <c r="AC11" i="454"/>
  <c r="R33" i="454"/>
  <c r="S6" i="454"/>
  <c r="AG15" i="446"/>
  <c r="AG14" i="446"/>
  <c r="BF29" i="446"/>
  <c r="AN6" i="446"/>
  <c r="D23" i="446"/>
  <c r="C22" i="446"/>
  <c r="AK15" i="446" s="1"/>
  <c r="AN15" i="446"/>
  <c r="AG13" i="446"/>
  <c r="AN13" i="446" s="1"/>
  <c r="AK16" i="446"/>
  <c r="AN14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AD6" i="454" l="1"/>
  <c r="U5" i="454"/>
  <c r="AE11" i="454"/>
  <c r="U17" i="454"/>
  <c r="AE5" i="454"/>
  <c r="T13" i="454"/>
  <c r="AD9" i="454"/>
  <c r="U16" i="454"/>
  <c r="AE12" i="454"/>
  <c r="AD17" i="454"/>
  <c r="U14" i="454"/>
  <c r="T17" i="454"/>
  <c r="U13" i="454"/>
  <c r="U12" i="454"/>
  <c r="U11" i="454"/>
  <c r="AE18" i="454"/>
  <c r="AD5" i="454"/>
  <c r="AE10" i="454"/>
  <c r="AE13" i="454"/>
  <c r="AE17" i="454"/>
  <c r="U7" i="454"/>
  <c r="AD19" i="454"/>
  <c r="AE14" i="454"/>
  <c r="AE7" i="454"/>
  <c r="T5" i="454"/>
  <c r="AC20" i="454"/>
  <c r="AD16" i="454"/>
  <c r="AE9" i="454"/>
  <c r="T12" i="454"/>
  <c r="T9" i="454"/>
  <c r="R25" i="454"/>
  <c r="P23" i="454"/>
  <c r="R30" i="454"/>
  <c r="R29" i="454"/>
  <c r="R28" i="454"/>
  <c r="R27" i="454"/>
  <c r="U6" i="454"/>
  <c r="AD11" i="454"/>
  <c r="S20" i="454"/>
  <c r="T16" i="454"/>
  <c r="AD13" i="454"/>
  <c r="T11" i="454"/>
  <c r="T14" i="454"/>
  <c r="T6" i="454"/>
  <c r="AD12" i="454"/>
  <c r="P39" i="454"/>
  <c r="N37" i="454"/>
  <c r="T10" i="454"/>
  <c r="AD18" i="454"/>
  <c r="AE15" i="454"/>
  <c r="T19" i="454"/>
  <c r="U15" i="454"/>
  <c r="R47" i="454"/>
  <c r="R44" i="454"/>
  <c r="R49" i="454"/>
  <c r="R48" i="454"/>
  <c r="R46" i="454"/>
  <c r="R45" i="454"/>
  <c r="AD15" i="454"/>
  <c r="T7" i="454"/>
  <c r="U18" i="454"/>
  <c r="R40" i="454"/>
  <c r="AD7" i="454"/>
  <c r="T18" i="454"/>
  <c r="U10" i="454"/>
  <c r="AE16" i="454"/>
  <c r="AD10" i="454"/>
  <c r="AD8" i="454"/>
  <c r="T8" i="454"/>
  <c r="AE6" i="454"/>
  <c r="AD14" i="454"/>
  <c r="T15" i="454"/>
  <c r="U9" i="454"/>
  <c r="R43" i="454"/>
  <c r="AE8" i="454"/>
  <c r="U8" i="454"/>
  <c r="B23" i="446"/>
  <c r="B34" i="446" s="1"/>
  <c r="AK13" i="446"/>
  <c r="AG16" i="446"/>
  <c r="AN16" i="446" s="1"/>
  <c r="AN3" i="446" s="1"/>
  <c r="B24" i="446"/>
  <c r="N30" i="446" s="1"/>
  <c r="P30" i="446" s="1"/>
  <c r="R35" i="446" s="1"/>
  <c r="T46" i="446"/>
  <c r="W25" i="446"/>
  <c r="N27" i="446"/>
  <c r="P27" i="446" s="1"/>
  <c r="V27" i="454" l="1"/>
  <c r="AC26" i="454" s="1"/>
  <c r="U20" i="454"/>
  <c r="L27" i="454" s="1"/>
  <c r="AD20" i="454"/>
  <c r="L40" i="454" s="1"/>
  <c r="AE20" i="454"/>
  <c r="L41" i="454" s="1"/>
  <c r="R39" i="454"/>
  <c r="P37" i="454"/>
  <c r="R41" i="454"/>
  <c r="L25" i="454"/>
  <c r="R23" i="454"/>
  <c r="V25" i="454"/>
  <c r="V29" i="454"/>
  <c r="V30" i="454"/>
  <c r="V32" i="454"/>
  <c r="V34" i="454"/>
  <c r="V33" i="454"/>
  <c r="V31" i="454"/>
  <c r="AC27" i="454"/>
  <c r="V26" i="454"/>
  <c r="V28" i="454"/>
  <c r="R42" i="454"/>
  <c r="L39" i="454"/>
  <c r="V40" i="454"/>
  <c r="T20" i="454"/>
  <c r="L26" i="454" s="1"/>
  <c r="T47" i="446"/>
  <c r="T44" i="446"/>
  <c r="N26" i="446"/>
  <c r="T42" i="446"/>
  <c r="T43" i="446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R32" i="446" s="1"/>
  <c r="T32" i="446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R34" i="446"/>
  <c r="T37" i="446"/>
  <c r="P26" i="446"/>
  <c r="AC25" i="454" l="1"/>
  <c r="AC23" i="454" s="1"/>
  <c r="V42" i="454"/>
  <c r="AE40" i="454" s="1"/>
  <c r="AF20" i="454"/>
  <c r="L42" i="454" s="1"/>
  <c r="L37" i="454" s="1"/>
  <c r="AA40" i="454"/>
  <c r="AA39" i="454"/>
  <c r="AO26" i="454"/>
  <c r="AO29" i="454"/>
  <c r="AO30" i="454"/>
  <c r="AO28" i="454"/>
  <c r="AO27" i="454"/>
  <c r="AO33" i="454"/>
  <c r="AO32" i="454"/>
  <c r="AO25" i="454"/>
  <c r="AO31" i="454"/>
  <c r="V20" i="454"/>
  <c r="L28" i="454" s="1"/>
  <c r="L23" i="454" s="1"/>
  <c r="Y25" i="454"/>
  <c r="V23" i="454"/>
  <c r="V35" i="454" s="1"/>
  <c r="V22" i="454" s="1"/>
  <c r="AE39" i="454"/>
  <c r="AQ30" i="454"/>
  <c r="AQ26" i="454"/>
  <c r="AQ29" i="454"/>
  <c r="AQ28" i="454"/>
  <c r="AQ33" i="454"/>
  <c r="AQ32" i="454"/>
  <c r="AQ27" i="454"/>
  <c r="AQ25" i="454"/>
  <c r="AQ31" i="454"/>
  <c r="AQ34" i="454"/>
  <c r="AK30" i="454"/>
  <c r="AK25" i="454"/>
  <c r="AK29" i="454"/>
  <c r="AK27" i="454"/>
  <c r="AK31" i="454"/>
  <c r="AK26" i="454"/>
  <c r="AK28" i="454"/>
  <c r="AE27" i="454"/>
  <c r="AE26" i="454"/>
  <c r="AE25" i="454"/>
  <c r="AE28" i="454"/>
  <c r="AM29" i="454"/>
  <c r="AM31" i="454"/>
  <c r="AM28" i="454"/>
  <c r="AM26" i="454"/>
  <c r="AM30" i="454"/>
  <c r="AM32" i="454"/>
  <c r="AM25" i="454"/>
  <c r="AM27" i="454"/>
  <c r="V41" i="454"/>
  <c r="AA26" i="454"/>
  <c r="AA25" i="454"/>
  <c r="AI29" i="454"/>
  <c r="AI28" i="454"/>
  <c r="AI26" i="454"/>
  <c r="AI27" i="454"/>
  <c r="AI30" i="454"/>
  <c r="AI25" i="454"/>
  <c r="AG27" i="454"/>
  <c r="AG28" i="454"/>
  <c r="AG26" i="454"/>
  <c r="AG25" i="454"/>
  <c r="AG29" i="454"/>
  <c r="V39" i="454"/>
  <c r="R37" i="454"/>
  <c r="V44" i="454"/>
  <c r="V43" i="454"/>
  <c r="V48" i="454"/>
  <c r="V45" i="454"/>
  <c r="V46" i="454"/>
  <c r="V47" i="454"/>
  <c r="R33" i="446"/>
  <c r="T28" i="446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T23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AA37" i="454" l="1"/>
  <c r="AE42" i="454"/>
  <c r="AE41" i="454"/>
  <c r="AA23" i="454"/>
  <c r="AG23" i="454"/>
  <c r="AM40" i="454"/>
  <c r="AM42" i="454"/>
  <c r="AM45" i="454"/>
  <c r="AM46" i="454"/>
  <c r="AM41" i="454"/>
  <c r="AM44" i="454"/>
  <c r="AM43" i="454"/>
  <c r="AM39" i="454"/>
  <c r="AO40" i="454"/>
  <c r="AO42" i="454"/>
  <c r="AO46" i="454"/>
  <c r="AO45" i="454"/>
  <c r="AO39" i="454"/>
  <c r="AO47" i="454"/>
  <c r="AO44" i="454"/>
  <c r="AO41" i="454"/>
  <c r="AO43" i="454"/>
  <c r="AK41" i="454"/>
  <c r="AK42" i="454"/>
  <c r="AK39" i="454"/>
  <c r="AK45" i="454"/>
  <c r="AK43" i="454"/>
  <c r="AK40" i="454"/>
  <c r="AK44" i="454"/>
  <c r="AC41" i="454"/>
  <c r="AC40" i="454"/>
  <c r="AC39" i="454"/>
  <c r="Y23" i="454"/>
  <c r="AS28" i="454"/>
  <c r="J28" i="454" s="1"/>
  <c r="AS30" i="454"/>
  <c r="AS27" i="454"/>
  <c r="J27" i="454" s="1"/>
  <c r="AS32" i="454"/>
  <c r="J32" i="454" s="1"/>
  <c r="AS33" i="454"/>
  <c r="J33" i="454" s="1"/>
  <c r="AS31" i="454"/>
  <c r="J31" i="454" s="1"/>
  <c r="AS25" i="454"/>
  <c r="AS34" i="454"/>
  <c r="J34" i="454" s="1"/>
  <c r="AS26" i="454"/>
  <c r="J26" i="454" s="1"/>
  <c r="AS35" i="454"/>
  <c r="J35" i="454" s="1"/>
  <c r="AS29" i="454"/>
  <c r="J29" i="454" s="1"/>
  <c r="AG39" i="454"/>
  <c r="AG41" i="454"/>
  <c r="AG40" i="454"/>
  <c r="AG42" i="454"/>
  <c r="AG43" i="454"/>
  <c r="AM23" i="454"/>
  <c r="AE23" i="454"/>
  <c r="AK23" i="454"/>
  <c r="AQ23" i="454"/>
  <c r="AI23" i="454"/>
  <c r="AO23" i="454"/>
  <c r="V37" i="454"/>
  <c r="V49" i="454" s="1"/>
  <c r="Y39" i="454"/>
  <c r="AQ48" i="454"/>
  <c r="AQ40" i="454"/>
  <c r="AQ46" i="454"/>
  <c r="AQ45" i="454"/>
  <c r="AQ39" i="454"/>
  <c r="AQ43" i="454"/>
  <c r="AQ42" i="454"/>
  <c r="AQ44" i="454"/>
  <c r="AQ47" i="454"/>
  <c r="AQ41" i="454"/>
  <c r="AI39" i="454"/>
  <c r="AI44" i="454"/>
  <c r="AI40" i="454"/>
  <c r="AI43" i="454"/>
  <c r="AI42" i="454"/>
  <c r="AI41" i="454"/>
  <c r="J30" i="454"/>
  <c r="AE37" i="454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H29" i="454" l="1"/>
  <c r="H33" i="454"/>
  <c r="H32" i="454"/>
  <c r="H34" i="454"/>
  <c r="AS23" i="454"/>
  <c r="AS22" i="454" s="1"/>
  <c r="H30" i="454"/>
  <c r="J25" i="454"/>
  <c r="H27" i="454" s="1"/>
  <c r="AS43" i="454"/>
  <c r="J43" i="454" s="1"/>
  <c r="AS40" i="454"/>
  <c r="J40" i="454" s="1"/>
  <c r="AS46" i="454"/>
  <c r="J46" i="454" s="1"/>
  <c r="AS47" i="454"/>
  <c r="J47" i="454" s="1"/>
  <c r="AS39" i="454"/>
  <c r="J39" i="454" s="1"/>
  <c r="AS49" i="454"/>
  <c r="J49" i="454" s="1"/>
  <c r="AS41" i="454"/>
  <c r="J41" i="454" s="1"/>
  <c r="AS44" i="454"/>
  <c r="J44" i="454" s="1"/>
  <c r="AS48" i="454"/>
  <c r="J48" i="454" s="1"/>
  <c r="AS42" i="454"/>
  <c r="J42" i="454" s="1"/>
  <c r="AS45" i="454"/>
  <c r="J45" i="454" s="1"/>
  <c r="AC37" i="454"/>
  <c r="AO37" i="454"/>
  <c r="AG37" i="454"/>
  <c r="V36" i="454"/>
  <c r="H35" i="454"/>
  <c r="Y37" i="454"/>
  <c r="AK37" i="454"/>
  <c r="AQ37" i="454"/>
  <c r="AI37" i="454"/>
  <c r="H31" i="454"/>
  <c r="AM37" i="454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H26" i="454" l="1"/>
  <c r="H28" i="454"/>
  <c r="H47" i="454"/>
  <c r="BN12" i="454" s="1"/>
  <c r="H45" i="454"/>
  <c r="BR30" i="454" s="1"/>
  <c r="H46" i="454"/>
  <c r="BN11" i="454" s="1"/>
  <c r="H42" i="454"/>
  <c r="BR34" i="454" s="1"/>
  <c r="H40" i="454"/>
  <c r="BR40" i="454" s="1"/>
  <c r="H43" i="454"/>
  <c r="BR22" i="454" s="1"/>
  <c r="H41" i="454"/>
  <c r="BR16" i="454" s="1"/>
  <c r="H48" i="454"/>
  <c r="BJ52" i="454" s="1"/>
  <c r="J23" i="454"/>
  <c r="H25" i="454"/>
  <c r="J37" i="454"/>
  <c r="H39" i="454"/>
  <c r="BR14" i="454" s="1"/>
  <c r="H44" i="454"/>
  <c r="H49" i="454"/>
  <c r="AS37" i="454"/>
  <c r="AS36" i="454" s="1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BR18" i="454" l="1"/>
  <c r="BJ33" i="454"/>
  <c r="BJ28" i="454"/>
  <c r="BR37" i="454"/>
  <c r="BJ37" i="454"/>
  <c r="BJ44" i="454"/>
  <c r="BJ32" i="454"/>
  <c r="BJ46" i="454"/>
  <c r="BR46" i="454"/>
  <c r="BN10" i="454"/>
  <c r="BJ50" i="454"/>
  <c r="BJ41" i="454"/>
  <c r="BN9" i="454"/>
  <c r="BR38" i="454"/>
  <c r="BR23" i="454"/>
  <c r="BR5" i="454"/>
  <c r="BJ40" i="454"/>
  <c r="BJ27" i="454"/>
  <c r="BJ34" i="454"/>
  <c r="BJ54" i="454"/>
  <c r="BJ45" i="454"/>
  <c r="BJ26" i="454"/>
  <c r="BR45" i="454"/>
  <c r="BJ18" i="454"/>
  <c r="BJ24" i="454"/>
  <c r="BJ15" i="454"/>
  <c r="BJ29" i="454"/>
  <c r="BR32" i="454"/>
  <c r="BR47" i="454"/>
  <c r="BJ49" i="454"/>
  <c r="BR21" i="454"/>
  <c r="BJ23" i="454"/>
  <c r="BR7" i="454"/>
  <c r="BR11" i="454"/>
  <c r="BR27" i="454"/>
  <c r="BR42" i="454"/>
  <c r="BJ47" i="454"/>
  <c r="BJ39" i="454"/>
  <c r="BJ53" i="454"/>
  <c r="BJ19" i="454"/>
  <c r="BJ21" i="454"/>
  <c r="BR19" i="454"/>
  <c r="BR8" i="454"/>
  <c r="BN5" i="454"/>
  <c r="BJ20" i="454"/>
  <c r="BJ36" i="454"/>
  <c r="BR15" i="454"/>
  <c r="BJ30" i="454"/>
  <c r="BN7" i="454"/>
  <c r="BR4" i="454"/>
  <c r="BR13" i="454"/>
  <c r="BN14" i="454"/>
  <c r="BR17" i="454"/>
  <c r="BR6" i="454"/>
  <c r="BJ16" i="454"/>
  <c r="BJ17" i="454"/>
  <c r="BR25" i="454"/>
  <c r="BJ51" i="454"/>
  <c r="BJ35" i="454"/>
  <c r="BR43" i="454"/>
  <c r="BN8" i="454"/>
  <c r="BR28" i="454"/>
  <c r="BR35" i="454"/>
  <c r="BR26" i="454"/>
  <c r="BR41" i="454"/>
  <c r="BR33" i="454"/>
  <c r="BR12" i="454"/>
  <c r="BR9" i="454"/>
  <c r="BN6" i="454"/>
  <c r="BJ31" i="454"/>
  <c r="BJ13" i="454"/>
  <c r="BJ4" i="454"/>
  <c r="BJ9" i="454"/>
  <c r="BJ10" i="454"/>
  <c r="BJ8" i="454"/>
  <c r="BJ12" i="454"/>
  <c r="BJ5" i="454"/>
  <c r="BJ7" i="454"/>
  <c r="H23" i="454"/>
  <c r="BJ11" i="454"/>
  <c r="BJ6" i="454"/>
  <c r="BN4" i="454"/>
  <c r="BJ14" i="454"/>
  <c r="BR36" i="454"/>
  <c r="BR44" i="454"/>
  <c r="BR29" i="454"/>
  <c r="BJ38" i="454"/>
  <c r="BJ57" i="454"/>
  <c r="BJ55" i="454"/>
  <c r="BN13" i="454"/>
  <c r="BJ42" i="454"/>
  <c r="BR20" i="454"/>
  <c r="BJ59" i="454"/>
  <c r="BJ56" i="454"/>
  <c r="BJ58" i="454"/>
  <c r="BJ43" i="454"/>
  <c r="BJ48" i="454"/>
  <c r="BJ25" i="454"/>
  <c r="H37" i="454"/>
  <c r="BR39" i="454"/>
  <c r="BR31" i="454"/>
  <c r="BR24" i="454"/>
  <c r="BR10" i="454"/>
  <c r="BJ22" i="454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/>
  <c r="AE20" i="446"/>
  <c r="L41" i="446" s="1"/>
  <c r="U20" i="446"/>
  <c r="L27" i="446" s="1"/>
  <c r="AS23" i="446"/>
  <c r="J25" i="446"/>
  <c r="AS22" i="446"/>
  <c r="Y37" i="446"/>
  <c r="B39" i="454" l="1"/>
  <c r="B37" i="454"/>
  <c r="B38" i="454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B36" i="454" l="1"/>
  <c r="AK37" i="446"/>
  <c r="AM37" i="446"/>
  <c r="AC37" i="446"/>
  <c r="AE37" i="446"/>
  <c r="AI37" i="446"/>
  <c r="AG37" i="446"/>
  <c r="V36" i="446"/>
  <c r="AS44" i="446"/>
  <c r="J44" i="446" s="1"/>
  <c r="H44" i="446" s="1"/>
  <c r="BJ17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H47" i="446" s="1"/>
  <c r="BJ11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BR44" i="446" s="1"/>
  <c r="H30" i="446"/>
  <c r="BJ46" i="446" s="1"/>
  <c r="L23" i="446"/>
  <c r="H29" i="446"/>
  <c r="H28" i="446"/>
  <c r="BR23" i="446"/>
  <c r="BJ25" i="446" l="1"/>
  <c r="BR36" i="446"/>
  <c r="BJ8" i="446"/>
  <c r="BJ20" i="446"/>
  <c r="BJ54" i="446"/>
  <c r="BJ51" i="446"/>
  <c r="H49" i="446"/>
  <c r="H48" i="446"/>
  <c r="BJ28" i="446"/>
  <c r="BR47" i="446"/>
  <c r="H46" i="446"/>
  <c r="BR38" i="446" s="1"/>
  <c r="J39" i="446"/>
  <c r="AS37" i="446"/>
  <c r="AS36" i="446" s="1"/>
  <c r="BN9" i="446"/>
  <c r="BJ59" i="446"/>
  <c r="H45" i="446"/>
  <c r="H43" i="446"/>
  <c r="BJ31" i="446" s="1"/>
  <c r="BJ41" i="446"/>
  <c r="BJ38" i="446"/>
  <c r="BR45" i="446"/>
  <c r="BJ32" i="446"/>
  <c r="BJ37" i="446"/>
  <c r="BR29" i="446"/>
  <c r="H23" i="446"/>
  <c r="BJ56" i="446"/>
  <c r="BN12" i="446"/>
  <c r="BJ35" i="446"/>
  <c r="BR35" i="446" l="1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N11" i="436" s="1"/>
  <c r="AI11" i="436" s="1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N6" i="436" s="1"/>
  <c r="AI6" i="436" s="1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F45" i="436" s="1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F31" i="436" s="1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F28" i="436" s="1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C25" i="436"/>
  <c r="E25" i="436"/>
  <c r="D25" i="436"/>
  <c r="D23" i="436" s="1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BP9" i="436"/>
  <c r="BP12" i="436" s="1"/>
  <c r="BP16" i="436" s="1"/>
  <c r="BP20" i="436" s="1"/>
  <c r="BP26" i="436" s="1"/>
  <c r="BP33" i="436" s="1"/>
  <c r="BP41" i="436" s="1"/>
  <c r="BL9" i="436"/>
  <c r="BP23" i="436" s="1"/>
  <c r="BP29" i="436" s="1"/>
  <c r="BP36" i="436" s="1"/>
  <c r="BP44" i="436" s="1"/>
  <c r="Z9" i="436"/>
  <c r="P9" i="436"/>
  <c r="Z8" i="436"/>
  <c r="P8" i="436"/>
  <c r="AA7" i="436"/>
  <c r="Z7" i="436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K2" i="436" l="1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45" i="435" l="1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44" i="285" l="1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7" i="435" l="1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J48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E45" i="273"/>
  <c r="BE44" i="273"/>
  <c r="BF45" i="273" s="1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H39" i="273" s="1"/>
  <c r="BH44" i="273" s="1"/>
  <c r="BL10" i="273" s="1"/>
  <c r="BP30" i="273" s="1"/>
  <c r="BP37" i="273" s="1"/>
  <c r="BP45" i="273" s="1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F29" i="273" s="1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AA19" i="273" s="1"/>
  <c r="Y19" i="273"/>
  <c r="P19" i="273"/>
  <c r="O19" i="273"/>
  <c r="AA18" i="273"/>
  <c r="Q18" i="273"/>
  <c r="Z17" i="273"/>
  <c r="Y17" i="273"/>
  <c r="Q17" i="273"/>
  <c r="P17" i="273"/>
  <c r="O17" i="273"/>
  <c r="Y16" i="273"/>
  <c r="AA16" i="273" s="1"/>
  <c r="Q16" i="273"/>
  <c r="O16" i="273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AA11" i="273" s="1"/>
  <c r="Y11" i="273"/>
  <c r="P11" i="273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Q6" i="273" s="1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H1" i="273" s="1"/>
  <c r="AF1" i="273"/>
  <c r="S1" i="273"/>
  <c r="K1" i="273"/>
  <c r="G1" i="273"/>
  <c r="AA8" i="273" l="1"/>
  <c r="Q11" i="273"/>
  <c r="AA17" i="273"/>
  <c r="BF42" i="273"/>
  <c r="L1" i="273"/>
  <c r="M1" i="273" s="1"/>
  <c r="M2" i="273" s="1"/>
  <c r="R16" i="273" s="1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AB8" i="273" l="1"/>
  <c r="AB11" i="273"/>
  <c r="AB9" i="273"/>
  <c r="AB13" i="273"/>
  <c r="AB19" i="273"/>
  <c r="AB15" i="273"/>
  <c r="AB17" i="273"/>
  <c r="AC17" i="273" s="1"/>
  <c r="R18" i="273"/>
  <c r="S18" i="273" s="1"/>
  <c r="AB16" i="273"/>
  <c r="R6" i="273"/>
  <c r="R19" i="273"/>
  <c r="R8" i="273"/>
  <c r="R17" i="273"/>
  <c r="AB10" i="273"/>
  <c r="AB18" i="273"/>
  <c r="AC18" i="273" s="1"/>
  <c r="R10" i="273"/>
  <c r="S10" i="273" s="1"/>
  <c r="AB12" i="273"/>
  <c r="R12" i="273"/>
  <c r="AB6" i="273"/>
  <c r="R14" i="273"/>
  <c r="AB5" i="273"/>
  <c r="AC5" i="273" s="1"/>
  <c r="R5" i="273"/>
  <c r="S5" i="273" s="1"/>
  <c r="R15" i="273"/>
  <c r="S15" i="273" s="1"/>
  <c r="R9" i="273"/>
  <c r="S9" i="273" s="1"/>
  <c r="R11" i="273"/>
  <c r="R13" i="273"/>
  <c r="S13" i="273" s="1"/>
  <c r="AB14" i="273"/>
  <c r="R7" i="273"/>
  <c r="AB7" i="273"/>
  <c r="T33" i="273"/>
  <c r="T34" i="273"/>
  <c r="B31" i="273"/>
  <c r="T47" i="273" s="1"/>
  <c r="AC12" i="273"/>
  <c r="S7" i="273"/>
  <c r="AC7" i="273"/>
  <c r="S12" i="273"/>
  <c r="AC14" i="273"/>
  <c r="B34" i="273"/>
  <c r="B24" i="273"/>
  <c r="AC15" i="273"/>
  <c r="AC8" i="273"/>
  <c r="S8" i="273"/>
  <c r="S17" i="273"/>
  <c r="AC16" i="273"/>
  <c r="AC13" i="273"/>
  <c r="S11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4" i="273"/>
  <c r="S19" i="273"/>
  <c r="U10" i="273" l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AD19" i="273"/>
  <c r="U8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U20" i="273" l="1"/>
  <c r="L26" i="273" s="1"/>
  <c r="T20" i="273"/>
  <c r="L25" i="273" s="1"/>
  <c r="R33" i="273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40" i="273"/>
  <c r="R31" i="273"/>
  <c r="R32" i="273"/>
  <c r="R41" i="273"/>
  <c r="R42" i="273"/>
  <c r="R39" i="273" l="1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<sst xmlns="http://schemas.openxmlformats.org/spreadsheetml/2006/main" count="1322" uniqueCount="163">
  <si>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</si>
  <si>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</si>
  <si>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</si>
  <si>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</si>
  <si>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</si>
  <si>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</si>
  <si>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</si>
  <si>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</si>
  <si>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</si>
  <si>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</si>
  <si>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</si>
  <si>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</si>
  <si>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</si>
  <si>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</si>
  <si>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</si>
  <si>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</si>
  <si>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</si>
  <si>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</si>
  <si>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</si>
  <si>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</si>
  <si>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</si>
  <si>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</si>
  <si>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</si>
  <si>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</si>
  <si>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</si>
  <si>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</si>
  <si>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</si>
  <si>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</si>
  <si>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</si>
  <si>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</si>
  <si>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</si>
  <si>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</si>
  <si>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</si>
  <si>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</si>
  <si>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</si>
  <si>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</si>
  <si>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</si>
  <si>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</si>
  <si>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</si>
  <si>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</si>
  <si>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</si>
  <si>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</si>
  <si>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</si>
  <si>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</si>
  <si>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</si>
  <si>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</si>
  <si>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</si>
  <si>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</si>
  <si>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</si>
  <si>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</si>
  <si>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</si>
  <si>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</si>
  <si>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</si>
  <si>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</si>
  <si>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</si>
  <si>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</si>
  <si>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</si>
  <si>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</si>
  <si>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</si>
  <si>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</si>
  <si>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</si>
  <si>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</si>
  <si>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</si>
  <si>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</si>
  <si>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</si>
  <si>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</si>
  <si>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</si>
  <si>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</si>
  <si>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</si>
  <si>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</si>
  <si>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</si>
  <si>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</si>
  <si>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</si>
  <si>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</si>
  <si>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</si>
  <si>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</si>
  <si>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</si>
  <si>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</si>
  <si>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</si>
  <si>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</si>
  <si>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</si>
  <si>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</si>
  <si>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</si>
  <si>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</si>
  <si>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</si>
  <si>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</si>
  <si>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</si>
  <si>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</si>
  <si>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</si>
  <si>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</si>
  <si>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</si>
  <si>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</si>
  <si>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</si>
  <si>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</si>
  <si>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</si>
  <si>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</si>
  <si>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</si>
  <si>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</si>
  <si>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</si>
  <si>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</si>
  <si>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</si>
  <si>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</si>
  <si>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</si>
  <si>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</si>
  <si>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</si>
  <si>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</si>
  <si>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</si>
  <si>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</si>
  <si>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</si>
  <si>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</si>
  <si>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</si>
  <si>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</si>
  <si>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</si>
  <si>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</si>
  <si>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</si>
  <si>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</si>
  <si>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</si>
  <si>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</si>
  <si>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</si>
  <si>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</si>
  <si>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</si>
  <si>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</si>
  <si>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</si>
  <si>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</si>
  <si>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</si>
  <si>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</si>
  <si>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</si>
  <si>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</si>
  <si>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</si>
  <si>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</si>
  <si>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</si>
  <si>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</si>
  <si>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</si>
  <si>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</si>
  <si>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</si>
  <si>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</si>
  <si>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</si>
  <si>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</si>
  <si>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</si>
  <si>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</si>
  <si>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</si>
  <si>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</si>
  <si>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</si>
  <si>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</si>
  <si>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</si>
  <si>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</si>
  <si>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</si>
  <si>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</si>
  <si>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</si>
  <si>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</si>
  <si>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</si>
  <si>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</si>
  <si>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</si>
  <si>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</si>
  <si>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</si>
  <si>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</si>
  <si>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</si>
  <si>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</si>
  <si>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</si>
  <si>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</si>
  <si>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</si>
  <si>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</si>
  <si>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Knights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</si>
</sst>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'Knights-OBIWAN'!$G$25:$G$35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'Knights-OBIWAN'!$H$25:$H$35</c:f>
              <c:numCache>
                <c:formatCode>0.0%</c:formatCode>
                <c:ptCount val="11"/>
                <c:pt idx="0">
                  <c:v>6.8096396333139991E-2</c:v>
                </c:pt>
                <c:pt idx="1">
                  <c:v>0.2040863772080671</c:v>
                </c:pt>
                <c:pt idx="2">
                  <c:v>0.28112423332691011</c:v>
                </c:pt>
                <c:pt idx="3">
                  <c:v>0.23577880156944953</c:v>
                </c:pt>
                <c:pt idx="4">
                  <c:v>0.1344490572289041</c:v>
                </c:pt>
                <c:pt idx="5">
                  <c:v>5.5122166347747581E-2</c:v>
                </c:pt>
                <c:pt idx="6">
                  <c:v>1.675202134106828E-2</c:v>
                </c:pt>
                <c:pt idx="7">
                  <c:v>3.8328665609097361E-3</c:v>
                </c:pt>
                <c:pt idx="8">
                  <c:v>6.6310192766261353E-4</c:v>
                </c:pt>
                <c:pt idx="9">
                  <c:v>8.6167925577191338E-5</c:v>
                </c:pt>
                <c:pt idx="10">
                  <c:v>8.2337613192123086E-6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0-4720-BDD1-DAEC3CD50DD9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'Knights-OBIWAN'!$H$39:$H$49</c:f>
              <c:numCache>
                <c:formatCode>0.0%</c:formatCode>
                <c:ptCount val="11"/>
                <c:pt idx="0">
                  <c:v>2.3951888209220278E-3</c:v>
                </c:pt>
                <c:pt idx="1">
                  <c:v>1.8991109193155439E-2</c:v>
                </c:pt>
                <c:pt idx="2">
                  <c:v>6.86458579440586E-2</c:v>
                </c:pt>
                <c:pt idx="3">
                  <c:v>0.14955042008514985</c:v>
                </c:pt>
                <c:pt idx="4">
                  <c:v>0.21870851523846033</c:v>
                </c:pt>
                <c:pt idx="5">
                  <c:v>0.22628878518759804</c:v>
                </c:pt>
                <c:pt idx="6">
                  <c:v>0.17005498085679691</c:v>
                </c:pt>
                <c:pt idx="7">
                  <c:v>9.378063713237475E-2</c:v>
                </c:pt>
                <c:pt idx="8">
                  <c:v>3.788684345235787E-2</c:v>
                </c:pt>
                <c:pt idx="9">
                  <c:v>1.107062670815317E-2</c:v>
                </c:pt>
                <c:pt idx="10">
                  <c:v>2.2812538436811454E-3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0-4720-BDD1-DAEC3CD50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C6E4-4C9E-AC3A-49BDB758D64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C6E4-4C9E-AC3A-49BDB758D64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C6E4-4C9E-AC3A-49BDB758D647}"/>
              </c:ext>
            </c:extLst>
          </c:dPt>
          <c:val>
            <c:numRef>
              <c:f>'Knights-OBIWAN'!$B$37:$B$39</c:f>
              <c:numCache>
                <c:formatCode>0.0%</c:formatCode>
                <c:ptCount val="3"/>
                <c:pt idx="0">
                  <c:v>0.10371075404235458</c:v>
                </c:pt>
                <c:pt idx="1">
                  <c:v>0.79531476331454676</c:v>
                </c:pt>
                <c:pt idx="2">
                  <c:v>0.10061991270495774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4-4C9E-AC3A-49BDB758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M20" sqref="M20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162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0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3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3.6837000000000018</v>
      </c>
      <c r="AM3" s="208">
        <f>SUM(AM5:AM19)</f>
        <v>3.6837000000000009</v>
      </c>
      <c r="AN3" s="208">
        <f>SUM(AN5:AN19)</f>
        <v>2.1990999999999996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1.2932260984230511E-3</v>
      </c>
      <c r="BL4">
        <v>0</v>
      </c>
      <c r="BM4">
        <v>0</v>
      </c>
      <c r="BN4" s="107">
        <f>H25*H39</f>
        <v>1.6310372724221266E-4</v>
      </c>
      <c r="BP4">
        <v>1</v>
      </c>
      <c r="BQ4">
        <v>0</v>
      </c>
      <c r="BR4" s="107">
        <f>$H$26*H39</f>
        <v>4.8882540919123843E-4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</v>
      </c>
      <c r="AO5">
        <f>1/6</f>
        <v>0.16666666666666666</v>
      </c>
      <c r="BH5">
        <v>0</v>
      </c>
      <c r="BI5">
        <v>2</v>
      </c>
      <c r="BJ5" s="107">
        <f t="shared" si="0"/>
        <v>4.674535549187041E-3</v>
      </c>
      <c r="BL5">
        <v>1</v>
      </c>
      <c r="BM5">
        <v>1</v>
      </c>
      <c r="BN5" s="107">
        <f>$H$26*H40</f>
        <v>3.8758266743939116E-3</v>
      </c>
      <c r="BP5">
        <f>BP4+1</f>
        <v>2</v>
      </c>
      <c r="BQ5">
        <v>0</v>
      </c>
      <c r="BR5" s="107">
        <f>$H$27*H39</f>
        <v>6.733456209548908E-4</v>
      </c>
    </row>
    <row r="6" spans="1:70" x14ac:dyDescent="0.25">
      <c r="A6" s="2" t="s">
        <v>1</v>
      </c>
      <c r="B6" s="168">
        <v>10.75</v>
      </c>
      <c r="C6" s="169">
        <v>13.25</v>
      </c>
      <c r="E6" s="192" t="s">
        <v>17</v>
      </c>
      <c r="F6" s="167" t="s">
        <v>154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4.3479167898231114E-2</v>
      </c>
      <c r="P6" s="210">
        <f>P3</f>
        <v>0.56999999999999995</v>
      </c>
      <c r="Q6" s="214">
        <f t="shared" ref="Q6:Q19" si="2">P6*O6</f>
        <v>2.4783125701991732E-2</v>
      </c>
      <c r="R6" s="157">
        <f t="shared" ref="R6:R19" si="3">IF($B$17="JC",IF($C$17="JC",$W$1,$V$1*1.1),IF($C$17="JC",$V$1/0.9,$U$1))*Q6/1.5</f>
        <v>2.4783125701991732E-2</v>
      </c>
      <c r="S6" s="176">
        <f t="shared" ref="S6:S19" si="4">(1-R6)</f>
        <v>0.9752168742980083</v>
      </c>
      <c r="T6" s="177">
        <f>R6*S5*PRODUCT(S7:S19)</f>
        <v>1.8309962770000476E-2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5.7247969014709334E-3</v>
      </c>
      <c r="V6" s="18"/>
      <c r="W6" s="186" t="s">
        <v>38</v>
      </c>
      <c r="X6" s="15" t="s">
        <v>39</v>
      </c>
      <c r="Y6" s="69">
        <f t="shared" ref="Y6:Y19" si="5">AK6*AI6*AL6*AO6</f>
        <v>4.3479167898231114E-2</v>
      </c>
      <c r="Z6" s="69">
        <f>Z3</f>
        <v>0.56999999999999995</v>
      </c>
      <c r="AA6" s="69">
        <f t="shared" ref="AA6:AA19" si="6">Z6*Y6</f>
        <v>2.4783125701991732E-2</v>
      </c>
      <c r="AB6" s="157">
        <f t="shared" ref="AB6:AB19" si="7">IF($B$17="JC",IF($C$17="JC",$W$1,$V$1/0.9),IF($C$17="JC",$V$1*1.1,$U$1))*AA6/1.5</f>
        <v>2.4783125701991732E-2</v>
      </c>
      <c r="AC6" s="176">
        <f t="shared" ref="AC6:AC19" si="8">(1-AB6)</f>
        <v>0.9752168742980083</v>
      </c>
      <c r="AD6" s="177">
        <f>AB6*AC5*PRODUCT(AC7:AC19)</f>
        <v>1.5417876675783666E-2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7.9146809550446409E-3</v>
      </c>
      <c r="AF6" s="18"/>
      <c r="AG6" s="203">
        <f>IF(COUNTIF(F11:F18,"IMP")+COUNTIF(J11:J18,"IMP")=0,0,COUNTIF(F11:F18,"IMP")/(COUNTIF(F11:F18,"IMP")+COUNTIF(J11:J18,"IMP")))</f>
        <v>0.5</v>
      </c>
      <c r="AH6">
        <f>COUNTIF(F11:F18,"IMP")</f>
        <v>1</v>
      </c>
      <c r="AI6" s="207">
        <f t="shared" ref="AI6:AI19" si="9">AN6*$AM$3/$AN$3</f>
        <v>0.69566668637169782</v>
      </c>
      <c r="AK6" s="203">
        <f>IF(COUNTIF(F11:F18,"IMP")+COUNTIF(J11:J18,"IMP")=0,0,COUNTIF(J11:J18,"IMP")/(COUNTIF(F11:F18,"IMP")+COUNTIF(J11:J18,"IMP")))</f>
        <v>0.5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1.0183844677905944E-2</v>
      </c>
      <c r="BL6">
        <f>BH14+1</f>
        <v>2</v>
      </c>
      <c r="BM6">
        <v>2</v>
      </c>
      <c r="BN6" s="107">
        <f>$H$27*H41</f>
        <v>1.9298014185591454E-2</v>
      </c>
      <c r="BP6">
        <f>BL5+1</f>
        <v>2</v>
      </c>
      <c r="BQ6">
        <v>1</v>
      </c>
      <c r="BR6" s="107">
        <f>$H$27*H40</f>
        <v>5.3388610119534568E-3</v>
      </c>
    </row>
    <row r="7" spans="1:70" x14ac:dyDescent="0.25">
      <c r="A7" s="5" t="s">
        <v>2</v>
      </c>
      <c r="B7" s="168">
        <v>6.5</v>
      </c>
      <c r="C7" s="169">
        <v>15.75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3.2664339957255255E-3</v>
      </c>
      <c r="P7" s="210">
        <f>P2</f>
        <v>0.45</v>
      </c>
      <c r="Q7" s="214">
        <f t="shared" si="2"/>
        <v>1.4698952980764866E-3</v>
      </c>
      <c r="R7" s="157">
        <f t="shared" si="3"/>
        <v>1.4698952980764866E-3</v>
      </c>
      <c r="S7" s="176">
        <f t="shared" si="4"/>
        <v>0.99853010470192349</v>
      </c>
      <c r="T7" s="177">
        <f>R7*PRODUCT(S5:S6)*PRODUCT(S8:S19)</f>
        <v>1.0606151506465605E-3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3.3005087317922172E-4</v>
      </c>
      <c r="W7" s="187" t="s">
        <v>155</v>
      </c>
      <c r="X7" s="15" t="s">
        <v>156</v>
      </c>
      <c r="Y7" s="69">
        <f t="shared" si="5"/>
        <v>3.2664339957255255E-3</v>
      </c>
      <c r="Z7" s="69">
        <f>Z2</f>
        <v>0.45</v>
      </c>
      <c r="AA7" s="69">
        <f t="shared" si="6"/>
        <v>1.4698952980764866E-3</v>
      </c>
      <c r="AB7" s="157">
        <f t="shared" si="7"/>
        <v>1.4698952980764866E-3</v>
      </c>
      <c r="AC7" s="176">
        <f t="shared" si="8"/>
        <v>0.99853010470192349</v>
      </c>
      <c r="AD7" s="177">
        <f>AB7*PRODUCT(AC5:AC6)*PRODUCT(AC8:AC19)</f>
        <v>8.930893961143733E-4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4.5714777743667491E-4</v>
      </c>
      <c r="AG7" s="203">
        <f>IF(COUNTIF(F14:F18,"IMP")+COUNTIF(J14:J18,"IMP")=0,0,COUNTIF(J14:J18,"IMP")/(COUNTIF(F14:F18,"IMP")+COUNTIF(J14:J18,"IMP")))</f>
        <v>0.5</v>
      </c>
      <c r="AH7">
        <f>COUNTIF(J14:J18,"IMP")</f>
        <v>1</v>
      </c>
      <c r="AI7" s="207">
        <f t="shared" si="9"/>
        <v>6.532867991451051E-3</v>
      </c>
      <c r="AK7" s="203">
        <f>IF(COUNTIF(F14:F18,"IMP")+COUNTIF(J14:J18,"IMP")=0,0,COUNTIF(F14:F18,"IMP")/(COUNTIF(F14:F18,"IMP")+COUNTIF(J14:J18,"IMP")))</f>
        <v>0.5</v>
      </c>
      <c r="AL7">
        <f>COUNTIF(F14:F18,"IMP")</f>
        <v>1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1.4893261735110781E-2</v>
      </c>
      <c r="BL7">
        <f>BH23+1</f>
        <v>3</v>
      </c>
      <c r="BM7">
        <v>3</v>
      </c>
      <c r="BN7" s="107">
        <f>$H$28*H42</f>
        <v>3.5260818821884365E-2</v>
      </c>
      <c r="BP7">
        <f>BP5+1</f>
        <v>3</v>
      </c>
      <c r="BQ7">
        <v>0</v>
      </c>
      <c r="BR7" s="107">
        <f>$H$28*H39</f>
        <v>5.6473474972953855E-4</v>
      </c>
    </row>
    <row r="8" spans="1:70" x14ac:dyDescent="0.25">
      <c r="A8" s="5" t="s">
        <v>3</v>
      </c>
      <c r="B8" s="168">
        <v>10.25</v>
      </c>
      <c r="C8" s="169">
        <v>14.25</v>
      </c>
      <c r="E8" s="192" t="s">
        <v>18</v>
      </c>
      <c r="F8" s="167" t="s">
        <v>123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2.963628477384106E-2</v>
      </c>
      <c r="P8" s="210">
        <f>P2</f>
        <v>0.45</v>
      </c>
      <c r="Q8" s="214">
        <f t="shared" si="2"/>
        <v>1.3336328148228478E-2</v>
      </c>
      <c r="R8" s="157">
        <f t="shared" si="3"/>
        <v>1.3336328148228478E-2</v>
      </c>
      <c r="S8" s="176">
        <f t="shared" si="4"/>
        <v>0.98666367185177151</v>
      </c>
      <c r="T8" s="177">
        <f>R8*PRODUCT(S5:S7)*PRODUCT(S9:S19)</f>
        <v>9.738671659736256E-3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2.8989256474675276E-3</v>
      </c>
      <c r="W8" s="186" t="s">
        <v>42</v>
      </c>
      <c r="X8" s="15" t="s">
        <v>43</v>
      </c>
      <c r="Y8" s="69">
        <f t="shared" si="5"/>
        <v>2.963628477384106E-2</v>
      </c>
      <c r="Z8" s="69">
        <f>Z2</f>
        <v>0.45</v>
      </c>
      <c r="AA8" s="69">
        <f t="shared" si="6"/>
        <v>1.3336328148228478E-2</v>
      </c>
      <c r="AB8" s="157">
        <f t="shared" si="7"/>
        <v>1.3336328148228478E-2</v>
      </c>
      <c r="AC8" s="176">
        <f t="shared" si="8"/>
        <v>0.98666367185177151</v>
      </c>
      <c r="AD8" s="177">
        <f>AB8*PRODUCT(AC5:AC7)*PRODUCT(AC9:AC19)</f>
        <v>8.2004338578870375E-3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4.0867335361227065E-3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0.77054340411986755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1.5409450801879455E-2</v>
      </c>
      <c r="BL8">
        <f>BH31+1</f>
        <v>4</v>
      </c>
      <c r="BM8">
        <v>4</v>
      </c>
      <c r="BN8" s="107">
        <f>$H$29*H43</f>
        <v>2.9405153681744397E-2</v>
      </c>
      <c r="BP8">
        <f>BP6+1</f>
        <v>3</v>
      </c>
      <c r="BQ8">
        <v>1</v>
      </c>
      <c r="BR8" s="107">
        <f>$H$28*H40</f>
        <v>4.4777009660367448E-3</v>
      </c>
    </row>
    <row r="9" spans="1:70" x14ac:dyDescent="0.25">
      <c r="A9" s="5" t="s">
        <v>4</v>
      </c>
      <c r="B9" s="168">
        <v>13.25</v>
      </c>
      <c r="C9" s="169">
        <v>16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0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0</v>
      </c>
      <c r="AO9">
        <v>1</v>
      </c>
      <c r="BH9">
        <v>0</v>
      </c>
      <c r="BI9">
        <v>6</v>
      </c>
      <c r="BJ9" s="107">
        <f t="shared" si="0"/>
        <v>1.1580131374848977E-2</v>
      </c>
      <c r="BL9">
        <f>BH38+1</f>
        <v>5</v>
      </c>
      <c r="BM9">
        <v>5</v>
      </c>
      <c r="BN9" s="107">
        <f>$H$30*H44</f>
        <v>1.2473528059740498E-2</v>
      </c>
      <c r="BP9">
        <f>BL6+1</f>
        <v>3</v>
      </c>
      <c r="BQ9">
        <v>2</v>
      </c>
      <c r="BR9" s="107">
        <f>$H$28*H41</f>
        <v>1.6185238118756815E-2</v>
      </c>
    </row>
    <row r="10" spans="1:70" x14ac:dyDescent="0.25">
      <c r="A10" s="6" t="s">
        <v>5</v>
      </c>
      <c r="B10" s="168">
        <v>18.5</v>
      </c>
      <c r="C10" s="169">
        <v>17.5</v>
      </c>
      <c r="E10" s="192" t="s">
        <v>17</v>
      </c>
      <c r="F10" s="167" t="s">
        <v>154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0</v>
      </c>
      <c r="P10" s="210">
        <f>P3</f>
        <v>0.56999999999999995</v>
      </c>
      <c r="Q10" s="214">
        <f t="shared" si="2"/>
        <v>0</v>
      </c>
      <c r="R10" s="157">
        <f t="shared" si="3"/>
        <v>0</v>
      </c>
      <c r="S10" s="176">
        <f t="shared" si="4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7">
        <f t="shared" si="7"/>
        <v>0</v>
      </c>
      <c r="AC10" s="176">
        <f t="shared" si="8"/>
        <v>1</v>
      </c>
      <c r="AD10" s="177">
        <f>AB10*PRODUCT(AC5:AC9)*PRODUCT(AC11:AC19)</f>
        <v>0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203">
        <f>IF(COUNTIF(F11:F18,"RAP")+COUNTIF(J11:J18,"RAP")=0,0,COUNTIF(F11:F18,"RAP")/(COUNTIF(F11:F18,"RAP")+COUNTIF(J11:J18,"RAP")))</f>
        <v>0</v>
      </c>
      <c r="AH10">
        <f>COUNTIF(F11:F18,"RAP")</f>
        <v>0</v>
      </c>
      <c r="AI10" s="207">
        <f t="shared" si="9"/>
        <v>0</v>
      </c>
      <c r="AK10" s="203">
        <f>IF(COUNTIF(F11:F18,"RAP")+COUNTIF(J11:J18,"RAP")=0,0,COUNTIF(J11:J18,"RAP")/(COUNTIF(F11:F18,"RAP")+COUNTIF(J11:J18,"RAP")))</f>
        <v>0</v>
      </c>
      <c r="AL10">
        <f>COUNTIF(J11:J18,"RAP")</f>
        <v>0</v>
      </c>
      <c r="AM10" s="208">
        <v>0.5</v>
      </c>
      <c r="AN10" s="209">
        <f t="shared" si="10"/>
        <v>0</v>
      </c>
      <c r="AO10">
        <f>1/8</f>
        <v>0.125</v>
      </c>
      <c r="BH10">
        <v>0</v>
      </c>
      <c r="BI10">
        <v>7</v>
      </c>
      <c r="BJ10" s="107">
        <f t="shared" si="0"/>
        <v>6.3861234345405759E-3</v>
      </c>
      <c r="BL10">
        <f>BH44+1</f>
        <v>6</v>
      </c>
      <c r="BM10">
        <v>6</v>
      </c>
      <c r="BN10" s="107">
        <f>$H$31*H45</f>
        <v>2.8487646684680198E-3</v>
      </c>
      <c r="BP10">
        <f>BP7+1</f>
        <v>4</v>
      </c>
      <c r="BQ10">
        <v>0</v>
      </c>
      <c r="BR10" s="107">
        <f>$H$29*H39</f>
        <v>3.2203087885817705E-4</v>
      </c>
    </row>
    <row r="11" spans="1:70" x14ac:dyDescent="0.25">
      <c r="A11" s="6" t="s">
        <v>6</v>
      </c>
      <c r="B11" s="168">
        <v>20.25</v>
      </c>
      <c r="C11" s="169">
        <v>10.5</v>
      </c>
      <c r="E11" s="192" t="s">
        <v>19</v>
      </c>
      <c r="F11" s="167" t="s">
        <v>154</v>
      </c>
      <c r="G11" s="167"/>
      <c r="H11" s="10"/>
      <c r="I11" s="10"/>
      <c r="J11" s="166" t="s">
        <v>21</v>
      </c>
      <c r="K11" s="166"/>
      <c r="L11" s="10"/>
      <c r="M11" s="10"/>
      <c r="O11" s="67">
        <f t="shared" si="1"/>
        <v>0</v>
      </c>
      <c r="P11" s="210">
        <f>P3</f>
        <v>0.56999999999999995</v>
      </c>
      <c r="Q11" s="214">
        <f t="shared" si="2"/>
        <v>0</v>
      </c>
      <c r="R11" s="157">
        <f t="shared" si="3"/>
        <v>0</v>
      </c>
      <c r="S11" s="176">
        <f t="shared" si="4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7">
        <f t="shared" si="7"/>
        <v>0</v>
      </c>
      <c r="AC11" s="176">
        <f t="shared" si="8"/>
        <v>1</v>
      </c>
      <c r="AD11" s="177">
        <f>AB11*PRODUCT(AC5:AC10)*PRODUCT(AC12:AC19)</f>
        <v>0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203">
        <f>IF(COUNTIF(F11:F18,"RAP")+COUNTIF(J11:J18,"RAP")=0,0,COUNTIF(F11:F18,"RAP")/(COUNTIF(F11:F18,"RAP")+COUNTIF(J11:J18,"RAP")))</f>
        <v>0</v>
      </c>
      <c r="AH11">
        <f>COUNTIF(F11:F18,"RAP")</f>
        <v>0</v>
      </c>
      <c r="AI11" s="207">
        <f t="shared" si="9"/>
        <v>0</v>
      </c>
      <c r="AK11" s="203">
        <f>IF(COUNTIF(F11:F18,"RAP")+COUNTIF(J11:J18,"RAP")=0,0,COUNTIF(J11:J18,"RAP")/(COUNTIF(F11:F18,"RAP")+COUNTIF(J11:J18,"RAP")))</f>
        <v>0</v>
      </c>
      <c r="AL11">
        <f>COUNTIF(J11:J18,"RAP")</f>
        <v>0</v>
      </c>
      <c r="AM11" s="208">
        <v>0.5</v>
      </c>
      <c r="AN11" s="209">
        <f t="shared" si="10"/>
        <v>0</v>
      </c>
      <c r="AO11">
        <f>1/8</f>
        <v>0.125</v>
      </c>
      <c r="BH11">
        <v>0</v>
      </c>
      <c r="BI11">
        <v>8</v>
      </c>
      <c r="BJ11" s="107">
        <f t="shared" si="0"/>
        <v>2.5799575075433913E-3</v>
      </c>
      <c r="BL11">
        <f>BH50+1</f>
        <v>7</v>
      </c>
      <c r="BM11">
        <v>7</v>
      </c>
      <c r="BN11" s="107">
        <f>$H$32*H46</f>
        <v>3.5944866812548908E-4</v>
      </c>
      <c r="BP11">
        <f>BP8+1</f>
        <v>4</v>
      </c>
      <c r="BQ11">
        <v>1</v>
      </c>
      <c r="BR11" s="107">
        <f>$H$29*H40</f>
        <v>2.5533367267509223E-3</v>
      </c>
    </row>
    <row r="12" spans="1:70" x14ac:dyDescent="0.25">
      <c r="A12" s="6" t="s">
        <v>7</v>
      </c>
      <c r="B12" s="168">
        <v>16</v>
      </c>
      <c r="C12" s="169">
        <v>18.5</v>
      </c>
      <c r="E12" s="192" t="s">
        <v>19</v>
      </c>
      <c r="F12" s="167" t="s">
        <v>154</v>
      </c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4.8158962757491718E-3</v>
      </c>
      <c r="P12" s="210">
        <f>P2</f>
        <v>0.45</v>
      </c>
      <c r="Q12" s="214">
        <f t="shared" si="2"/>
        <v>2.1671533240871276E-3</v>
      </c>
      <c r="R12" s="157">
        <f t="shared" si="3"/>
        <v>2.1671533240871276E-3</v>
      </c>
      <c r="S12" s="176">
        <f t="shared" si="4"/>
        <v>0.99783284667591288</v>
      </c>
      <c r="T12" s="177">
        <f>R12*PRODUCT(S5:S11)*PRODUCT(S13:S19)</f>
        <v>1.5648201552485967E-3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4.6240389630017482E-4</v>
      </c>
      <c r="W12" s="187" t="s">
        <v>50</v>
      </c>
      <c r="X12" s="15" t="s">
        <v>51</v>
      </c>
      <c r="Y12" s="69">
        <f t="shared" si="5"/>
        <v>4.8158962757491718E-3</v>
      </c>
      <c r="Z12" s="69">
        <f>Z2</f>
        <v>0.45</v>
      </c>
      <c r="AA12" s="69">
        <f t="shared" si="6"/>
        <v>2.1671533240871276E-3</v>
      </c>
      <c r="AB12" s="157">
        <f t="shared" si="7"/>
        <v>2.1671533240871276E-3</v>
      </c>
      <c r="AC12" s="176">
        <f t="shared" si="8"/>
        <v>0.99783284667591288</v>
      </c>
      <c r="AD12" s="177">
        <f>AB12*PRODUCT(AC5:AC11)*PRODUCT(AC13:AC19)</f>
        <v>1.3176544636634936E-3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6.5379894475796341E-4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1.9263585102996687E-2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7.5386978397464313E-4</v>
      </c>
      <c r="BL12">
        <f>BH54+1</f>
        <v>8</v>
      </c>
      <c r="BM12">
        <v>8</v>
      </c>
      <c r="BN12" s="107">
        <f>$H$33*H47</f>
        <v>2.5122838926310173E-5</v>
      </c>
      <c r="BP12">
        <f>BP9+1</f>
        <v>4</v>
      </c>
      <c r="BQ12">
        <v>2</v>
      </c>
      <c r="BR12" s="107">
        <f>$H$29*H41</f>
        <v>9.2293708832479563E-3</v>
      </c>
    </row>
    <row r="13" spans="1:70" x14ac:dyDescent="0.25">
      <c r="A13" s="7" t="s">
        <v>8</v>
      </c>
      <c r="B13" s="168">
        <v>10</v>
      </c>
      <c r="C13" s="169">
        <v>12.5</v>
      </c>
      <c r="E13" s="192" t="s">
        <v>19</v>
      </c>
      <c r="F13" s="167" t="s">
        <v>154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0.11051958485857855</v>
      </c>
      <c r="P13" s="210">
        <f>P3</f>
        <v>0.56999999999999995</v>
      </c>
      <c r="Q13" s="214">
        <f t="shared" si="2"/>
        <v>6.2996163369389763E-2</v>
      </c>
      <c r="R13" s="157">
        <f t="shared" si="3"/>
        <v>6.2996163369389763E-2</v>
      </c>
      <c r="S13" s="176">
        <f t="shared" si="4"/>
        <v>0.93700383663061027</v>
      </c>
      <c r="T13" s="177">
        <f>R13*PRODUCT(S5:S12)*PRODUCT(S14:S19)</f>
        <v>4.8440132270550815E-2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1.1057342627445909E-2</v>
      </c>
      <c r="W13" s="186" t="s">
        <v>52</v>
      </c>
      <c r="X13" s="15" t="s">
        <v>53</v>
      </c>
      <c r="Y13" s="69">
        <f t="shared" si="5"/>
        <v>0.13622181389545726</v>
      </c>
      <c r="Z13" s="69">
        <f>Z3</f>
        <v>0.56999999999999995</v>
      </c>
      <c r="AA13" s="69">
        <f t="shared" si="6"/>
        <v>7.7646433920410637E-2</v>
      </c>
      <c r="AB13" s="157">
        <f t="shared" si="7"/>
        <v>7.7646433920410637E-2</v>
      </c>
      <c r="AC13" s="176">
        <f t="shared" si="8"/>
        <v>0.9223535660795894</v>
      </c>
      <c r="AD13" s="177">
        <f>AB13*PRODUCT(AC5:AC12)*PRODUCT(AC14:AC19)</f>
        <v>5.107328338905949E-2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2.1042242389050971E-2</v>
      </c>
      <c r="AG13" s="203">
        <f>B22</f>
        <v>0.44791666666666669</v>
      </c>
      <c r="AH13">
        <v>1</v>
      </c>
      <c r="AI13" s="207">
        <f t="shared" si="9"/>
        <v>0.24674139875403581</v>
      </c>
      <c r="AK13" s="203">
        <f>C22</f>
        <v>0.55208333333333326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1.5534516587581025E-4</v>
      </c>
      <c r="BL13">
        <f>BH57+1</f>
        <v>9</v>
      </c>
      <c r="BM13">
        <v>9</v>
      </c>
      <c r="BN13" s="107">
        <f>$H$34*H48</f>
        <v>9.5393293828100904E-7</v>
      </c>
      <c r="BP13">
        <f>BL7+1</f>
        <v>4</v>
      </c>
      <c r="BQ13">
        <v>3</v>
      </c>
      <c r="BR13" s="107">
        <f>$H$29*H42</f>
        <v>2.010691298863496E-2</v>
      </c>
    </row>
    <row r="14" spans="1:70" x14ac:dyDescent="0.25">
      <c r="A14" s="7" t="s">
        <v>9</v>
      </c>
      <c r="B14" s="168">
        <v>9.75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0.15703835105838759</v>
      </c>
      <c r="P14" s="210">
        <f>IF(COUNTIF(F6:F18,"CAB")-COUNTIF(J6:J18,"CAB")&gt;2,0.8,IF(COUNTIF(F6:F18,"CAB")-COUNTIF(J6:J18,"CAB")&gt;0,0.6,IF(COUNTIF(F6:F18,"CAB")-COUNTIF(J6:J18,"CAB")=0,0.5,0.15)))</f>
        <v>0.6</v>
      </c>
      <c r="Q14" s="214">
        <f t="shared" si="2"/>
        <v>9.422301063503255E-2</v>
      </c>
      <c r="R14" s="157">
        <f t="shared" si="3"/>
        <v>9.4223010635032536E-2</v>
      </c>
      <c r="S14" s="176">
        <f t="shared" si="4"/>
        <v>0.90577698936496742</v>
      </c>
      <c r="T14" s="177">
        <f>R14*PRODUCT(S5:S13)*PRODUCT(S15:S19)</f>
        <v>7.4949420997713373E-2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9.3119936461895248E-3</v>
      </c>
      <c r="W14" s="186" t="s">
        <v>54</v>
      </c>
      <c r="X14" s="15" t="s">
        <v>55</v>
      </c>
      <c r="Y14" s="69">
        <f t="shared" si="5"/>
        <v>0.19355889781615213</v>
      </c>
      <c r="Z14" s="211">
        <f>IF(COUNTIF(J6:J18,"CAB")-COUNTIF(F6:F18,"CAB")&gt;2,0.8,IF(COUNTIF(J6:J18,"CAB")-COUNTIF(F6:F18,"CAB")&gt;0,0.6,IF(COUNTIF(J6:J18,"CAB")-COUNTIF(F6:F18,"CAB")=0,0.5,0.15)))</f>
        <v>0.15</v>
      </c>
      <c r="AA14" s="69">
        <f t="shared" si="6"/>
        <v>2.9033834672422817E-2</v>
      </c>
      <c r="AB14" s="157">
        <f t="shared" si="7"/>
        <v>2.9033834672422817E-2</v>
      </c>
      <c r="AC14" s="176">
        <f t="shared" si="8"/>
        <v>0.97096616532757718</v>
      </c>
      <c r="AD14" s="177">
        <f>AB14*PRODUCT(AC5:AC13)*PRODUCT(AC15:AC19)</f>
        <v>1.8141366536708076E-2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6.9317974184823035E-3</v>
      </c>
      <c r="AG14" s="203">
        <f>IF(AL14=0,1,B22)</f>
        <v>0.44791666666666669</v>
      </c>
      <c r="AH14">
        <f>IF(COUNTIF(F6:F18,"CAB")&gt;0,1,0)</f>
        <v>1</v>
      </c>
      <c r="AI14" s="207">
        <f t="shared" si="9"/>
        <v>0.35059724887453975</v>
      </c>
      <c r="AK14" s="203">
        <f>IF(AH14=0,1,C22)</f>
        <v>0.55208333333333326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1.4009684458142534E-2</v>
      </c>
      <c r="BL14">
        <f>BP39+1</f>
        <v>10</v>
      </c>
      <c r="BM14">
        <v>10</v>
      </c>
      <c r="BN14" s="107">
        <f>$H$35*H49</f>
        <v>1.8783299657406218E-8</v>
      </c>
      <c r="BP14">
        <f>BP10+1</f>
        <v>5</v>
      </c>
      <c r="BQ14">
        <v>0</v>
      </c>
      <c r="BR14" s="107">
        <f>$H$30*H39</f>
        <v>1.320279966211294E-4</v>
      </c>
    </row>
    <row r="15" spans="1:70" x14ac:dyDescent="0.25">
      <c r="A15" s="189" t="s">
        <v>71</v>
      </c>
      <c r="B15" s="170">
        <v>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2.9261804545041167E-2</v>
      </c>
      <c r="P15" s="210">
        <f>R3</f>
        <v>0.7</v>
      </c>
      <c r="Q15" s="214">
        <f t="shared" si="2"/>
        <v>2.0483263181528814E-2</v>
      </c>
      <c r="R15" s="157">
        <f t="shared" si="3"/>
        <v>2.0483263181528814E-2</v>
      </c>
      <c r="S15" s="176">
        <f t="shared" si="4"/>
        <v>0.97951673681847118</v>
      </c>
      <c r="T15" s="177">
        <f>R15*PRODUCT(S5:S14)*PRODUCT(S16:S19)</f>
        <v>1.5066760087370453E-2</v>
      </c>
      <c r="U15" s="177">
        <f>R15*R16*PRODUCT(S5:S14)*PRODUCT(S17:S19)+R15*R17*PRODUCT(S5:S14)*S16*PRODUCT(S18:S19)+R15*R18*PRODUCT(S5:S14)*S16*S17*S19+R15*R19*PRODUCT(S5:S14)*S16*S17*S18</f>
        <v>1.5568799988195008E-3</v>
      </c>
      <c r="W15" s="186" t="s">
        <v>56</v>
      </c>
      <c r="X15" s="15" t="s">
        <v>57</v>
      </c>
      <c r="Y15" s="69">
        <f t="shared" si="5"/>
        <v>3.6066875369469342E-2</v>
      </c>
      <c r="Z15" s="69">
        <f>AB3</f>
        <v>0.7</v>
      </c>
      <c r="AA15" s="69">
        <f t="shared" si="6"/>
        <v>2.5246812758628539E-2</v>
      </c>
      <c r="AB15" s="157">
        <f t="shared" si="7"/>
        <v>2.5246812758628539E-2</v>
      </c>
      <c r="AC15" s="176">
        <f t="shared" si="8"/>
        <v>0.9747531872413715</v>
      </c>
      <c r="AD15" s="177">
        <f>AB15*PRODUCT(AC5:AC14)*PRODUCT(AC16:AC19)</f>
        <v>1.5713813355643959E-2</v>
      </c>
      <c r="AE15" s="177">
        <f>AB15*AB16*PRODUCT(AC5:AC14)*PRODUCT(AC17:AC19)+AB15*AB17*PRODUCT(AC5:AC14)*AC16*PRODUCT(AC18:AC19)+AB15*AB18*PRODUCT(AC5:AC14)*AC16*AC17*AC19+AB15*AB19*PRODUCT(AC5:AC14)*AC16*AC17*AC18</f>
        <v>5.5972327205583046E-3</v>
      </c>
      <c r="AG15" s="203">
        <f>IF(AL15=0,1,B22)</f>
        <v>0.44791666666666669</v>
      </c>
      <c r="AH15">
        <v>1</v>
      </c>
      <c r="AI15" s="207">
        <f t="shared" si="9"/>
        <v>6.532867991451051E-2</v>
      </c>
      <c r="AK15" s="203">
        <f>IF(AH15=0,1,C22)</f>
        <v>0.55208333333333326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3.0521203445122786E-2</v>
      </c>
      <c r="BP15">
        <f>BP11+1</f>
        <v>5</v>
      </c>
      <c r="BQ15">
        <v>1</v>
      </c>
      <c r="BR15" s="107">
        <f>$H$30*H40</f>
        <v>1.0468310800733525E-3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2.8853500295575471E-2</v>
      </c>
      <c r="P16" s="210">
        <v>0.15</v>
      </c>
      <c r="Q16" s="214">
        <f t="shared" si="2"/>
        <v>4.3280250443363203E-3</v>
      </c>
      <c r="R16" s="157">
        <f t="shared" si="3"/>
        <v>4.3280250443363203E-3</v>
      </c>
      <c r="S16" s="176">
        <f t="shared" si="4"/>
        <v>0.99567197495566373</v>
      </c>
      <c r="T16" s="177">
        <f>R16*PRODUCT(S5:S15)*PRODUCT(S17:S19)</f>
        <v>3.1318869040371728E-3</v>
      </c>
      <c r="U16" s="177">
        <f>R16*R17*PRODUCT(S5:S15)*PRODUCT(S18:S19)+R16*R18*PRODUCT(S5:S15)*S17*S19+R16*R19*PRODUCT(S5:S15)*S17*S18</f>
        <v>3.1001065297157351E-4</v>
      </c>
      <c r="W16" s="187" t="s">
        <v>58</v>
      </c>
      <c r="X16" s="15" t="s">
        <v>59</v>
      </c>
      <c r="Y16" s="69">
        <f t="shared" si="5"/>
        <v>2.3409443636032933E-2</v>
      </c>
      <c r="Z16" s="69">
        <v>0.15</v>
      </c>
      <c r="AA16" s="69">
        <f t="shared" si="6"/>
        <v>3.5114165454049398E-3</v>
      </c>
      <c r="AB16" s="157">
        <f t="shared" si="7"/>
        <v>3.5114165454049398E-3</v>
      </c>
      <c r="AC16" s="176">
        <f t="shared" si="8"/>
        <v>0.99648858345459501</v>
      </c>
      <c r="AD16" s="177">
        <f>AB16*PRODUCT(AC5:AC15)*PRODUCT(AC17:AC19)</f>
        <v>2.1378622511605944E-3</v>
      </c>
      <c r="AE16" s="177">
        <f>AB16*AB17*PRODUCT(AC5:AC15)*PRODUCT(AC18:AC19)+AB16*AB18*PRODUCT(AC5:AC15)*AC17*AC19+AB16*AB19*PRODUCT(AC5:AC15)*AC17*AC18</f>
        <v>7.5396940162532908E-4</v>
      </c>
      <c r="AG16" s="203">
        <f>C22</f>
        <v>0.55208333333333326</v>
      </c>
      <c r="AH16">
        <v>1</v>
      </c>
      <c r="AI16" s="207">
        <f t="shared" si="9"/>
        <v>5.2262943931608408E-2</v>
      </c>
      <c r="AK16" s="203">
        <f>B22</f>
        <v>0.44791666666666669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4.4635428539572704E-2</v>
      </c>
      <c r="BP16">
        <f>BP12+1</f>
        <v>5</v>
      </c>
      <c r="BQ16">
        <v>2</v>
      </c>
      <c r="BR16" s="107">
        <f>$H$30*H41</f>
        <v>3.7839084006762477E-3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9.1208887726797361E-2</v>
      </c>
      <c r="P17" s="210">
        <f>P3</f>
        <v>0.56999999999999995</v>
      </c>
      <c r="Q17" s="214">
        <f t="shared" si="2"/>
        <v>5.1989066004274491E-2</v>
      </c>
      <c r="R17" s="157">
        <f t="shared" si="3"/>
        <v>5.1989066004274491E-2</v>
      </c>
      <c r="S17" s="176">
        <f t="shared" si="4"/>
        <v>0.94801093399572556</v>
      </c>
      <c r="T17" s="177">
        <f>R17*PRODUCT(S5:S16)*PRODUCT(S18:S19)</f>
        <v>3.9512204222802196E-2</v>
      </c>
      <c r="U17" s="177">
        <f>R17*R18*PRODUCT(S5:S16)*S19+R17*R19*PRODUCT(S5:S16)*S18</f>
        <v>1.7442705975697227E-3</v>
      </c>
      <c r="W17" s="186" t="s">
        <v>60</v>
      </c>
      <c r="X17" s="15" t="s">
        <v>61</v>
      </c>
      <c r="Y17" s="69">
        <f t="shared" si="5"/>
        <v>9.1208887726797361E-2</v>
      </c>
      <c r="Z17" s="69">
        <f>Z3</f>
        <v>0.56999999999999995</v>
      </c>
      <c r="AA17" s="69">
        <f t="shared" si="6"/>
        <v>5.1989066004274491E-2</v>
      </c>
      <c r="AB17" s="157">
        <f t="shared" si="7"/>
        <v>5.1989066004274491E-2</v>
      </c>
      <c r="AC17" s="176">
        <f t="shared" si="8"/>
        <v>0.94801093399572556</v>
      </c>
      <c r="AD17" s="177">
        <f>AB17*PRODUCT(AC5:AC16)*PRODUCT(AC18:AC19)</f>
        <v>3.3271192276461789E-2</v>
      </c>
      <c r="AE17" s="177">
        <f>AB17*AB18*PRODUCT(AC5:AC16)*AC19+AB17*AB19*PRODUCT(AC5:AC16)*AC18</f>
        <v>9.9093022398813041E-3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0.18241777545359472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4.6182458371751403E-2</v>
      </c>
      <c r="BP17">
        <f>BP13+1</f>
        <v>5</v>
      </c>
      <c r="BQ17">
        <v>3</v>
      </c>
      <c r="BR17" s="107">
        <f>$H$30*H42</f>
        <v>8.2435431333091613E-3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146</v>
      </c>
      <c r="G18" s="167"/>
      <c r="H18" s="10"/>
      <c r="I18" s="10"/>
      <c r="J18" s="166" t="s">
        <v>154</v>
      </c>
      <c r="K18" s="166"/>
      <c r="L18" s="10"/>
      <c r="M18" s="10"/>
      <c r="O18" s="67">
        <f t="shared" si="1"/>
        <v>6.1810981765267642E-2</v>
      </c>
      <c r="P18" s="210">
        <f>P17*1.2</f>
        <v>0.68399999999999994</v>
      </c>
      <c r="Q18" s="214">
        <f t="shared" si="2"/>
        <v>4.2278711527443065E-2</v>
      </c>
      <c r="R18" s="157">
        <f t="shared" si="3"/>
        <v>4.2278711527443065E-2</v>
      </c>
      <c r="S18" s="176">
        <f t="shared" si="4"/>
        <v>0.95772128847255689</v>
      </c>
      <c r="T18" s="177">
        <f>R18*PRODUCT(S5:S17)*PRODUCT(S19:S19)</f>
        <v>3.1806449421641826E-2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2.7471547451230063E-2</v>
      </c>
      <c r="Z18" s="69">
        <f>Z17*1.2</f>
        <v>0.68399999999999994</v>
      </c>
      <c r="AA18" s="69">
        <f t="shared" si="6"/>
        <v>1.8790538456641363E-2</v>
      </c>
      <c r="AB18" s="157">
        <f t="shared" si="7"/>
        <v>1.8790538456641363E-2</v>
      </c>
      <c r="AC18" s="176">
        <f t="shared" si="8"/>
        <v>0.98120946154335864</v>
      </c>
      <c r="AD18" s="177">
        <f>AB18*PRODUCT(AC5:AC17)*PRODUCT(AC19:AC19)</f>
        <v>1.1618423242374941E-2</v>
      </c>
      <c r="AE18" s="177">
        <f>AB18*AB19*PRODUCT(AC5:AC17)</f>
        <v>3.2378676735406106E-3</v>
      </c>
      <c r="AG18" s="203">
        <f>IF(COUNTA(F14:F15)&gt;0,IF(COUNTIF(F11:F18,"CAB")+COUNTIF(J11:J18,"CAB")=0,0,COUNTIF(F11:F18,"CAB")/(COUNTIF(F11:F18,"CAB")+COUNTIF(J11:J18,"CAB"))),0)</f>
        <v>0.6</v>
      </c>
      <c r="AH18">
        <f>COUNTIF(F11:F18,"CAB")</f>
        <v>3</v>
      </c>
      <c r="AI18" s="207">
        <f t="shared" si="9"/>
        <v>0.27471547451230061</v>
      </c>
      <c r="AK18" s="203">
        <f>IF(COUNTA(J14:J15)&gt;0,IF(COUNTIF(J11:J18,"CAB")+COUNTIF(F11:F18,"CAB")=0,0,COUNTIF(J11:J18,"CAB")/(COUNTIF(J11:J18,"CAB")+COUNTIF(F11:F18,"CAB"))),0)</f>
        <v>0.4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3.4705904969250884E-2</v>
      </c>
      <c r="BP18">
        <f>BL8+1</f>
        <v>5</v>
      </c>
      <c r="BQ18">
        <v>4</v>
      </c>
      <c r="BR18" s="107">
        <f>$H$30*H43</f>
        <v>1.2055687158643297E-2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0.38236122561502456</v>
      </c>
      <c r="Z19" s="69">
        <f>Z3</f>
        <v>0.56999999999999995</v>
      </c>
      <c r="AA19" s="69">
        <f t="shared" si="6"/>
        <v>0.21794589860056399</v>
      </c>
      <c r="AB19" s="157">
        <f t="shared" si="7"/>
        <v>0.21794589860056399</v>
      </c>
      <c r="AC19" s="178">
        <f t="shared" si="8"/>
        <v>0.78205410139943599</v>
      </c>
      <c r="AD19" s="179">
        <f>AB19*PRODUCT(AC5:AC18)</f>
        <v>0.1690758571838869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1.0196299349733988</v>
      </c>
      <c r="AK19" s="203">
        <f>IF(COUNTIF(J11:J18,"TEC")&gt;0,IF(COUNTIF(F6:F13,"CAB")&gt;0,IF(COUNTIF(F11:F18,"TEC")+COUNTIF(J11:J18,"TEC")&gt;0,COUNTIF(J11:J18,"TEC")/(COUNTIF(F11:F18,"TEC")+COUNTIF(J11:J18,"TEC")),0),0),0)</f>
        <v>1</v>
      </c>
      <c r="AL19">
        <f>COUNTIF(J11:J18,"TEC")</f>
        <v>3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1.9139350484610698E-2</v>
      </c>
      <c r="BP19">
        <f>BP15+1</f>
        <v>6</v>
      </c>
      <c r="BQ19">
        <v>1</v>
      </c>
      <c r="BR19" s="107">
        <f>$H$31*H40</f>
        <v>3.1813946649429794E-4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0.72049768361695121</v>
      </c>
      <c r="T20" s="181">
        <f>SUM(T5:T19)</f>
        <v>0.24358092363974773</v>
      </c>
      <c r="U20" s="181">
        <f>SUM(U5:U19)</f>
        <v>3.3396674841414085E-2</v>
      </c>
      <c r="V20" s="181">
        <f>1-S20-T20-U20</f>
        <v>2.5247179018869706E-3</v>
      </c>
      <c r="W20" s="21"/>
      <c r="X20" s="22"/>
      <c r="Y20" s="22"/>
      <c r="Z20" s="22"/>
      <c r="AA20" s="22"/>
      <c r="AB20" s="23"/>
      <c r="AC20" s="184">
        <f>PRODUCT(AC5:AC19)</f>
        <v>0.60669399335942298</v>
      </c>
      <c r="AD20" s="181">
        <f>SUM(AD5:AD19)</f>
        <v>0.32686085262874431</v>
      </c>
      <c r="AE20" s="181">
        <f>SUM(AE5:AE19)</f>
        <v>6.0584773056500812E-2</v>
      </c>
      <c r="AF20" s="181">
        <f>1-AC20-AD20-AE20</f>
        <v>5.8603809553318953E-3</v>
      </c>
      <c r="BH20">
        <v>1</v>
      </c>
      <c r="BI20">
        <v>8</v>
      </c>
      <c r="BJ20" s="107">
        <f t="shared" si="11"/>
        <v>7.7321886240408954E-3</v>
      </c>
      <c r="BP20">
        <f>BP16+1</f>
        <v>6</v>
      </c>
      <c r="BQ20">
        <v>2</v>
      </c>
      <c r="BR20" s="107">
        <f>$H$31*H41</f>
        <v>1.1499568772548113E-3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2.25936409828985E-3</v>
      </c>
      <c r="BP21">
        <f>BP17+1</f>
        <v>6</v>
      </c>
      <c r="BQ21">
        <v>3</v>
      </c>
      <c r="BR21" s="107">
        <f>$H$31*H42</f>
        <v>2.5052718288321564E-3</v>
      </c>
    </row>
    <row r="22" spans="1:70" x14ac:dyDescent="0.25">
      <c r="A22" s="26" t="s">
        <v>77</v>
      </c>
      <c r="B22" s="62">
        <f>(B6)/((B6)+(C6))</f>
        <v>0.44791666666666669</v>
      </c>
      <c r="C22" s="63">
        <f>1-B22</f>
        <v>0.55208333333333326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4.6557283244886319E-4</v>
      </c>
      <c r="BP22">
        <f>BP18+1</f>
        <v>6</v>
      </c>
      <c r="BQ22">
        <v>4</v>
      </c>
      <c r="BR22" s="107">
        <f>$H$31*H43</f>
        <v>3.6638097147480447E-3</v>
      </c>
    </row>
    <row r="23" spans="1:70" ht="15.75" thickBot="1" x14ac:dyDescent="0.3">
      <c r="A23" s="40" t="s">
        <v>67</v>
      </c>
      <c r="B23" s="56">
        <f>((B22^2.8)/((B22^2.8)+(C22^2.8)))*B21</f>
        <v>1.7883894960102813</v>
      </c>
      <c r="C23" s="57">
        <f>B21-B23</f>
        <v>3.2116105039897187</v>
      </c>
      <c r="D23" s="151">
        <f>SUM(D25:D30)</f>
        <v>1</v>
      </c>
      <c r="E23" s="151">
        <f>SUM(E25:E30)</f>
        <v>1</v>
      </c>
      <c r="H23" s="59">
        <f>SUM(H25:H35)</f>
        <v>0.99999942353075533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0.99999999999999989</v>
      </c>
      <c r="T23" s="59">
        <f>SUM(T25:T35)</f>
        <v>1</v>
      </c>
      <c r="V23" s="59">
        <f>SUM(V25:V34)</f>
        <v>0.99995946615671549</v>
      </c>
      <c r="Y23" s="80">
        <f>SUM(Y25:Y35)</f>
        <v>1.1835178563870322E-2</v>
      </c>
      <c r="Z23" s="81"/>
      <c r="AA23" s="80">
        <f>SUM(AA25:AA35)</f>
        <v>6.6023292642200221E-2</v>
      </c>
      <c r="AB23" s="81"/>
      <c r="AC23" s="80">
        <f>SUM(AC25:AC35)</f>
        <v>0.16580779885142016</v>
      </c>
      <c r="AD23" s="81"/>
      <c r="AE23" s="80">
        <f>SUM(AE25:AE35)</f>
        <v>0.2468915188072448</v>
      </c>
      <c r="AF23" s="81"/>
      <c r="AG23" s="80">
        <f>SUM(AG25:AG35)</f>
        <v>0.24144302522378583</v>
      </c>
      <c r="AH23" s="81"/>
      <c r="AI23" s="80">
        <f>SUM(AI25:AI35)</f>
        <v>0.16209567796420776</v>
      </c>
      <c r="AJ23" s="81"/>
      <c r="AK23" s="80">
        <f>SUM(AK25:AK35)</f>
        <v>7.5712872292962516E-2</v>
      </c>
      <c r="AL23" s="81"/>
      <c r="AM23" s="80">
        <f>SUM(AM25:AM35)</f>
        <v>2.4328066693360021E-2</v>
      </c>
      <c r="AN23" s="81"/>
      <c r="AO23" s="80">
        <f>SUM(AO25:AO35)</f>
        <v>5.162658656859399E-3</v>
      </c>
      <c r="AP23" s="81"/>
      <c r="AQ23" s="80">
        <f>SUM(AQ25:AQ35)</f>
        <v>6.5937646080435044E-4</v>
      </c>
      <c r="AR23" s="81"/>
      <c r="AS23" s="80">
        <f>SUM(AS25:AS35)</f>
        <v>4.0533843284507036E-5</v>
      </c>
      <c r="BH23">
        <f t="shared" ref="BH23:BH30" si="12">BH15+1</f>
        <v>2</v>
      </c>
      <c r="BI23">
        <v>3</v>
      </c>
      <c r="BJ23" s="107">
        <f t="shared" ref="BJ23:BJ30" si="13">$H$27*H42</f>
        <v>4.2042247190155091E-2</v>
      </c>
      <c r="BP23">
        <f>BL9+1</f>
        <v>6</v>
      </c>
      <c r="BQ23">
        <v>5</v>
      </c>
      <c r="BR23" s="107">
        <f>$H$31*H44</f>
        <v>3.7907945587070582E-3</v>
      </c>
    </row>
    <row r="24" spans="1:70" ht="15.75" thickBot="1" x14ac:dyDescent="0.3">
      <c r="A24" s="26" t="s">
        <v>76</v>
      </c>
      <c r="B24" s="64">
        <f>B23/B21</f>
        <v>0.35767789920205628</v>
      </c>
      <c r="C24" s="65">
        <f>C23/B21</f>
        <v>0.64232210079794372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6.1484263668478999E-2</v>
      </c>
      <c r="BP24">
        <f>BH49+1</f>
        <v>7</v>
      </c>
      <c r="BQ24">
        <v>0</v>
      </c>
      <c r="BR24" s="107">
        <f t="shared" ref="BR24:BR30" si="14">$H$32*H39</f>
        <v>9.1804391387768576E-6</v>
      </c>
    </row>
    <row r="25" spans="1:70" x14ac:dyDescent="0.25">
      <c r="A25" s="26" t="s">
        <v>69</v>
      </c>
      <c r="B25" s="117">
        <f>1/(1+EXP(-3.1416*4*((B11/(B11+C8))-(3.1416/6))))</f>
        <v>0.6891531964781672</v>
      </c>
      <c r="C25" s="118">
        <f>1/(1+EXP(-3.1416*4*((C11/(C11+B8))-(3.1416/6))))</f>
        <v>0.44500691442140594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6.8096396333139991E-2</v>
      </c>
      <c r="I25" s="97">
        <v>0</v>
      </c>
      <c r="J25" s="98">
        <f t="shared" ref="J25:J35" si="15">Y25+AA25+AC25+AE25+AG25+AI25+AK25+AM25+AO25+AQ25+AS25</f>
        <v>9.4512998280981392E-2</v>
      </c>
      <c r="K25" s="97">
        <v>0</v>
      </c>
      <c r="L25" s="98">
        <f>S20</f>
        <v>0.72049768361695121</v>
      </c>
      <c r="M25" s="84">
        <v>0</v>
      </c>
      <c r="N25" s="71">
        <f>(1-$B$24)^$B$21</f>
        <v>0.10933628831590517</v>
      </c>
      <c r="O25" s="70">
        <v>0</v>
      </c>
      <c r="P25" s="71">
        <f>N25</f>
        <v>0.10933628831590517</v>
      </c>
      <c r="Q25" s="12">
        <v>0</v>
      </c>
      <c r="R25" s="73">
        <f>P25*N25</f>
        <v>1.1954423942698741E-2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1.1835178563870322E-2</v>
      </c>
      <c r="W25" s="136">
        <f>B31</f>
        <v>0.58621992624466734</v>
      </c>
      <c r="X25" s="12">
        <v>0</v>
      </c>
      <c r="Y25" s="79">
        <f>V25</f>
        <v>1.1835178563870322E-2</v>
      </c>
      <c r="Z25" s="12">
        <v>0</v>
      </c>
      <c r="AA25" s="78">
        <f>((1-W25)^Z26)*V26</f>
        <v>2.7319122899059519E-2</v>
      </c>
      <c r="AB25" s="12">
        <v>0</v>
      </c>
      <c r="AC25" s="79">
        <f>(((1-$W$25)^AB27))*V27</f>
        <v>2.83886080888021E-2</v>
      </c>
      <c r="AD25" s="12">
        <v>0</v>
      </c>
      <c r="AE25" s="79">
        <f>(((1-$W$25)^AB28))*V28</f>
        <v>1.7491010053124593E-2</v>
      </c>
      <c r="AF25" s="12">
        <v>0</v>
      </c>
      <c r="AG25" s="79">
        <f>(((1-$W$25)^AB29))*V29</f>
        <v>7.0777131094319178E-3</v>
      </c>
      <c r="AH25" s="12">
        <v>0</v>
      </c>
      <c r="AI25" s="79">
        <f>(((1-$W$25)^AB30))*V30</f>
        <v>1.9661620017165644E-3</v>
      </c>
      <c r="AJ25" s="12">
        <v>0</v>
      </c>
      <c r="AK25" s="79">
        <f>(((1-$W$25)^AB31))*V31</f>
        <v>3.8000311640660046E-4</v>
      </c>
      <c r="AL25" s="12">
        <v>0</v>
      </c>
      <c r="AM25" s="79">
        <f>(((1-$W$25)^AB32))*V32</f>
        <v>5.0523637038584715E-5</v>
      </c>
      <c r="AN25" s="12">
        <v>0</v>
      </c>
      <c r="AO25" s="79">
        <f>(((1-$W$25)^AB33))*V33</f>
        <v>4.436392811535251E-6</v>
      </c>
      <c r="AP25" s="12">
        <v>0</v>
      </c>
      <c r="AQ25" s="79">
        <f>(((1-$W$25)^AB34))*V34</f>
        <v>2.3445505092251471E-7</v>
      </c>
      <c r="AR25" s="12">
        <v>0</v>
      </c>
      <c r="AS25" s="79">
        <f>(((1-$W$25)^AB35))*V35</f>
        <v>5.9636687251521073E-9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6.3615261246341356E-2</v>
      </c>
      <c r="BP25">
        <f>BP19+1</f>
        <v>7</v>
      </c>
      <c r="BQ25">
        <v>1</v>
      </c>
      <c r="BR25" s="107">
        <f t="shared" si="14"/>
        <v>7.2790387381030952E-5</v>
      </c>
    </row>
    <row r="26" spans="1:70" x14ac:dyDescent="0.25">
      <c r="A26" s="40" t="s">
        <v>24</v>
      </c>
      <c r="B26" s="119">
        <f>1/(1+EXP(-3.1416*4*((B10/(B10+C9))-(3.1416/6))))</f>
        <v>0.5396012074630302</v>
      </c>
      <c r="C26" s="120">
        <f>1/(1+EXP(-3.1416*4*((C10/(C10+B9))-(3.1416/6))))</f>
        <v>0.63918826345577995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0.2040863772080671</v>
      </c>
      <c r="I26" s="93">
        <v>1</v>
      </c>
      <c r="J26" s="86">
        <f t="shared" si="15"/>
        <v>0.25130519904223025</v>
      </c>
      <c r="K26" s="93">
        <v>1</v>
      </c>
      <c r="L26" s="86">
        <f>T20</f>
        <v>0.24358092363974773</v>
      </c>
      <c r="M26" s="85">
        <v>1</v>
      </c>
      <c r="N26" s="71">
        <f>(($B$24)^M26)*((1-($B$24))^($B$21-M26))*HLOOKUP($B$21,$AV$24:$BF$34,M26+1)</f>
        <v>0.30442027343291816</v>
      </c>
      <c r="O26" s="72">
        <v>1</v>
      </c>
      <c r="P26" s="71">
        <f t="shared" ref="P26:P30" si="16">N26</f>
        <v>0.30442027343291816</v>
      </c>
      <c r="Q26" s="28">
        <v>1</v>
      </c>
      <c r="R26" s="37">
        <f>N26*P25+P26*N25</f>
        <v>6.6568365570536456E-2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6.6023292642200221E-2</v>
      </c>
      <c r="W26" s="137"/>
      <c r="X26" s="28">
        <v>1</v>
      </c>
      <c r="Y26" s="73"/>
      <c r="Z26" s="28">
        <v>1</v>
      </c>
      <c r="AA26" s="79">
        <f>(1-((1-W25)^Z26))*V26</f>
        <v>3.8704169743140698E-2</v>
      </c>
      <c r="AB26" s="28">
        <v>1</v>
      </c>
      <c r="AC26" s="79">
        <f>((($W$25)^M26)*((1-($W$25))^($U$27-M26))*HLOOKUP($U$27,$AV$24:$BF$34,M26+1))*V27</f>
        <v>8.0438710298295801E-2</v>
      </c>
      <c r="AD26" s="28">
        <v>1</v>
      </c>
      <c r="AE26" s="79">
        <f>((($W$25)^M26)*((1-($W$25))^($U$28-M26))*HLOOKUP($U$28,$AV$24:$BF$34,M26+1))*V28</f>
        <v>7.4340785893066141E-2</v>
      </c>
      <c r="AF26" s="28">
        <v>1</v>
      </c>
      <c r="AG26" s="79">
        <f>((($W$25)^M26)*((1-($W$25))^($U$29-M26))*HLOOKUP($U$29,$AV$24:$BF$34,M26+1))*V29</f>
        <v>4.0109195392965653E-2</v>
      </c>
      <c r="AH26" s="28">
        <v>1</v>
      </c>
      <c r="AI26" s="79">
        <f>((($W$25)^M26)*((1-($W$25))^($U$30-M26))*HLOOKUP($U$30,$AV$24:$BF$34,M26+1))*V30</f>
        <v>1.3927728964455694E-2</v>
      </c>
      <c r="AJ26" s="28">
        <v>1</v>
      </c>
      <c r="AK26" s="79">
        <f>((($W$25)^M26)*((1-($W$25))^($U$31-M26))*HLOOKUP($U$31,$AV$24:$BF$34,M26+1))*V31</f>
        <v>3.2301999975621132E-3</v>
      </c>
      <c r="AL26" s="28">
        <v>1</v>
      </c>
      <c r="AM26" s="79">
        <f>((($W$25)^Q26)*((1-($W$25))^($U$32-Q26))*HLOOKUP($U$32,$AV$24:$BF$34,Q26+1))*V32</f>
        <v>5.0105298103647123E-4</v>
      </c>
      <c r="AN26" s="28">
        <v>1</v>
      </c>
      <c r="AO26" s="79">
        <f>((($W$25)^Q26)*((1-($W$25))^($U$33-Q26))*HLOOKUP($U$33,$AV$24:$BF$34,Q26+1))*V33</f>
        <v>5.028181938617677E-5</v>
      </c>
      <c r="AP26" s="28">
        <v>1</v>
      </c>
      <c r="AQ26" s="79">
        <f>((($W$25)^Q26)*((1-($W$25))^($U$34-Q26))*HLOOKUP($U$34,$AV$24:$BF$34,Q26+1))*V34</f>
        <v>2.9894624763076451E-6</v>
      </c>
      <c r="AR26" s="28">
        <v>1</v>
      </c>
      <c r="AS26" s="79">
        <f>((($W$25)^Q26)*((1-($W$25))^($U$35-Q26))*HLOOKUP($U$35,$AV$24:$BF$34,Q26+1))*V35</f>
        <v>8.4489845257108465E-8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4.7806576116789408E-2</v>
      </c>
      <c r="BP26">
        <f>BP20+1</f>
        <v>7</v>
      </c>
      <c r="BQ26">
        <v>2</v>
      </c>
      <c r="BR26" s="107">
        <f t="shared" si="14"/>
        <v>2.6311041345874217E-4</v>
      </c>
    </row>
    <row r="27" spans="1:70" x14ac:dyDescent="0.25">
      <c r="A27" s="26" t="s">
        <v>25</v>
      </c>
      <c r="B27" s="119">
        <f>1/(1+EXP(-3.1416*4*((B12/(B12+C7))-(3.1416/6))))</f>
        <v>0.43853913376732845</v>
      </c>
      <c r="C27" s="120">
        <f>1/(1+EXP(-3.1416*4*((C12/(C12+B7))-(3.1416/6))))</f>
        <v>0.93815993352117399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0.28112423332691011</v>
      </c>
      <c r="I27" s="93">
        <v>2</v>
      </c>
      <c r="J27" s="86">
        <f t="shared" si="15"/>
        <v>0.3008401912810208</v>
      </c>
      <c r="K27" s="93">
        <v>2</v>
      </c>
      <c r="L27" s="86">
        <f>U20</f>
        <v>3.3396674841414085E-2</v>
      </c>
      <c r="M27" s="85">
        <v>2</v>
      </c>
      <c r="N27" s="71">
        <f>(($B$24)^M27)*((1-($B$24))^($B$21-M27))*HLOOKUP($B$21,$AV$24:$BF$34,M27+1)</f>
        <v>0.3390336522462386</v>
      </c>
      <c r="O27" s="72">
        <v>2</v>
      </c>
      <c r="P27" s="71">
        <f t="shared" si="16"/>
        <v>0.3390336522462386</v>
      </c>
      <c r="Q27" s="28">
        <v>2</v>
      </c>
      <c r="R27" s="37">
        <f>P25*N27+P26*N26+P27*N25</f>
        <v>0.16680906517855079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0.16580779885142016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5.6980480464322275E-2</v>
      </c>
      <c r="AD27" s="28">
        <v>2</v>
      </c>
      <c r="AE27" s="79">
        <f>((($W$25)^M27)*((1-($W$25))^($U$28-M27))*HLOOKUP($U$28,$AV$24:$BF$34,M27+1))*V28</f>
        <v>0.10532177063937748</v>
      </c>
      <c r="AF27" s="28">
        <v>2</v>
      </c>
      <c r="AG27" s="79">
        <f>((($W$25)^M27)*((1-($W$25))^($U$29-M27))*HLOOKUP($U$29,$AV$24:$BF$34,M27+1))*V29</f>
        <v>8.5236618639955422E-2</v>
      </c>
      <c r="AH27" s="28">
        <v>2</v>
      </c>
      <c r="AI27" s="79">
        <f>((($W$25)^M27)*((1-($W$25))^($U$30-M27))*HLOOKUP($U$30,$AV$24:$BF$34,M27+1))*V30</f>
        <v>3.9464018516883505E-2</v>
      </c>
      <c r="AJ27" s="28">
        <v>2</v>
      </c>
      <c r="AK27" s="79">
        <f>((($W$25)^M27)*((1-($W$25))^($U$31-M27))*HLOOKUP($U$31,$AV$24:$BF$34,M27+1))*V31</f>
        <v>1.1440906198917597E-2</v>
      </c>
      <c r="AL27" s="28">
        <v>2</v>
      </c>
      <c r="AM27" s="79">
        <f>((($W$25)^Q27)*((1-($W$25))^($U$32-Q27))*HLOOKUP($U$32,$AV$24:$BF$34,Q27+1))*V32</f>
        <v>2.1295895589323465E-3</v>
      </c>
      <c r="AN27" s="28">
        <v>2</v>
      </c>
      <c r="AO27" s="79">
        <f>((($W$25)^Q27)*((1-($W$25))^($U$33-Q27))*HLOOKUP($U$33,$AV$24:$BF$34,Q27+1))*V33</f>
        <v>2.4932741358406997E-4</v>
      </c>
      <c r="AP27" s="28">
        <v>2</v>
      </c>
      <c r="AQ27" s="79">
        <f>((($W$25)^Q27)*((1-($W$25))^($U$34-Q27))*HLOOKUP($U$34,$AV$24:$BF$34,Q27+1))*V34</f>
        <v>1.6941197351214237E-5</v>
      </c>
      <c r="AR27" s="28">
        <v>2</v>
      </c>
      <c r="AS27" s="79">
        <f>((($W$25)^Q27)*((1-($W$25))^($U$35-Q27))*HLOOKUP($U$35,$AV$24:$BF$34,Q27+1))*V35</f>
        <v>5.3865169684196804E-7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2.6364009714748008E-2</v>
      </c>
      <c r="BP27">
        <f>BP21+1</f>
        <v>7</v>
      </c>
      <c r="BQ27">
        <v>3</v>
      </c>
      <c r="BR27" s="107">
        <f t="shared" si="14"/>
        <v>5.7320680431437458E-4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0.23577880156944953</v>
      </c>
      <c r="I28" s="93">
        <v>3</v>
      </c>
      <c r="J28" s="86">
        <f t="shared" si="15"/>
        <v>0.2135586230614063</v>
      </c>
      <c r="K28" s="93">
        <v>3</v>
      </c>
      <c r="L28" s="86">
        <f>V20</f>
        <v>2.5247179018869706E-3</v>
      </c>
      <c r="M28" s="85">
        <v>3</v>
      </c>
      <c r="N28" s="71">
        <f>(($B$24)^M28)*((1-($B$24))^($B$21-M28))*HLOOKUP($B$21,$AV$24:$BF$34,M28+1)</f>
        <v>0.18879133123956074</v>
      </c>
      <c r="O28" s="72">
        <v>3</v>
      </c>
      <c r="P28" s="71">
        <f t="shared" si="16"/>
        <v>0.18879133123956074</v>
      </c>
      <c r="Q28" s="28">
        <v>3</v>
      </c>
      <c r="R28" s="37">
        <f>P25*N28+P26*N27+P27*N26+P28*N25</f>
        <v>0.24770092108742603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0.2468915188072448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4.9737952221676582E-2</v>
      </c>
      <c r="AF28" s="28">
        <v>3</v>
      </c>
      <c r="AG28" s="79">
        <f>((($W$25)^M28)*((1-($W$25))^($U$29-M28))*HLOOKUP($U$29,$AV$24:$BF$34,M28+1))*V29</f>
        <v>8.0505575242699481E-2</v>
      </c>
      <c r="AH28" s="28">
        <v>3</v>
      </c>
      <c r="AI28" s="79">
        <f>((($W$25)^M28)*((1-($W$25))^($U$30-M28))*HLOOKUP($U$30,$AV$24:$BF$34,M28+1))*V30</f>
        <v>5.5910362754599631E-2</v>
      </c>
      <c r="AJ28" s="28">
        <v>3</v>
      </c>
      <c r="AK28" s="79">
        <f>((($W$25)^M28)*((1-($W$25))^($U$31-M28))*HLOOKUP($U$31,$AV$24:$BF$34,M28+1))*V31</f>
        <v>2.161176145976007E-2</v>
      </c>
      <c r="AL28" s="28">
        <v>3</v>
      </c>
      <c r="AM28" s="79">
        <f>((($W$25)^Q28)*((1-($W$25))^($U$32-Q28))*HLOOKUP($U$32,$AV$24:$BF$34,Q28+1))*V32</f>
        <v>5.0284676705936735E-3</v>
      </c>
      <c r="AN28" s="28">
        <v>3</v>
      </c>
      <c r="AO28" s="79">
        <f>((($W$25)^Q28)*((1-($W$25))^($U$33-Q28))*HLOOKUP($U$33,$AV$24:$BF$34,Q28+1))*V33</f>
        <v>7.064656191658555E-4</v>
      </c>
      <c r="AP28" s="28">
        <v>3</v>
      </c>
      <c r="AQ28" s="79">
        <f>((($W$25)^Q28)*((1-($W$25))^($U$34-Q28))*HLOOKUP($U$34,$AV$24:$BF$34,Q28+1))*V34</f>
        <v>5.6003077191180015E-5</v>
      </c>
      <c r="AR28" s="28">
        <v>3</v>
      </c>
      <c r="AS28" s="79">
        <f>((($W$25)^Q28)*((1-($W$25))^($U$35-Q28))*HLOOKUP($U$35,$AV$24:$BF$34,Q28+1))*V35</f>
        <v>2.0350157198465556E-6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1.065090981872077E-2</v>
      </c>
      <c r="BP28">
        <f>BP22+1</f>
        <v>7</v>
      </c>
      <c r="BQ28">
        <v>4</v>
      </c>
      <c r="BR28" s="107">
        <f t="shared" si="14"/>
        <v>8.3828055464371198E-4</v>
      </c>
    </row>
    <row r="29" spans="1:70" x14ac:dyDescent="0.25">
      <c r="A29" s="26" t="s">
        <v>27</v>
      </c>
      <c r="B29" s="123">
        <f>1/(1+EXP(-3.1416*4*((B14/(B14+C13))-(3.1416/6))))</f>
        <v>0.2548059610679575</v>
      </c>
      <c r="C29" s="118">
        <f>1/(1+EXP(-3.1416*4*((C14/(C14+B13))-(3.1416/6))))</f>
        <v>0.48264112301060463</v>
      </c>
      <c r="D29" s="153">
        <v>0.04</v>
      </c>
      <c r="E29" s="153">
        <v>0.04</v>
      </c>
      <c r="G29" s="87">
        <v>4</v>
      </c>
      <c r="H29" s="128">
        <f>J29*L25+J28*L26+J27*L27+J26*L28</f>
        <v>0.1344490572289041</v>
      </c>
      <c r="I29" s="93">
        <v>4</v>
      </c>
      <c r="J29" s="86">
        <f t="shared" si="15"/>
        <v>9.9582157474663827E-2</v>
      </c>
      <c r="K29" s="93">
        <v>4</v>
      </c>
      <c r="L29" s="86"/>
      <c r="M29" s="85">
        <v>4</v>
      </c>
      <c r="N29" s="71">
        <f>(($B$24)^M29)*((1-($B$24))^($B$21-M29))*HLOOKUP($B$21,$AV$24:$BF$34,M29+1)</f>
        <v>5.2564349460682454E-2</v>
      </c>
      <c r="O29" s="72">
        <v>4</v>
      </c>
      <c r="P29" s="71">
        <f t="shared" si="16"/>
        <v>5.2564349460682454E-2</v>
      </c>
      <c r="Q29" s="28">
        <v>4</v>
      </c>
      <c r="R29" s="37">
        <f>P25*N29+P26*N28+P27*N27+P28*N26+P29*N25</f>
        <v>0.24138201644638921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0.24144302522378583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2.8513922838733354E-2</v>
      </c>
      <c r="AH29" s="28">
        <v>4</v>
      </c>
      <c r="AI29" s="79">
        <f>((($W$25)^M29)*((1-($W$25))^($U$30-M29))*HLOOKUP($U$30,$AV$24:$BF$34,M29+1))*V30</f>
        <v>3.9605300990997259E-2</v>
      </c>
      <c r="AJ29" s="28">
        <v>4</v>
      </c>
      <c r="AK29" s="79">
        <f>((($W$25)^M29)*((1-($W$25))^($U$31-M29))*HLOOKUP($U$31,$AV$24:$BF$34,M29+1))*V31</f>
        <v>2.2963730032918149E-2</v>
      </c>
      <c r="AL29" s="28">
        <v>4</v>
      </c>
      <c r="AM29" s="79">
        <f>((($W$25)^Q29)*((1-($W$25))^($U$32-Q29))*HLOOKUP($U$32,$AV$24:$BF$34,Q29+1))*V32</f>
        <v>7.1240451968263207E-3</v>
      </c>
      <c r="AN29" s="28">
        <v>4</v>
      </c>
      <c r="AO29" s="79">
        <f>((($W$25)^Q29)*((1-($W$25))^($U$33-Q29))*HLOOKUP($U$33,$AV$24:$BF$34,Q29+1))*V33</f>
        <v>1.2511000693048225E-3</v>
      </c>
      <c r="AP29" s="28">
        <v>4</v>
      </c>
      <c r="AQ29" s="79">
        <f>((($W$25)^Q29)*((1-($W$25))^($U$34-Q29))*HLOOKUP($U$34,$AV$24:$BF$34,Q29+1))*V34</f>
        <v>1.1901293173399769E-4</v>
      </c>
      <c r="AR29" s="28">
        <v>4</v>
      </c>
      <c r="AS29" s="79">
        <f>((($W$25)^Q29)*((1-($W$25))^($U$35-Q29))*HLOOKUP($U$35,$AV$24:$BF$34,Q29+1))*V35</f>
        <v>5.0454141499477439E-6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3.1122214457779745E-3</v>
      </c>
      <c r="BP29">
        <f>BP23+1</f>
        <v>7</v>
      </c>
      <c r="BQ29">
        <v>5</v>
      </c>
      <c r="BR29" s="107">
        <f t="shared" si="14"/>
        <v>8.6733471785443094E-4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5.5122166347747581E-2</v>
      </c>
      <c r="I30" s="93">
        <v>5</v>
      </c>
      <c r="J30" s="86">
        <f t="shared" si="15"/>
        <v>3.1886525750092563E-2</v>
      </c>
      <c r="K30" s="93">
        <v>5</v>
      </c>
      <c r="L30" s="86"/>
      <c r="M30" s="85">
        <v>5</v>
      </c>
      <c r="N30" s="71">
        <f>(($B$24)^M30)*((1-($B$24))^($B$21-M30))*HLOOKUP($B$21,$AV$24:$BF$34,M30+1)</f>
        <v>5.8541053046947652E-3</v>
      </c>
      <c r="O30" s="72">
        <v>5</v>
      </c>
      <c r="P30" s="71">
        <f t="shared" si="16"/>
        <v>5.8541053046947652E-3</v>
      </c>
      <c r="Q30" s="28">
        <v>5</v>
      </c>
      <c r="R30" s="37">
        <f>P25*N30+P26*N29+P27*N28+P28*N27+P29*N26+P30*N25</f>
        <v>0.16129666864729575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0.16209567796420774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1.1222104735555089E-2</v>
      </c>
      <c r="AJ30" s="28">
        <v>5</v>
      </c>
      <c r="AK30" s="79">
        <f>((($W$25)^M30)*((1-($W$25))^($U$31-M30))*HLOOKUP($U$31,$AV$24:$BF$34,M30+1))*V31</f>
        <v>1.3013479362623597E-2</v>
      </c>
      <c r="AL30" s="28">
        <v>5</v>
      </c>
      <c r="AM30" s="79">
        <f>((($W$25)^Q30)*((1-($W$25))^($U$32-Q30))*HLOOKUP($U$32,$AV$24:$BF$34,Q30+1))*V32</f>
        <v>6.0557636987371433E-3</v>
      </c>
      <c r="AN30" s="28">
        <v>5</v>
      </c>
      <c r="AO30" s="79">
        <f>((($W$25)^Q30)*((1-($W$25))^($U$33-Q30))*HLOOKUP($U$33,$AV$24:$BF$34,Q30+1))*V33</f>
        <v>1.4179895782729082E-3</v>
      </c>
      <c r="AP30" s="28">
        <v>5</v>
      </c>
      <c r="AQ30" s="79">
        <f>((($W$25)^Q30)*((1-($W$25))^($U$34-Q30))*HLOOKUP($U$34,$AV$24:$BF$34,Q30+1))*V34</f>
        <v>1.6861071010519296E-4</v>
      </c>
      <c r="AR30" s="28">
        <v>5</v>
      </c>
      <c r="AS30" s="79">
        <f>((($W$25)^Q30)*((1-($W$25))^($U$35-Q30))*HLOOKUP($U$35,$AV$24:$BF$34,Q30+1))*V35</f>
        <v>8.5776647986342511E-6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6.4131573782892886E-4</v>
      </c>
      <c r="BP30">
        <f>BL10+1</f>
        <v>7</v>
      </c>
      <c r="BQ30">
        <v>6</v>
      </c>
      <c r="BR30" s="107">
        <f t="shared" si="14"/>
        <v>6.5179804964216211E-4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0.58621992624466734</v>
      </c>
      <c r="C31" s="61">
        <f>(C25*E25)+(C26*E26)+(C27*E27)+(C28*E28)+(C29*E29)+(C30*E30)/(C25+C26+C27+C28+C29+C30)</f>
        <v>0.66142881487272809</v>
      </c>
      <c r="G31" s="87">
        <v>6</v>
      </c>
      <c r="H31" s="128">
        <f>J31*L25+J30*L26+J29*L27+J28*L28</f>
        <v>1.675202134106828E-2</v>
      </c>
      <c r="I31" s="93">
        <v>6</v>
      </c>
      <c r="J31" s="86">
        <f t="shared" si="15"/>
        <v>7.1064541242674539E-3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7.4848550177531642E-2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7.5712872292962516E-2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3.072792124774387E-3</v>
      </c>
      <c r="AL31" s="28">
        <v>6</v>
      </c>
      <c r="AM31" s="79">
        <f>((($W$25)^Q31)*((1-($W$25))^($U$32-Q31))*HLOOKUP($U$32,$AV$24:$BF$34,Q31+1))*V32</f>
        <v>2.8598198044435365E-3</v>
      </c>
      <c r="AN31" s="28">
        <v>6</v>
      </c>
      <c r="AO31" s="79">
        <f>((($W$25)^Q31)*((1-($W$25))^($U$33-Q31))*HLOOKUP($U$33,$AV$24:$BF$34,Q31+1))*V33</f>
        <v>1.0044632387039136E-3</v>
      </c>
      <c r="AP31" s="28">
        <v>6</v>
      </c>
      <c r="AQ31" s="79">
        <f>((($W$25)^Q31)*((1-($W$25))^($U$34-Q31))*HLOOKUP($U$34,$AV$24:$BF$34,Q31+1))*V34</f>
        <v>1.5925200255111505E-4</v>
      </c>
      <c r="AR31" s="28">
        <v>6</v>
      </c>
      <c r="AS31" s="79">
        <f>((($W$25)^Q31)*((1-($W$25))^($U$35-Q31))*HLOOKUP($U$35,$AV$24:$BF$34,Q31+1))*V35</f>
        <v>1.0126953794501578E-5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5.1566831615957869E-2</v>
      </c>
      <c r="BP31">
        <f t="shared" ref="BP31:BP37" si="21">BP24+1</f>
        <v>8</v>
      </c>
      <c r="BQ31">
        <v>0</v>
      </c>
      <c r="BR31" s="107">
        <f t="shared" ref="BR31:BR38" si="22">$H$33*H39</f>
        <v>1.5882543242693391E-6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3.8328665609097361E-3</v>
      </c>
      <c r="I32" s="93">
        <v>7</v>
      </c>
      <c r="J32" s="86">
        <f t="shared" si="15"/>
        <v>1.0902867995225619E-3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2.3816864425016945E-2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2.4328066693360025E-2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5.7880414575194647E-4</v>
      </c>
      <c r="AN32" s="28">
        <v>7</v>
      </c>
      <c r="AO32" s="79">
        <f>((($W$25)^Q32)*((1-($W$25))^($U$33-Q32))*HLOOKUP($U$33,$AV$24:$BF$34,Q32+1))*V33</f>
        <v>4.0659029349604672E-4</v>
      </c>
      <c r="AP32" s="28">
        <v>7</v>
      </c>
      <c r="AQ32" s="79">
        <f>((($W$25)^Q32)*((1-($W$25))^($U$34-Q32))*HLOOKUP($U$34,$AV$24:$BF$34,Q32+1))*V34</f>
        <v>9.6693909685495542E-5</v>
      </c>
      <c r="AR32" s="28">
        <v>7</v>
      </c>
      <c r="AS32" s="79">
        <f>((($W$25)^Q32)*((1-($W$25))^($U$35-Q32))*HLOOKUP($U$35,$AV$24:$BF$34,Q32+1))*V35</f>
        <v>8.1984505890733265E-6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5.3354098580138468E-2</v>
      </c>
      <c r="BP32">
        <f t="shared" si="21"/>
        <v>8</v>
      </c>
      <c r="BQ32">
        <v>1</v>
      </c>
      <c r="BR32" s="107">
        <f t="shared" si="22"/>
        <v>1.2593041114432552E-5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6.6310192766261353E-4</v>
      </c>
      <c r="I33" s="93">
        <v>8</v>
      </c>
      <c r="J33" s="86">
        <f t="shared" si="15"/>
        <v>1.1060749223897118E-4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4.9734195016045459E-3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5.1626586568593981E-3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7.2004232134069261E-5</v>
      </c>
      <c r="AP33" s="28">
        <v>8</v>
      </c>
      <c r="AQ33" s="79">
        <f>((($W$25)^Q33)*((1-($W$25))^($U$34-Q33))*HLOOKUP($U$34,$AV$24:$BF$34,Q33+1))*V34</f>
        <v>3.4247599267948808E-5</v>
      </c>
      <c r="AR33" s="28">
        <v>8</v>
      </c>
      <c r="AS33" s="79">
        <f>((($W$25)^Q33)*((1-($W$25))^($U$35-Q33))*HLOOKUP($U$35,$AV$24:$BF$34,Q33+1))*V35</f>
        <v>4.3556608369531004E-6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4.0095359587331257E-2</v>
      </c>
      <c r="BP33">
        <f t="shared" si="21"/>
        <v>8</v>
      </c>
      <c r="BQ33">
        <v>2</v>
      </c>
      <c r="BR33" s="107">
        <f t="shared" si="22"/>
        <v>4.5519200728759192E-5</v>
      </c>
    </row>
    <row r="34" spans="1:70" x14ac:dyDescent="0.25">
      <c r="A34" s="40" t="s">
        <v>86</v>
      </c>
      <c r="B34" s="56">
        <f>B23*2</f>
        <v>3.5767789920205626</v>
      </c>
      <c r="C34" s="57">
        <f>C23*2</f>
        <v>6.4232210079794374</v>
      </c>
      <c r="G34" s="87">
        <v>9</v>
      </c>
      <c r="H34" s="128">
        <f>J34*L25+J33*L26+J32*L27+J31*L28</f>
        <v>8.6167925577191338E-5</v>
      </c>
      <c r="I34" s="93">
        <v>9</v>
      </c>
      <c r="J34" s="86">
        <f t="shared" si="15"/>
        <v>6.7624156092627911E-6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6.1543447403122117E-4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6.5937646080435044E-4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5.3911153909759582E-6</v>
      </c>
      <c r="AR34" s="28">
        <v>9</v>
      </c>
      <c r="AS34" s="79">
        <f>((($W$25)^Q34)*((1-($W$25))^($U$35-Q34))*HLOOKUP($U$35,$AV$24:$BF$34,Q34+1))*V35</f>
        <v>1.3713002182868331E-6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2.2111486233490737E-2</v>
      </c>
      <c r="BP34">
        <f t="shared" si="21"/>
        <v>8</v>
      </c>
      <c r="BQ34">
        <v>3</v>
      </c>
      <c r="BR34" s="107">
        <f t="shared" si="22"/>
        <v>9.9167171841216503E-5</v>
      </c>
    </row>
    <row r="35" spans="1:70" ht="15.75" thickBot="1" x14ac:dyDescent="0.3">
      <c r="G35" s="88">
        <v>10</v>
      </c>
      <c r="H35" s="129">
        <f>J35*L25+J34*L26+J33*L27+J32*L28</f>
        <v>8.2337613192123086E-6</v>
      </c>
      <c r="I35" s="94">
        <v>10</v>
      </c>
      <c r="J35" s="89">
        <f t="shared" si="15"/>
        <v>1.9427796643942269E-7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3.427054891845539E-5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4.0533843284507043E-5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1.9427796643942269E-7</v>
      </c>
      <c r="BH35">
        <f t="shared" si="19"/>
        <v>3</v>
      </c>
      <c r="BI35">
        <v>8</v>
      </c>
      <c r="BJ35" s="107">
        <f t="shared" si="20"/>
        <v>8.9329145444462833E-3</v>
      </c>
      <c r="BP35">
        <f t="shared" si="21"/>
        <v>8</v>
      </c>
      <c r="BQ35">
        <v>4</v>
      </c>
      <c r="BR35" s="107">
        <f t="shared" si="22"/>
        <v>1.4502603805085113E-4</v>
      </c>
    </row>
    <row r="36" spans="1:70" x14ac:dyDescent="0.25">
      <c r="A36" s="1"/>
      <c r="B36" s="108">
        <f>SUM(B37:B39)</f>
        <v>0.99964543006185902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2.6102190978710945E-3</v>
      </c>
      <c r="BP36">
        <f t="shared" si="21"/>
        <v>8</v>
      </c>
      <c r="BQ36">
        <v>5</v>
      </c>
      <c r="BR36" s="107">
        <f t="shared" si="22"/>
        <v>1.5005252966632734E-4</v>
      </c>
    </row>
    <row r="37" spans="1:70" ht="15.75" thickBot="1" x14ac:dyDescent="0.3">
      <c r="A37" s="109" t="s">
        <v>104</v>
      </c>
      <c r="B37" s="107">
        <f>SUM(BN4:BN14)</f>
        <v>0.10371075404235458</v>
      </c>
      <c r="G37" s="13"/>
      <c r="H37" s="59">
        <f>SUM(H39:H49)</f>
        <v>0.99965421846270808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0.98771273422944839</v>
      </c>
      <c r="W37" s="13"/>
      <c r="X37" s="13"/>
      <c r="Y37" s="80">
        <f>SUM(Y39:Y49)</f>
        <v>3.409919617386311E-5</v>
      </c>
      <c r="Z37" s="81"/>
      <c r="AA37" s="80">
        <f>SUM(AA39:AA49)</f>
        <v>6.1252865440565736E-4</v>
      </c>
      <c r="AB37" s="81"/>
      <c r="AC37" s="80">
        <f>SUM(AC39:AC49)</f>
        <v>4.951629576466679E-3</v>
      </c>
      <c r="AD37" s="81"/>
      <c r="AE37" s="80">
        <f>SUM(AE39:AE49)</f>
        <v>2.3722647200399884E-2</v>
      </c>
      <c r="AF37" s="81"/>
      <c r="AG37" s="80">
        <f>SUM(AG39:AG49)</f>
        <v>7.459339174876907E-2</v>
      </c>
      <c r="AH37" s="81"/>
      <c r="AI37" s="80">
        <f>SUM(AI39:AI49)</f>
        <v>0.16086442805494691</v>
      </c>
      <c r="AJ37" s="81"/>
      <c r="AK37" s="80">
        <f>SUM(AK39:AK49)</f>
        <v>0.24098158970739375</v>
      </c>
      <c r="AL37" s="81"/>
      <c r="AM37" s="80">
        <f>SUM(AM39:AM49)</f>
        <v>0.24766932656422086</v>
      </c>
      <c r="AN37" s="81"/>
      <c r="AO37" s="80">
        <f>SUM(AO39:AO49)</f>
        <v>0.16721352445809518</v>
      </c>
      <c r="AP37" s="81"/>
      <c r="AQ37" s="80">
        <f>SUM(AQ39:AQ49)</f>
        <v>6.7069569068576529E-2</v>
      </c>
      <c r="AR37" s="81"/>
      <c r="AS37" s="80">
        <f>SUM(AS39:AS49)</f>
        <v>1.2287265770551616E-2</v>
      </c>
      <c r="BH37">
        <f t="shared" si="19"/>
        <v>3</v>
      </c>
      <c r="BI37">
        <v>10</v>
      </c>
      <c r="BJ37" s="107">
        <f t="shared" si="20"/>
        <v>5.3787129733884082E-4</v>
      </c>
      <c r="BP37">
        <f t="shared" si="21"/>
        <v>8</v>
      </c>
      <c r="BQ37">
        <v>6</v>
      </c>
      <c r="BR37" s="107">
        <f t="shared" si="22"/>
        <v>1.1276378561477087E-4</v>
      </c>
    </row>
    <row r="38" spans="1:70" ht="15.75" thickBot="1" x14ac:dyDescent="0.3">
      <c r="A38" s="110" t="s">
        <v>105</v>
      </c>
      <c r="B38" s="107">
        <f>SUM(BJ4:BJ59)</f>
        <v>0.79531476331454676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3.0424313829946554E-2</v>
      </c>
      <c r="BP38">
        <f>BL11+1</f>
        <v>8</v>
      </c>
      <c r="BQ38">
        <v>7</v>
      </c>
      <c r="BR38" s="107">
        <f t="shared" si="22"/>
        <v>6.2186121259905766E-5</v>
      </c>
    </row>
    <row r="39" spans="1:70" x14ac:dyDescent="0.25">
      <c r="A39" s="111" t="s">
        <v>0</v>
      </c>
      <c r="B39" s="107">
        <f>SUM(BR4:BR47)</f>
        <v>0.10061991270495774</v>
      </c>
      <c r="G39" s="130">
        <v>0</v>
      </c>
      <c r="H39" s="131">
        <f>L39*J39</f>
        <v>2.3951888209220278E-3</v>
      </c>
      <c r="I39" s="97">
        <v>0</v>
      </c>
      <c r="J39" s="98">
        <f t="shared" ref="J39:J49" si="37">Y39+AA39+AC39+AE39+AG39+AI39+AK39+AM39+AO39+AQ39+AS39</f>
        <v>3.9479356102723913E-3</v>
      </c>
      <c r="K39" s="102">
        <v>0</v>
      </c>
      <c r="L39" s="98">
        <f>AC20</f>
        <v>0.60669399335942298</v>
      </c>
      <c r="M39" s="84">
        <v>0</v>
      </c>
      <c r="N39" s="71">
        <f>(1-$C$24)^$B$21</f>
        <v>5.8541053046947652E-3</v>
      </c>
      <c r="O39" s="70">
        <v>0</v>
      </c>
      <c r="P39" s="71">
        <f>N39</f>
        <v>5.8541053046947652E-3</v>
      </c>
      <c r="Q39" s="12">
        <v>0</v>
      </c>
      <c r="R39" s="73">
        <f>P39*N39</f>
        <v>3.427054891845539E-5</v>
      </c>
      <c r="S39" s="70">
        <v>0</v>
      </c>
      <c r="T39" s="135">
        <f>(1-$C$33)^(INT(B23*2*(1-B31)))</f>
        <v>0.995</v>
      </c>
      <c r="U39" s="140">
        <v>0</v>
      </c>
      <c r="V39" s="86">
        <f>R39*T39</f>
        <v>3.409919617386311E-5</v>
      </c>
      <c r="W39" s="136">
        <f>C31</f>
        <v>0.66142881487272809</v>
      </c>
      <c r="X39" s="12">
        <v>0</v>
      </c>
      <c r="Y39" s="79">
        <f>V39</f>
        <v>3.409919617386311E-5</v>
      </c>
      <c r="Z39" s="12">
        <v>0</v>
      </c>
      <c r="AA39" s="78">
        <f>((1-W39)^Z40)*V40</f>
        <v>2.0738455244653659E-4</v>
      </c>
      <c r="AB39" s="12">
        <v>0</v>
      </c>
      <c r="AC39" s="79">
        <f>(((1-$W$39)^AB41))*V41</f>
        <v>5.6760751370194841E-4</v>
      </c>
      <c r="AD39" s="12">
        <v>0</v>
      </c>
      <c r="AE39" s="79">
        <f>(((1-$W$39)^AB42))*V42</f>
        <v>9.2068937500429219E-4</v>
      </c>
      <c r="AF39" s="12">
        <v>0</v>
      </c>
      <c r="AG39" s="79">
        <f>(((1-$W$39)^AB43))*V43</f>
        <v>9.8016757117712718E-4</v>
      </c>
      <c r="AH39" s="12">
        <v>0</v>
      </c>
      <c r="AI39" s="79">
        <f>(((1-$W$39)^AB44))*V44</f>
        <v>7.1566534521995818E-4</v>
      </c>
      <c r="AJ39" s="12">
        <v>0</v>
      </c>
      <c r="AK39" s="79">
        <f>(((1-$W$39)^AB45))*V45</f>
        <v>3.629809453171278E-4</v>
      </c>
      <c r="AL39" s="12">
        <v>0</v>
      </c>
      <c r="AM39" s="79">
        <f>(((1-$W$39)^AB46))*V46</f>
        <v>1.2630547583662808E-4</v>
      </c>
      <c r="AN39" s="12">
        <v>0</v>
      </c>
      <c r="AO39" s="79">
        <f>(((1-$W$39)^AB47))*V47</f>
        <v>2.8871633137174059E-5</v>
      </c>
      <c r="AP39" s="12">
        <v>0</v>
      </c>
      <c r="AQ39" s="79">
        <f>(((1-$W$39)^AB48))*V48</f>
        <v>3.9208069511269517E-6</v>
      </c>
      <c r="AR39" s="12">
        <v>0</v>
      </c>
      <c r="AS39" s="79">
        <f>(((1-$W$39)^AB49))*V49</f>
        <v>2.4319530660821828E-7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2.2863731853275678E-2</v>
      </c>
      <c r="BP39">
        <f t="shared" ref="BP39:BP46" si="38">BP31+1</f>
        <v>9</v>
      </c>
      <c r="BQ39">
        <v>0</v>
      </c>
      <c r="BR39" s="107">
        <f t="shared" ref="BR39:BR47" si="39">$H$34*H39</f>
        <v>2.0638845206452997E-7</v>
      </c>
    </row>
    <row r="40" spans="1:70" x14ac:dyDescent="0.25">
      <c r="G40" s="91">
        <v>1</v>
      </c>
      <c r="H40" s="132">
        <f>L39*J40+L40*J39</f>
        <v>1.8991109193155439E-2</v>
      </c>
      <c r="I40" s="93">
        <v>1</v>
      </c>
      <c r="J40" s="86">
        <f t="shared" si="37"/>
        <v>2.9175636790872313E-2</v>
      </c>
      <c r="K40" s="95">
        <v>1</v>
      </c>
      <c r="L40" s="86">
        <f>AD20</f>
        <v>0.32686085262874431</v>
      </c>
      <c r="M40" s="85">
        <v>1</v>
      </c>
      <c r="N40" s="71">
        <f>(($C$24)^M26)*((1-($C$24))^($B$21-M26))*HLOOKUP($B$21,$AV$24:$BF$34,M26+1)</f>
        <v>5.2564349460682454E-2</v>
      </c>
      <c r="O40" s="72">
        <v>1</v>
      </c>
      <c r="P40" s="71">
        <f t="shared" ref="P40:P44" si="40">N40</f>
        <v>5.2564349460682454E-2</v>
      </c>
      <c r="Q40" s="28">
        <v>1</v>
      </c>
      <c r="R40" s="37">
        <f>P40*N39+P39*N40</f>
        <v>6.1543447403122117E-4</v>
      </c>
      <c r="S40" s="72">
        <v>1</v>
      </c>
      <c r="T40" s="135">
        <f t="shared" ref="T40:T49" si="41">(($C$33)^S40)*((1-($C$33))^(INT($B$23*2*(1-$B$31))-S40))*HLOOKUP(INT($B$23*2*(1-$B$31)),$AV$24:$BF$34,S40+1)</f>
        <v>5.0000000000000001E-3</v>
      </c>
      <c r="U40" s="93">
        <v>1</v>
      </c>
      <c r="V40" s="86">
        <f>R40*T39+T40*R39</f>
        <v>6.1252865440565736E-4</v>
      </c>
      <c r="W40" s="137"/>
      <c r="X40" s="28">
        <v>1</v>
      </c>
      <c r="Y40" s="73"/>
      <c r="Z40" s="28">
        <v>1</v>
      </c>
      <c r="AA40" s="79">
        <f>(1-((1-W39)^Z40))*V40</f>
        <v>4.051441019591208E-4</v>
      </c>
      <c r="AB40" s="28">
        <v>1</v>
      </c>
      <c r="AC40" s="79">
        <f>((($W$39)^M40)*((1-($W$39))^($U$27-M40))*HLOOKUP($U$27,$AV$24:$BF$34,M40+1))*V41</f>
        <v>2.2177431606272531E-3</v>
      </c>
      <c r="AD40" s="28">
        <v>1</v>
      </c>
      <c r="AE40" s="79">
        <f>((($W$39)^M40)*((1-($W$39))^($U$28-M40))*HLOOKUP($U$28,$AV$24:$BF$34,M40+1))*V42</f>
        <v>5.3959448611619236E-3</v>
      </c>
      <c r="AF40" s="28">
        <v>1</v>
      </c>
      <c r="AG40" s="79">
        <f>((($W$39)^M40)*((1-($W$39))^($U$29-M40))*HLOOKUP($U$29,$AV$24:$BF$34,M40+1))*V43</f>
        <v>7.6593768573266106E-3</v>
      </c>
      <c r="AH40" s="28">
        <v>1</v>
      </c>
      <c r="AI40" s="79">
        <f>((($W$39)^M40)*((1-($W$39))^($U$30-M40))*HLOOKUP($U$30,$AV$24:$BF$34,M40+1))*V44</f>
        <v>6.9905783765440337E-3</v>
      </c>
      <c r="AJ40" s="28">
        <v>1</v>
      </c>
      <c r="AK40" s="79">
        <f>((($W$39)^M40)*((1-($W$39))^($U$31-M40))*HLOOKUP($U$31,$AV$24:$BF$34,M40+1))*V45</f>
        <v>4.2546926678164862E-3</v>
      </c>
      <c r="AL40" s="28">
        <v>1</v>
      </c>
      <c r="AM40" s="79">
        <f>((($W$39)^Q40)*((1-($W$39))^($U$32-Q40))*HLOOKUP($U$32,$AV$24:$BF$34,Q40+1))*V46</f>
        <v>1.7272425830983484E-3</v>
      </c>
      <c r="AN40" s="28">
        <v>1</v>
      </c>
      <c r="AO40" s="79">
        <f>((($W$39)^Q40)*((1-($W$39))^($U$33-Q40))*HLOOKUP($U$33,$AV$24:$BF$34,Q40+1))*V47</f>
        <v>4.5122635187475079E-4</v>
      </c>
      <c r="AP40" s="28">
        <v>1</v>
      </c>
      <c r="AQ40" s="79">
        <f>((($W$39)^Q40)*((1-($W$39))^($U$34-Q40))*HLOOKUP($U$34,$AV$24:$BF$34,Q40+1))*V48</f>
        <v>6.8936794625579752E-5</v>
      </c>
      <c r="AR40" s="28">
        <v>1</v>
      </c>
      <c r="AS40" s="79">
        <f>((($W$39)^Q40)*((1-($W$39))^($U$35-Q40))*HLOOKUP($U$35,$AV$24:$BF$34,Q40+1))*V49</f>
        <v>4.7510358382098038E-6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1.2608718248773743E-2</v>
      </c>
      <c r="BP40">
        <f t="shared" si="38"/>
        <v>9</v>
      </c>
      <c r="BQ40">
        <v>1</v>
      </c>
      <c r="BR40" s="107">
        <f t="shared" si="39"/>
        <v>1.636424483584132E-6</v>
      </c>
    </row>
    <row r="41" spans="1:70" x14ac:dyDescent="0.25">
      <c r="G41" s="91">
        <v>2</v>
      </c>
      <c r="H41" s="132">
        <f>L39*J41+J40*L40+J39*L41</f>
        <v>6.86458579440586E-2</v>
      </c>
      <c r="I41" s="93">
        <v>2</v>
      </c>
      <c r="J41" s="86">
        <f t="shared" si="37"/>
        <v>9.7034584630774509E-2</v>
      </c>
      <c r="K41" s="95">
        <v>2</v>
      </c>
      <c r="L41" s="86">
        <f>AE20</f>
        <v>6.0584773056500812E-2</v>
      </c>
      <c r="M41" s="85">
        <v>2</v>
      </c>
      <c r="N41" s="71">
        <f>(($C$24)^M27)*((1-($C$24))^($B$21-M27))*HLOOKUP($B$21,$AV$24:$BF$34,M27+1)</f>
        <v>0.18879133123956074</v>
      </c>
      <c r="O41" s="72">
        <v>2</v>
      </c>
      <c r="P41" s="71">
        <f t="shared" si="40"/>
        <v>0.18879133123956074</v>
      </c>
      <c r="Q41" s="28">
        <v>2</v>
      </c>
      <c r="R41" s="37">
        <f>P41*N39+P40*N40+P39*N41</f>
        <v>4.9734195016045459E-3</v>
      </c>
      <c r="S41" s="72">
        <v>2</v>
      </c>
      <c r="T41" s="135">
        <f t="shared" si="41"/>
        <v>0</v>
      </c>
      <c r="U41" s="93">
        <v>2</v>
      </c>
      <c r="V41" s="86">
        <f>R41*T39+T40*R40+R39*T41</f>
        <v>4.951629576466679E-3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2.1662789021374773E-3</v>
      </c>
      <c r="AD41" s="28">
        <v>2</v>
      </c>
      <c r="AE41" s="79">
        <f>((($W$39)^M41)*((1-($W$39))^($U$28-M41))*HLOOKUP($U$28,$AV$24:$BF$34,M41+1))*V42</f>
        <v>1.054145648364992E-2</v>
      </c>
      <c r="AF41" s="28">
        <v>2</v>
      </c>
      <c r="AG41" s="79">
        <f>((($W$39)^M41)*((1-($W$39))^($U$29-M41))*HLOOKUP($U$29,$AV$24:$BF$34,M41+1))*V43</f>
        <v>2.2444907215748745E-2</v>
      </c>
      <c r="AH41" s="28">
        <v>2</v>
      </c>
      <c r="AI41" s="79">
        <f>((($W$39)^M41)*((1-($W$39))^($U$30-M41))*HLOOKUP($U$30,$AV$24:$BF$34,M41+1))*V44</f>
        <v>2.7313428749905711E-2</v>
      </c>
      <c r="AJ41" s="28">
        <v>2</v>
      </c>
      <c r="AK41" s="79">
        <f>((($W$39)^M41)*((1-($W$39))^($U$31-M41))*HLOOKUP($U$31,$AV$24:$BF$34,M41+1))*V45</f>
        <v>2.0779797960831122E-2</v>
      </c>
      <c r="AL41" s="28">
        <v>2</v>
      </c>
      <c r="AM41" s="79">
        <f>((($W$39)^Q41)*((1-($W$39))^($U$32-Q41))*HLOOKUP($U$32,$AV$24:$BF$34,Q41+1))*V46</f>
        <v>1.0122964371350683E-2</v>
      </c>
      <c r="AN41" s="28">
        <v>2</v>
      </c>
      <c r="AO41" s="79">
        <f>((($W$39)^Q41)*((1-($W$39))^($U$33-Q41))*HLOOKUP($U$33,$AV$24:$BF$34,Q41+1))*V47</f>
        <v>3.0852873337902128E-3</v>
      </c>
      <c r="AP41" s="28">
        <v>2</v>
      </c>
      <c r="AQ41" s="79">
        <f>((($W$39)^Q41)*((1-($W$39))^($U$34-Q41))*HLOOKUP($U$34,$AV$24:$BF$34,Q41+1))*V48</f>
        <v>5.3869655036569797E-4</v>
      </c>
      <c r="AR41" s="28">
        <v>2</v>
      </c>
      <c r="AS41" s="79">
        <f>((($W$39)^Q41)*((1-($W$39))^($U$35-Q41))*HLOOKUP($U$35,$AV$24:$BF$34,Q41+1))*V49</f>
        <v>4.1767062994940307E-5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5.0938503835485935E-3</v>
      </c>
      <c r="BP41">
        <f t="shared" si="38"/>
        <v>9</v>
      </c>
      <c r="BQ41">
        <v>2</v>
      </c>
      <c r="BR41" s="107">
        <f t="shared" si="39"/>
        <v>5.9150711785060901E-6</v>
      </c>
    </row>
    <row r="42" spans="1:70" ht="15" customHeight="1" x14ac:dyDescent="0.25">
      <c r="G42" s="91">
        <v>3</v>
      </c>
      <c r="H42" s="132">
        <f>J42*L39+J41*L40+L42*J39+L41*J40</f>
        <v>0.14955042008514985</v>
      </c>
      <c r="I42" s="93">
        <v>3</v>
      </c>
      <c r="J42" s="86">
        <f t="shared" si="37"/>
        <v>0.19127085243630307</v>
      </c>
      <c r="K42" s="95">
        <v>3</v>
      </c>
      <c r="L42" s="86">
        <f>AF20</f>
        <v>5.8603809553318953E-3</v>
      </c>
      <c r="M42" s="85">
        <v>3</v>
      </c>
      <c r="N42" s="71">
        <f>(($C$24)^M28)*((1-($C$24))^($B$21-M28))*HLOOKUP($B$21,$AV$24:$BF$34,M28+1)</f>
        <v>0.3390336522462386</v>
      </c>
      <c r="O42" s="72">
        <v>3</v>
      </c>
      <c r="P42" s="71">
        <f t="shared" si="40"/>
        <v>0.3390336522462386</v>
      </c>
      <c r="Q42" s="28">
        <v>3</v>
      </c>
      <c r="R42" s="37">
        <f>P42*N39+P41*N40+P40*N41+P39*N42</f>
        <v>2.3816864425016945E-2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2.3722647200399884E-2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6.8645564805837481E-3</v>
      </c>
      <c r="AF42" s="28">
        <v>3</v>
      </c>
      <c r="AG42" s="79">
        <f>((($W$39)^M42)*((1-($W$39))^($U$29-M42))*HLOOKUP($U$29,$AV$24:$BF$34,M42+1))*V43</f>
        <v>2.9232076899988611E-2</v>
      </c>
      <c r="AH42" s="28">
        <v>3</v>
      </c>
      <c r="AI42" s="79">
        <f>((($W$39)^M42)*((1-($W$39))^($U$30-M42))*HLOOKUP($U$30,$AV$24:$BF$34,M42+1))*V44</f>
        <v>5.3359203623219456E-2</v>
      </c>
      <c r="AJ42" s="28">
        <v>3</v>
      </c>
      <c r="AK42" s="79">
        <f>((($W$39)^M42)*((1-($W$39))^($U$31-M42))*HLOOKUP($U$31,$AV$24:$BF$34,M42+1))*V45</f>
        <v>5.412690247443093E-2</v>
      </c>
      <c r="AL42" s="28">
        <v>3</v>
      </c>
      <c r="AM42" s="79">
        <f>((($W$39)^Q42)*((1-($W$39))^($U$32-Q42))*HLOOKUP($U$32,$AV$24:$BF$34,Q42+1))*V46</f>
        <v>3.2960180021543523E-2</v>
      </c>
      <c r="AN42" s="28">
        <v>3</v>
      </c>
      <c r="AO42" s="79">
        <f>((($W$39)^Q42)*((1-($W$39))^($U$33-Q42))*HLOOKUP($U$33,$AV$24:$BF$34,Q42+1))*V47</f>
        <v>1.2054764459436105E-2</v>
      </c>
      <c r="AP42" s="28">
        <v>3</v>
      </c>
      <c r="AQ42" s="79">
        <f>((($W$39)^Q42)*((1-($W$39))^($U$34-Q42))*HLOOKUP($U$34,$AV$24:$BF$34,Q42+1))*V48</f>
        <v>2.455580053033056E-3</v>
      </c>
      <c r="AR42" s="28">
        <v>3</v>
      </c>
      <c r="AS42" s="79">
        <f>((($W$39)^Q42)*((1-($W$39))^($U$35-Q42))*HLOOKUP($U$35,$AV$24:$BF$34,Q42+1))*V49</f>
        <v>2.1758842406763483E-4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1.4884353238443198E-3</v>
      </c>
      <c r="BP42">
        <f t="shared" si="38"/>
        <v>9</v>
      </c>
      <c r="BQ42">
        <v>3</v>
      </c>
      <c r="BR42" s="107">
        <f t="shared" si="39"/>
        <v>1.2886449467934893E-5</v>
      </c>
    </row>
    <row r="43" spans="1:70" ht="15" customHeight="1" x14ac:dyDescent="0.25">
      <c r="G43" s="91">
        <v>4</v>
      </c>
      <c r="H43" s="132">
        <f>J43*L39+J42*L40+J41*L41+J40*L42</f>
        <v>0.21870851523846033</v>
      </c>
      <c r="I43" s="93">
        <v>4</v>
      </c>
      <c r="J43" s="86">
        <f t="shared" si="37"/>
        <v>0.24747197819125311</v>
      </c>
      <c r="K43" s="95">
        <v>4</v>
      </c>
      <c r="L43" s="86"/>
      <c r="M43" s="85">
        <v>4</v>
      </c>
      <c r="N43" s="71">
        <f>(($C$24)^M29)*((1-($C$24))^($B$21-M29))*HLOOKUP($B$21,$AV$24:$BF$34,M29+1)</f>
        <v>0.30442027343291816</v>
      </c>
      <c r="O43" s="72">
        <v>4</v>
      </c>
      <c r="P43" s="71">
        <f t="shared" si="40"/>
        <v>0.30442027343291816</v>
      </c>
      <c r="Q43" s="28">
        <v>4</v>
      </c>
      <c r="R43" s="37">
        <f>P43*N39+P42*N40+P41*N41+P40*N42+P39*N43</f>
        <v>7.4848550177531642E-2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7.459339174876907E-2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1.4276863204527979E-2</v>
      </c>
      <c r="AH43" s="28">
        <v>4</v>
      </c>
      <c r="AI43" s="79">
        <f>((($W$39)^M43)*((1-($W$39))^($U$30-M43))*HLOOKUP($U$30,$AV$24:$BF$34,M43+1))*V44</f>
        <v>5.2120966528488757E-2</v>
      </c>
      <c r="AJ43" s="28">
        <v>4</v>
      </c>
      <c r="AK43" s="79">
        <f>((($W$39)^M43)*((1-($W$39))^($U$31-M43))*HLOOKUP($U$31,$AV$24:$BF$34,M43+1))*V45</f>
        <v>7.9306275598150719E-2</v>
      </c>
      <c r="AL43" s="28">
        <v>4</v>
      </c>
      <c r="AM43" s="79">
        <f>((($W$39)^Q43)*((1-($W$39))^($U$32-Q43))*HLOOKUP($U$32,$AV$24:$BF$34,Q43+1))*V46</f>
        <v>6.4390632656604205E-2</v>
      </c>
      <c r="AN43" s="28">
        <v>4</v>
      </c>
      <c r="AO43" s="79">
        <f>((($W$39)^Q43)*((1-($W$39))^($U$33-Q43))*HLOOKUP($U$33,$AV$24:$BF$34,Q43+1))*V47</f>
        <v>2.9437563355315683E-2</v>
      </c>
      <c r="AP43" s="28">
        <v>4</v>
      </c>
      <c r="AQ43" s="79">
        <f>((($W$39)^Q43)*((1-($W$39))^($U$34-Q43))*HLOOKUP($U$34,$AV$24:$BF$34,Q43+1))*V48</f>
        <v>7.1957898766202601E-3</v>
      </c>
      <c r="AR43" s="28">
        <v>4</v>
      </c>
      <c r="AS43" s="79">
        <f>((($W$39)^Q43)*((1-($W$39))^($U$35-Q43))*HLOOKUP($U$35,$AV$24:$BF$34,Q43+1))*V49</f>
        <v>7.4388697154548016E-4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3.0671242858274378E-4</v>
      </c>
      <c r="BP43">
        <f t="shared" si="38"/>
        <v>9</v>
      </c>
      <c r="BQ43">
        <v>4</v>
      </c>
      <c r="BR43" s="107">
        <f t="shared" si="39"/>
        <v>1.8845659064165666E-5</v>
      </c>
    </row>
    <row r="44" spans="1:70" ht="15" customHeight="1" thickBot="1" x14ac:dyDescent="0.3">
      <c r="G44" s="91">
        <v>5</v>
      </c>
      <c r="H44" s="132">
        <f>J44*L39+J43*L40+J42*L41+J41*L42</f>
        <v>0.22628878518759804</v>
      </c>
      <c r="I44" s="93">
        <v>5</v>
      </c>
      <c r="J44" s="86">
        <f t="shared" si="37"/>
        <v>0.2196216280921548</v>
      </c>
      <c r="K44" s="95">
        <v>5</v>
      </c>
      <c r="L44" s="86"/>
      <c r="M44" s="85">
        <v>5</v>
      </c>
      <c r="N44" s="71">
        <f>(($C$24)^M30)*((1-($C$24))^($B$21-M30))*HLOOKUP($B$21,$AV$24:$BF$34,M30+1)</f>
        <v>0.10933628831590517</v>
      </c>
      <c r="O44" s="72">
        <v>5</v>
      </c>
      <c r="P44" s="71">
        <f t="shared" si="40"/>
        <v>0.10933628831590517</v>
      </c>
      <c r="Q44" s="28">
        <v>5</v>
      </c>
      <c r="R44" s="37">
        <f>P44*N39+P43*N40+P42*N41+P41*N42+P40*N43+P39*N44</f>
        <v>0.16129666864729575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0.16086442805494691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2.0364585431568993E-2</v>
      </c>
      <c r="AJ44" s="28">
        <v>5</v>
      </c>
      <c r="AK44" s="79">
        <f>((($W$39)^M44)*((1-($W$39))^($U$31-M44))*HLOOKUP($U$31,$AV$24:$BF$34,M44+1))*V45</f>
        <v>6.19727350526139E-2</v>
      </c>
      <c r="AL44" s="28">
        <v>5</v>
      </c>
      <c r="AM44" s="79">
        <f>((($W$39)^Q44)*((1-($W$39))^($U$32-Q44))*HLOOKUP($U$32,$AV$24:$BF$34,Q44+1))*V46</f>
        <v>7.5475684378077848E-2</v>
      </c>
      <c r="AN44" s="28">
        <v>5</v>
      </c>
      <c r="AO44" s="79">
        <f>((($W$39)^Q44)*((1-($W$39))^($U$33-Q44))*HLOOKUP($U$33,$AV$24:$BF$34,Q44+1))*V47</f>
        <v>4.6007111055308574E-2</v>
      </c>
      <c r="AP44" s="28">
        <v>5</v>
      </c>
      <c r="AQ44" s="79">
        <f>((($W$39)^Q44)*((1-($W$39))^($U$34-Q44))*HLOOKUP($U$34,$AV$24:$BF$34,Q44+1))*V48</f>
        <v>1.405761322652716E-2</v>
      </c>
      <c r="AR44" s="28">
        <v>5</v>
      </c>
      <c r="AS44" s="79">
        <f>((($W$39)^Q44)*((1-($W$39))^($U$35-Q44))*HLOOKUP($U$35,$AV$24:$BF$34,Q44+1))*V49</f>
        <v>1.7438989480583181E-3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9.3737989430513896E-3</v>
      </c>
      <c r="BP44">
        <f t="shared" si="38"/>
        <v>9</v>
      </c>
      <c r="BQ44">
        <v>5</v>
      </c>
      <c r="BR44" s="107">
        <f t="shared" si="39"/>
        <v>1.9498835200997987E-5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0.17005498085679691</v>
      </c>
      <c r="I45" s="93">
        <v>6</v>
      </c>
      <c r="J45" s="86">
        <f t="shared" si="37"/>
        <v>0.1354147485299444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0.24138201644638921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0.24098158970739375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2.0178205008233484E-2</v>
      </c>
      <c r="AL45" s="28">
        <v>6</v>
      </c>
      <c r="AM45" s="79">
        <f>((($W$39)^Q45)*((1-($W$39))^($U$32-Q45))*HLOOKUP($U$32,$AV$24:$BF$34,Q45+1))*V46</f>
        <v>4.9149479403308806E-2</v>
      </c>
      <c r="AN45" s="28">
        <v>6</v>
      </c>
      <c r="AO45" s="79">
        <f>((($W$39)^Q45)*((1-($W$39))^($U$33-Q45))*HLOOKUP($U$33,$AV$24:$BF$34,Q45+1))*V47</f>
        <v>4.4939484335608293E-2</v>
      </c>
      <c r="AP45" s="28">
        <v>6</v>
      </c>
      <c r="AQ45" s="79">
        <f>((($W$39)^Q45)*((1-($W$39))^($U$34-Q45))*HLOOKUP($U$34,$AV$24:$BF$34,Q45+1))*V48</f>
        <v>1.8308528830976965E-2</v>
      </c>
      <c r="AR45" s="28">
        <v>6</v>
      </c>
      <c r="AS45" s="79">
        <f>((($W$39)^Q45)*((1-($W$39))^($U$35-Q45))*HLOOKUP($U$35,$AV$24:$BF$34,Q45+1))*V49</f>
        <v>2.8390509518168559E-3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5.1693918802085143E-3</v>
      </c>
      <c r="BP45">
        <f t="shared" si="38"/>
        <v>9</v>
      </c>
      <c r="BQ45">
        <v>6</v>
      </c>
      <c r="BR45" s="107">
        <f t="shared" si="39"/>
        <v>1.4653284934499174E-5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9.378063713237475E-2</v>
      </c>
      <c r="I46" s="93">
        <v>7</v>
      </c>
      <c r="J46" s="86">
        <f t="shared" si="37"/>
        <v>5.72988207986804E-2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0.24770092108742603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0.24766932656422086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1.3716837674400828E-2</v>
      </c>
      <c r="AN46" s="28">
        <v>7</v>
      </c>
      <c r="AO46" s="79">
        <f>((($W$39)^Q46)*((1-($W$39))^($U$33-Q46))*HLOOKUP($U$33,$AV$24:$BF$34,Q46+1))*V47</f>
        <v>2.5083790074135307E-2</v>
      </c>
      <c r="AP46" s="28">
        <v>7</v>
      </c>
      <c r="AQ46" s="79">
        <f>((($W$39)^Q46)*((1-($W$39))^($U$34-Q46))*HLOOKUP($U$34,$AV$24:$BF$34,Q46+1))*V48</f>
        <v>1.5328857258334978E-2</v>
      </c>
      <c r="AR46" s="28">
        <v>7</v>
      </c>
      <c r="AS46" s="79">
        <f>((($W$39)^Q46)*((1-($W$39))^($U$35-Q46))*HLOOKUP($U$35,$AV$24:$BF$34,Q46+1))*V49</f>
        <v>3.1693357918092858E-3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2.0884048871719417E-3</v>
      </c>
      <c r="BP46">
        <f t="shared" si="38"/>
        <v>9</v>
      </c>
      <c r="BQ46">
        <v>7</v>
      </c>
      <c r="BR46" s="107">
        <f t="shared" si="39"/>
        <v>8.0808829610040542E-6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3.788684345235787E-2</v>
      </c>
      <c r="I47" s="93">
        <v>8</v>
      </c>
      <c r="J47" s="86">
        <f t="shared" si="37"/>
        <v>1.5933838017928942E-2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0.16680906517855079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0.16721352445809515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6.1254258594890679E-3</v>
      </c>
      <c r="AP47" s="28">
        <v>8</v>
      </c>
      <c r="AQ47" s="79">
        <f>((($W$39)^Q47)*((1-($W$39))^($U$34-Q47))*HLOOKUP($U$34,$AV$24:$BF$34,Q47+1))*V48</f>
        <v>7.4865702805765929E-3</v>
      </c>
      <c r="AR47" s="28">
        <v>8</v>
      </c>
      <c r="AS47" s="79">
        <f>((($W$39)^Q47)*((1-($W$39))^($U$35-Q47))*HLOOKUP($U$35,$AV$24:$BF$34,Q47+1))*V49</f>
        <v>2.3218418778632784E-3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6.1023692698063624E-4</v>
      </c>
      <c r="BP47">
        <f>BL12+1</f>
        <v>9</v>
      </c>
      <c r="BQ47">
        <v>8</v>
      </c>
      <c r="BR47" s="107">
        <f t="shared" si="39"/>
        <v>3.2646307069574719E-6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1.107062670815317E-2</v>
      </c>
      <c r="I48" s="93">
        <v>9</v>
      </c>
      <c r="J48" s="86">
        <f t="shared" si="37"/>
        <v>2.6330584736300941E-3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6.6568365570536456E-2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6.7069569068576529E-2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1.6250753905651171E-3</v>
      </c>
      <c r="AR48" s="28">
        <v>9</v>
      </c>
      <c r="AS48" s="79">
        <f>((($W$39)^Q48)*((1-($W$39))^($U$35-Q48))*HLOOKUP($U$35,$AV$24:$BF$34,Q48+1))*V49</f>
        <v>1.0079830830649768E-3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1.2574765385283066E-4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2.2812538436811454E-3</v>
      </c>
      <c r="I49" s="94">
        <v>10</v>
      </c>
      <c r="J49" s="89">
        <f t="shared" si="37"/>
        <v>1.9691842818602665E-4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1.1954423942698741E-2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1.2287265770551614E-2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1.9691842818602665E-4</v>
      </c>
      <c r="BH49">
        <f>BP14+1</f>
        <v>6</v>
      </c>
      <c r="BI49">
        <v>0</v>
      </c>
      <c r="BJ49" s="107">
        <f>$H$31*H39</f>
        <v>4.0124254243973982E-5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1.5710152346205223E-3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6.3468121005961207E-4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1.8545537487398239E-4</v>
      </c>
    </row>
    <row r="53" spans="1:62" x14ac:dyDescent="0.25">
      <c r="BH53">
        <f>BH48+1</f>
        <v>6</v>
      </c>
      <c r="BI53">
        <v>10</v>
      </c>
      <c r="BJ53" s="107">
        <f>$H$31*H49</f>
        <v>3.8215613073740591E-5</v>
      </c>
    </row>
    <row r="54" spans="1:62" x14ac:dyDescent="0.25">
      <c r="BH54">
        <f>BH51+1</f>
        <v>7</v>
      </c>
      <c r="BI54">
        <v>8</v>
      </c>
      <c r="BJ54" s="107">
        <f>$H$32*H47</f>
        <v>1.4521521536696447E-4</v>
      </c>
    </row>
    <row r="55" spans="1:62" x14ac:dyDescent="0.25">
      <c r="BH55">
        <f>BH52+1</f>
        <v>7</v>
      </c>
      <c r="BI55">
        <v>9</v>
      </c>
      <c r="BJ55" s="107">
        <f>$H$32*H48</f>
        <v>4.2432234917994511E-5</v>
      </c>
    </row>
    <row r="56" spans="1:62" x14ac:dyDescent="0.25">
      <c r="BH56">
        <f>BH53+1</f>
        <v>7</v>
      </c>
      <c r="BI56">
        <v>10</v>
      </c>
      <c r="BJ56" s="107">
        <f>$H$32*H49</f>
        <v>8.7437415743922686E-6</v>
      </c>
    </row>
    <row r="57" spans="1:62" x14ac:dyDescent="0.25">
      <c r="BH57">
        <f>BH55+1</f>
        <v>8</v>
      </c>
      <c r="BI57">
        <v>9</v>
      </c>
      <c r="BJ57" s="107">
        <f>$H$33*H48</f>
        <v>7.3409539106095804E-6</v>
      </c>
    </row>
    <row r="58" spans="1:62" x14ac:dyDescent="0.25">
      <c r="BH58">
        <f>BH56+1</f>
        <v>8</v>
      </c>
      <c r="BI58">
        <v>10</v>
      </c>
      <c r="BJ58" s="107">
        <f>$H$33*H49</f>
        <v>1.512703821232714E-6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1.9657091142499861E-7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6"/>
      <c r="Q1" s="216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6"/>
      <c r="Q1" s="216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8" t="s">
        <v>23</v>
      </c>
      <c r="C3" s="21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9" t="s">
        <v>130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Knights-OBIWAN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2018-05-29T13:54:22Z</dcterms:modified>
</cp:coreProperties>
</file>