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codeName="ThisWorkbook" defaultThemeVersion="124226"/>
  <xr:revisionPtr revIDLastSave="0" documentId="13_ncr:1_{A587E198-8E90-4D06-ADB5-682AA695E7ED}" xr6:coauthVersionLast="33" xr6:coauthVersionMax="33" xr10:uidLastSave="{00000000-0000-0000-0000-000000000000}"/>
  <bookViews>
    <workbookView xWindow="240" yWindow="105" windowWidth="14805" windowHeight="8010" firstSheet="6" activeTab="8" xr2:uid="{00000000-000D-0000-FFFF-FFFF00000000}"/>
  </bookViews>
  <sheets>
    <sheet name="Resistencia" sheetId="6" r:id="rId1"/>
    <sheet name="TL_v1" sheetId="7" r:id="rId2"/>
    <sheet name="CA_v1" sheetId="14" r:id="rId3"/>
    <sheet name="CA_v2" sheetId="23" r:id="rId4"/>
    <sheet name="CambioENTRENADOR" sheetId="9" r:id="rId5"/>
    <sheet name="Planning_Entrenador" sheetId="11" r:id="rId6"/>
    <sheet name="Hall_of_Fame" sheetId="22" r:id="rId7"/>
    <sheet name="CA_v3" sheetId="24" r:id="rId8"/>
    <sheet name="PLANTILLA" sheetId="1" r:id="rId9"/>
    <sheet name="CAPITAN" sheetId="12" r:id="rId10"/>
    <sheet name="Evaluacion Jugadores" sheetId="3" r:id="rId11"/>
    <sheet name="Rendimiento_ENTRENAMIENTO" sheetId="10" r:id="rId12"/>
    <sheet name="Calculador de Sueldo" sheetId="2" r:id="rId13"/>
    <sheet name="Empleados" sheetId="4" r:id="rId14"/>
  </sheets>
  <calcPr calcId="179017"/>
</workbook>
</file>

<file path=xl/calcChain.xml><?xml version="1.0" encoding="utf-8"?>
<calcChain xmlns="http://schemas.openxmlformats.org/spreadsheetml/2006/main">
  <c r="Y7" i="1" l="1"/>
  <c r="Y6" i="1"/>
  <c r="P10" i="24"/>
  <c r="AS8" i="24" l="1"/>
  <c r="AS26" i="24"/>
  <c r="AE21" i="1" l="1"/>
  <c r="AE13" i="1" l="1"/>
  <c r="AB22" i="24" l="1"/>
  <c r="AB23" i="24"/>
  <c r="AB24" i="24"/>
  <c r="AB25" i="24"/>
  <c r="AB26" i="24"/>
  <c r="AB27" i="24"/>
  <c r="AB28" i="24"/>
  <c r="AB29" i="24"/>
  <c r="AB30" i="24"/>
  <c r="AB31" i="24"/>
  <c r="AB32" i="24"/>
  <c r="AB33" i="24"/>
  <c r="AB21" i="24"/>
  <c r="AJ26" i="24"/>
  <c r="AJ29" i="24"/>
  <c r="AJ30" i="24"/>
  <c r="AH36" i="24"/>
  <c r="AH35" i="24"/>
  <c r="AH34" i="24"/>
  <c r="AH33" i="24"/>
  <c r="AH32" i="24"/>
  <c r="AH31" i="24"/>
  <c r="AH30" i="24"/>
  <c r="AH29" i="24"/>
  <c r="AH28" i="24"/>
  <c r="AH27" i="24"/>
  <c r="AH26" i="24"/>
  <c r="AH25" i="24"/>
  <c r="AH24" i="24"/>
  <c r="AH23" i="24"/>
  <c r="AH22" i="24"/>
  <c r="AE33" i="24"/>
  <c r="AE32" i="24"/>
  <c r="AE31" i="24"/>
  <c r="AE30" i="24"/>
  <c r="AE29" i="24"/>
  <c r="AE28" i="24"/>
  <c r="AE27" i="24"/>
  <c r="AE26" i="24"/>
  <c r="AE25" i="24"/>
  <c r="AE24" i="24"/>
  <c r="AE22" i="24"/>
  <c r="AM23" i="24"/>
  <c r="AM24" i="24"/>
  <c r="AM25" i="24"/>
  <c r="AM26" i="24"/>
  <c r="AM27" i="24"/>
  <c r="AM28" i="24"/>
  <c r="AM29" i="24"/>
  <c r="AM30" i="24"/>
  <c r="AM31" i="24"/>
  <c r="AM32" i="24"/>
  <c r="AM33" i="24"/>
  <c r="AM34" i="24"/>
  <c r="AM35" i="24"/>
  <c r="AM36" i="24"/>
  <c r="AM22" i="24"/>
  <c r="AG30" i="24"/>
  <c r="AG29" i="24"/>
  <c r="AH21" i="24"/>
  <c r="N26" i="24"/>
  <c r="Y26" i="24"/>
  <c r="Z26" i="24"/>
  <c r="AO22" i="24"/>
  <c r="AO23" i="24"/>
  <c r="AO24" i="24"/>
  <c r="AO25" i="24"/>
  <c r="AO26" i="24"/>
  <c r="AO27" i="24"/>
  <c r="AO28" i="24"/>
  <c r="AO29" i="24"/>
  <c r="AO30" i="24"/>
  <c r="AO31" i="24"/>
  <c r="AO32" i="24"/>
  <c r="AO33" i="24"/>
  <c r="AO34" i="24"/>
  <c r="AO35" i="24"/>
  <c r="AO36" i="24"/>
  <c r="AO21" i="24"/>
  <c r="Y35" i="24"/>
  <c r="Z35" i="24"/>
  <c r="Y36" i="24"/>
  <c r="Z36" i="24"/>
  <c r="Y34" i="24"/>
  <c r="Z34" i="24"/>
  <c r="Y30" i="24"/>
  <c r="Z30" i="24"/>
  <c r="Y29" i="24"/>
  <c r="Z29" i="24"/>
  <c r="Y23" i="24"/>
  <c r="N35" i="24"/>
  <c r="N36" i="24"/>
  <c r="N34" i="24"/>
  <c r="P36" i="24"/>
  <c r="O36" i="24"/>
  <c r="H36" i="24"/>
  <c r="G36" i="24"/>
  <c r="P35" i="24"/>
  <c r="O35" i="24"/>
  <c r="H35" i="24"/>
  <c r="G35" i="24"/>
  <c r="N30" i="24"/>
  <c r="AH13" i="24"/>
  <c r="AH9" i="24"/>
  <c r="AH7" i="24"/>
  <c r="AH3" i="24"/>
  <c r="N29" i="24"/>
  <c r="O22" i="24" l="1"/>
  <c r="Q22" i="24"/>
  <c r="R22" i="24"/>
  <c r="S22" i="24"/>
  <c r="T22" i="24"/>
  <c r="U22" i="24"/>
  <c r="O23" i="24"/>
  <c r="Q23" i="24"/>
  <c r="R23" i="24"/>
  <c r="S23" i="24"/>
  <c r="T23" i="24"/>
  <c r="U23" i="24"/>
  <c r="O24" i="24"/>
  <c r="Q24" i="24"/>
  <c r="R24" i="24"/>
  <c r="S24" i="24"/>
  <c r="T24" i="24"/>
  <c r="U24" i="24"/>
  <c r="O25" i="24"/>
  <c r="Q25" i="24"/>
  <c r="R25" i="24"/>
  <c r="S25" i="24"/>
  <c r="T25" i="24"/>
  <c r="U25" i="24"/>
  <c r="O26" i="24"/>
  <c r="R26" i="24"/>
  <c r="T26" i="24"/>
  <c r="U26" i="24"/>
  <c r="O27" i="24"/>
  <c r="Q27" i="24"/>
  <c r="R27" i="24"/>
  <c r="S27" i="24"/>
  <c r="T27" i="24"/>
  <c r="U27" i="24"/>
  <c r="O28" i="24"/>
  <c r="Q28" i="24"/>
  <c r="R28" i="24"/>
  <c r="S28" i="24"/>
  <c r="T28" i="24"/>
  <c r="U28" i="24"/>
  <c r="O29" i="24"/>
  <c r="O30" i="24"/>
  <c r="O31" i="24"/>
  <c r="Q31" i="24"/>
  <c r="R31" i="24"/>
  <c r="S31" i="24"/>
  <c r="T31" i="24"/>
  <c r="U31" i="24"/>
  <c r="O32" i="24"/>
  <c r="Q32" i="24"/>
  <c r="R32" i="24"/>
  <c r="S32" i="24"/>
  <c r="T32" i="24"/>
  <c r="U32" i="24"/>
  <c r="O33" i="24"/>
  <c r="Q33" i="24"/>
  <c r="R33" i="24"/>
  <c r="S33" i="24"/>
  <c r="T33" i="24"/>
  <c r="U33" i="24"/>
  <c r="Q21" i="24"/>
  <c r="R21" i="24"/>
  <c r="S21" i="24"/>
  <c r="T21" i="24"/>
  <c r="U21" i="24"/>
  <c r="O21" i="24"/>
  <c r="N22" i="24"/>
  <c r="N23" i="24"/>
  <c r="N24" i="24"/>
  <c r="N25" i="24"/>
  <c r="N27" i="24"/>
  <c r="N28" i="24"/>
  <c r="N31" i="24"/>
  <c r="N32" i="24"/>
  <c r="N33" i="24"/>
  <c r="N21" i="24"/>
  <c r="G22" i="24"/>
  <c r="H22" i="24"/>
  <c r="I22" i="24"/>
  <c r="J22" i="24"/>
  <c r="K22" i="24"/>
  <c r="L22" i="24"/>
  <c r="M22" i="24"/>
  <c r="G23" i="24"/>
  <c r="H23" i="24"/>
  <c r="I23" i="24"/>
  <c r="J23" i="24"/>
  <c r="K23" i="24"/>
  <c r="L23" i="24"/>
  <c r="M23" i="24"/>
  <c r="G24" i="24"/>
  <c r="H24" i="24"/>
  <c r="I24" i="24"/>
  <c r="J24" i="24"/>
  <c r="K24" i="24"/>
  <c r="L24" i="24"/>
  <c r="M24" i="24"/>
  <c r="G25" i="24"/>
  <c r="H25" i="24"/>
  <c r="I25" i="24"/>
  <c r="J25" i="24"/>
  <c r="K25" i="24"/>
  <c r="L25" i="24"/>
  <c r="M25" i="24"/>
  <c r="G26" i="24"/>
  <c r="J26" i="24"/>
  <c r="L26" i="24"/>
  <c r="M26" i="24"/>
  <c r="G27" i="24"/>
  <c r="H27" i="24"/>
  <c r="I27" i="24"/>
  <c r="J27" i="24"/>
  <c r="K27" i="24"/>
  <c r="L27" i="24"/>
  <c r="M27" i="24"/>
  <c r="G28" i="24"/>
  <c r="H28" i="24"/>
  <c r="I28" i="24"/>
  <c r="J28" i="24"/>
  <c r="K28" i="24"/>
  <c r="L28" i="24"/>
  <c r="M28" i="24"/>
  <c r="G29" i="24"/>
  <c r="G30" i="24"/>
  <c r="G31" i="24"/>
  <c r="H31" i="24"/>
  <c r="I31" i="24"/>
  <c r="J31" i="24"/>
  <c r="K31" i="24"/>
  <c r="L31" i="24"/>
  <c r="M31" i="24"/>
  <c r="G32" i="24"/>
  <c r="H32" i="24"/>
  <c r="I32" i="24"/>
  <c r="J32" i="24"/>
  <c r="K32" i="24"/>
  <c r="L32" i="24"/>
  <c r="M32" i="24"/>
  <c r="G33" i="24"/>
  <c r="H33" i="24"/>
  <c r="I33" i="24"/>
  <c r="J33" i="24"/>
  <c r="K33" i="24"/>
  <c r="L33" i="24"/>
  <c r="M33" i="24"/>
  <c r="G34" i="24"/>
  <c r="H34" i="24"/>
  <c r="H21" i="24"/>
  <c r="I21" i="24"/>
  <c r="J21" i="24"/>
  <c r="K21" i="24"/>
  <c r="L21" i="24"/>
  <c r="M21" i="24"/>
  <c r="AS25" i="24"/>
  <c r="D21" i="24"/>
  <c r="AH15" i="24" l="1"/>
  <c r="AH14" i="24"/>
  <c r="AH10" i="24"/>
  <c r="AH6" i="24"/>
  <c r="AH5" i="24"/>
  <c r="AH4" i="24"/>
  <c r="AB15" i="24"/>
  <c r="AB14" i="24"/>
  <c r="AB13" i="24"/>
  <c r="AB9" i="24"/>
  <c r="AB7" i="24"/>
  <c r="AB6" i="24"/>
  <c r="AB5" i="24"/>
  <c r="AB4" i="24"/>
  <c r="AB3" i="24"/>
  <c r="AJ4" i="24" l="1"/>
  <c r="P22" i="24" s="1"/>
  <c r="AJ22" i="24" s="1"/>
  <c r="AJ5" i="24"/>
  <c r="P23" i="24" s="1"/>
  <c r="AJ23" i="24" s="1"/>
  <c r="AJ6" i="24"/>
  <c r="P24" i="24" s="1"/>
  <c r="AJ24" i="24" s="1"/>
  <c r="AJ7" i="24"/>
  <c r="P25" i="24" s="1"/>
  <c r="AJ25" i="24" s="1"/>
  <c r="AJ9" i="24"/>
  <c r="P27" i="24" s="1"/>
  <c r="AJ27" i="24" s="1"/>
  <c r="AJ10" i="24"/>
  <c r="P28" i="24" s="1"/>
  <c r="AJ28" i="24" s="1"/>
  <c r="AJ13" i="24"/>
  <c r="P31" i="24" s="1"/>
  <c r="AJ31" i="24" s="1"/>
  <c r="AJ14" i="24"/>
  <c r="P32" i="24" s="1"/>
  <c r="AJ32" i="24" s="1"/>
  <c r="AJ15" i="24"/>
  <c r="P33" i="24" s="1"/>
  <c r="AJ33" i="24" s="1"/>
  <c r="AJ3" i="24"/>
  <c r="P21" i="24" s="1"/>
  <c r="AJ21" i="24" s="1"/>
  <c r="AI4" i="24"/>
  <c r="AK4" i="24"/>
  <c r="AL4" i="24"/>
  <c r="AM4" i="24"/>
  <c r="AN4" i="24"/>
  <c r="AO4" i="24"/>
  <c r="AI5" i="24"/>
  <c r="AK5" i="24"/>
  <c r="AL5" i="24"/>
  <c r="AM5" i="24"/>
  <c r="AN5" i="24"/>
  <c r="AO5" i="24"/>
  <c r="AI6" i="24"/>
  <c r="AK6" i="24"/>
  <c r="AL6" i="24"/>
  <c r="AM6" i="24"/>
  <c r="AN6" i="24"/>
  <c r="AO6" i="24"/>
  <c r="AI7" i="24"/>
  <c r="AK7" i="24"/>
  <c r="AL7" i="24"/>
  <c r="AM7" i="24"/>
  <c r="AN7" i="24"/>
  <c r="AO7" i="24"/>
  <c r="AI8" i="24"/>
  <c r="AK8" i="24"/>
  <c r="AL8" i="24"/>
  <c r="AM8" i="24"/>
  <c r="AN8" i="24"/>
  <c r="AO8" i="24"/>
  <c r="AI9" i="24"/>
  <c r="AK9" i="24"/>
  <c r="AL9" i="24"/>
  <c r="AM9" i="24"/>
  <c r="AN9" i="24"/>
  <c r="AO9" i="24"/>
  <c r="AI10" i="24"/>
  <c r="AK10" i="24"/>
  <c r="AL10" i="24"/>
  <c r="AM10" i="24"/>
  <c r="AN10" i="24"/>
  <c r="AO10" i="24"/>
  <c r="AI11" i="24"/>
  <c r="AK11" i="24"/>
  <c r="AL11" i="24"/>
  <c r="AM11" i="24"/>
  <c r="AN11" i="24"/>
  <c r="AO11" i="24"/>
  <c r="AI12" i="24"/>
  <c r="AK12" i="24"/>
  <c r="AL12" i="24"/>
  <c r="AM12" i="24"/>
  <c r="AN12" i="24"/>
  <c r="AO12" i="24"/>
  <c r="AI13" i="24"/>
  <c r="AK13" i="24"/>
  <c r="AL13" i="24"/>
  <c r="AM13" i="24"/>
  <c r="AN13" i="24"/>
  <c r="AO13" i="24"/>
  <c r="AI14" i="24"/>
  <c r="AK14" i="24"/>
  <c r="AL14" i="24"/>
  <c r="AM14" i="24"/>
  <c r="AN14" i="24"/>
  <c r="AO14" i="24"/>
  <c r="AI15" i="24"/>
  <c r="AK15" i="24"/>
  <c r="AL15" i="24"/>
  <c r="AM15" i="24"/>
  <c r="AN15" i="24"/>
  <c r="AO15" i="24"/>
  <c r="AI16" i="24"/>
  <c r="AK16" i="24"/>
  <c r="AL16" i="24"/>
  <c r="AM16" i="24"/>
  <c r="AN16" i="24"/>
  <c r="AO16" i="24"/>
  <c r="AI17" i="24"/>
  <c r="AK17" i="24"/>
  <c r="AL17" i="24"/>
  <c r="AM17" i="24"/>
  <c r="AN17" i="24"/>
  <c r="AO17" i="24"/>
  <c r="AI18" i="24"/>
  <c r="AK18" i="24"/>
  <c r="AL18" i="24"/>
  <c r="AM18" i="24"/>
  <c r="AN18" i="24"/>
  <c r="AO18" i="24"/>
  <c r="AA8" i="1" l="1"/>
  <c r="AA18" i="1"/>
  <c r="AA10" i="1"/>
  <c r="AA17" i="1"/>
  <c r="AA6" i="1" l="1"/>
  <c r="AE5" i="1" l="1"/>
  <c r="N19" i="1" l="1"/>
  <c r="N3" i="24" l="1"/>
  <c r="H3" i="24"/>
  <c r="I3" i="24"/>
  <c r="J3" i="24"/>
  <c r="K3" i="24"/>
  <c r="L3" i="24"/>
  <c r="M3" i="24"/>
  <c r="G3" i="24"/>
  <c r="E3" i="24"/>
  <c r="Y3" i="24" s="1"/>
  <c r="E21" i="24" s="1"/>
  <c r="Y21" i="24" s="1"/>
  <c r="I2" i="1"/>
  <c r="O2" i="1"/>
  <c r="Q2" i="1"/>
  <c r="V2" i="1"/>
  <c r="T2" i="1"/>
  <c r="N4" i="1"/>
  <c r="D24" i="24" l="1"/>
  <c r="D25" i="24"/>
  <c r="N7" i="24"/>
  <c r="H7" i="24"/>
  <c r="I7" i="24"/>
  <c r="J7" i="24"/>
  <c r="K7" i="24"/>
  <c r="L7" i="24"/>
  <c r="M7" i="24"/>
  <c r="G7" i="24"/>
  <c r="E7" i="24"/>
  <c r="E25" i="24" s="1"/>
  <c r="Y25" i="24" s="1"/>
  <c r="AE20" i="1" l="1"/>
  <c r="N20" i="1"/>
  <c r="AE19" i="1" l="1"/>
  <c r="N21" i="1"/>
  <c r="AE15" i="1" l="1"/>
  <c r="AE14" i="1" l="1"/>
  <c r="AA14" i="1"/>
  <c r="N6" i="24" l="1"/>
  <c r="H6" i="24"/>
  <c r="I6" i="24"/>
  <c r="J6" i="24"/>
  <c r="AD6" i="24" s="1"/>
  <c r="K6" i="24"/>
  <c r="L6" i="24"/>
  <c r="M6" i="24"/>
  <c r="G6" i="24"/>
  <c r="E6" i="24"/>
  <c r="Y6" i="24" s="1"/>
  <c r="E24" i="24" s="1"/>
  <c r="Y24" i="24" s="1"/>
  <c r="N7" i="1"/>
  <c r="N9" i="1" l="1"/>
  <c r="AA13" i="1" l="1"/>
  <c r="AC26" i="24" l="1"/>
  <c r="AF26" i="24"/>
  <c r="D22" i="24"/>
  <c r="D23" i="24"/>
  <c r="AD4" i="24" l="1"/>
  <c r="AD5" i="24"/>
  <c r="AD23" i="24" s="1"/>
  <c r="AD15" i="24"/>
  <c r="AD14" i="24"/>
  <c r="U21" i="1"/>
  <c r="AP21" i="1"/>
  <c r="AO21" i="1"/>
  <c r="AN21" i="1"/>
  <c r="AM21" i="1"/>
  <c r="AL21" i="1"/>
  <c r="AK21" i="1"/>
  <c r="AJ21" i="1"/>
  <c r="AI21" i="1"/>
  <c r="AH21" i="1"/>
  <c r="AG21" i="1"/>
  <c r="W21" i="1"/>
  <c r="R21" i="1"/>
  <c r="S21" i="1"/>
  <c r="P21" i="1"/>
  <c r="K21" i="1"/>
  <c r="L21" i="1"/>
  <c r="J21" i="1"/>
  <c r="AE16" i="1" l="1"/>
  <c r="N15" i="24"/>
  <c r="N14" i="24"/>
  <c r="N13" i="24"/>
  <c r="N10" i="24"/>
  <c r="N9" i="24"/>
  <c r="N5" i="24"/>
  <c r="N4" i="24"/>
  <c r="H5" i="24"/>
  <c r="I5" i="24"/>
  <c r="AC5" i="24" s="1"/>
  <c r="AC23" i="24" s="1"/>
  <c r="J5" i="24"/>
  <c r="K5" i="24"/>
  <c r="AE5" i="24" s="1"/>
  <c r="L5" i="24"/>
  <c r="AF5" i="24" s="1"/>
  <c r="AF23" i="24" s="1"/>
  <c r="M5" i="24"/>
  <c r="G5" i="24"/>
  <c r="AA5" i="24" s="1"/>
  <c r="E5" i="24"/>
  <c r="Y5" i="24" s="1"/>
  <c r="E23" i="24" s="1"/>
  <c r="H4" i="24"/>
  <c r="I4" i="24"/>
  <c r="AC4" i="24" s="1"/>
  <c r="J4" i="24"/>
  <c r="K4" i="24"/>
  <c r="AE4" i="24" s="1"/>
  <c r="L4" i="24"/>
  <c r="AF4" i="24" s="1"/>
  <c r="M4" i="24"/>
  <c r="G4" i="24"/>
  <c r="AA4" i="24" s="1"/>
  <c r="E4" i="24"/>
  <c r="Y4" i="24" s="1"/>
  <c r="E22" i="24" s="1"/>
  <c r="Y22" i="24" s="1"/>
  <c r="H13" i="24"/>
  <c r="I13" i="24"/>
  <c r="AC13" i="24" s="1"/>
  <c r="J13" i="24"/>
  <c r="K13" i="24"/>
  <c r="AE13" i="24" s="1"/>
  <c r="M13" i="24"/>
  <c r="AG13" i="24" s="1"/>
  <c r="H14" i="24"/>
  <c r="I14" i="24"/>
  <c r="AC14" i="24" s="1"/>
  <c r="J14" i="24"/>
  <c r="K14" i="24"/>
  <c r="AE14" i="24" s="1"/>
  <c r="M14" i="24"/>
  <c r="AG14" i="24" s="1"/>
  <c r="H15" i="24"/>
  <c r="I15" i="24"/>
  <c r="AC15" i="24" s="1"/>
  <c r="J15" i="24"/>
  <c r="M15" i="24"/>
  <c r="AG15" i="24" s="1"/>
  <c r="H9" i="24"/>
  <c r="I9" i="24"/>
  <c r="AC9" i="24" s="1"/>
  <c r="J9" i="24"/>
  <c r="M9" i="24"/>
  <c r="AG9" i="24" s="1"/>
  <c r="H10" i="24"/>
  <c r="I10" i="24"/>
  <c r="AC10" i="24" s="1"/>
  <c r="J10" i="24"/>
  <c r="M10" i="24"/>
  <c r="AG10" i="24" s="1"/>
  <c r="G15" i="24"/>
  <c r="AA15" i="24" s="1"/>
  <c r="G14" i="24"/>
  <c r="AA14" i="24" s="1"/>
  <c r="G13" i="24"/>
  <c r="AA13" i="24" s="1"/>
  <c r="G10" i="24"/>
  <c r="AA10" i="24" s="1"/>
  <c r="G9" i="24"/>
  <c r="AA9" i="24" s="1"/>
  <c r="E15" i="24"/>
  <c r="Y15" i="24" s="1"/>
  <c r="E33" i="24" s="1"/>
  <c r="Y33" i="24" s="1"/>
  <c r="E14" i="24"/>
  <c r="Y14" i="24" s="1"/>
  <c r="E32" i="24" s="1"/>
  <c r="Y32" i="24" s="1"/>
  <c r="E13" i="24"/>
  <c r="Y13" i="24" s="1"/>
  <c r="E31" i="24" s="1"/>
  <c r="Y31" i="24" s="1"/>
  <c r="E10" i="24"/>
  <c r="Y10" i="24" s="1"/>
  <c r="E28" i="24" s="1"/>
  <c r="Y28" i="24" s="1"/>
  <c r="E9" i="24"/>
  <c r="Y9" i="24" s="1"/>
  <c r="E27" i="24" s="1"/>
  <c r="Y27" i="24" s="1"/>
  <c r="AL36" i="24"/>
  <c r="AN34" i="24"/>
  <c r="AN33" i="24"/>
  <c r="AL33" i="24"/>
  <c r="AK33" i="24"/>
  <c r="AL32" i="24"/>
  <c r="AL28" i="24"/>
  <c r="AD28" i="24"/>
  <c r="AN27" i="24"/>
  <c r="AL27" i="24"/>
  <c r="AD27" i="24"/>
  <c r="AN26" i="24"/>
  <c r="AK26" i="24"/>
  <c r="AL26" i="24"/>
  <c r="AN25" i="24"/>
  <c r="AK25" i="24"/>
  <c r="AN24" i="24"/>
  <c r="AK24" i="24"/>
  <c r="AI24" i="24"/>
  <c r="AN23" i="24"/>
  <c r="AK23" i="24"/>
  <c r="AN22" i="24"/>
  <c r="AL22" i="24"/>
  <c r="AI21" i="24"/>
  <c r="AH19" i="24"/>
  <c r="AN21" i="24"/>
  <c r="Z20" i="24"/>
  <c r="Y20" i="24"/>
  <c r="F20" i="24"/>
  <c r="E20" i="24"/>
  <c r="D20" i="24"/>
  <c r="AN36" i="24"/>
  <c r="AK36" i="24"/>
  <c r="AJ36" i="24"/>
  <c r="AG18" i="24"/>
  <c r="AF18" i="24"/>
  <c r="AF36" i="24" s="1"/>
  <c r="AE18" i="24"/>
  <c r="AD18" i="24"/>
  <c r="AD36" i="24" s="1"/>
  <c r="AC18" i="24"/>
  <c r="AC36" i="24" s="1"/>
  <c r="AB18" i="24"/>
  <c r="AB36" i="24" s="1"/>
  <c r="AA18" i="24"/>
  <c r="AA36" i="24" s="1"/>
  <c r="V18" i="24"/>
  <c r="AP17" i="24"/>
  <c r="AN35" i="24"/>
  <c r="AL35" i="24"/>
  <c r="AK35" i="24"/>
  <c r="AJ35" i="24"/>
  <c r="AI35" i="24"/>
  <c r="AG17" i="24"/>
  <c r="AF17" i="24"/>
  <c r="AF35" i="24" s="1"/>
  <c r="AE17" i="24"/>
  <c r="AD17" i="24"/>
  <c r="AD35" i="24" s="1"/>
  <c r="AC17" i="24"/>
  <c r="AC35" i="24" s="1"/>
  <c r="AB17" i="24"/>
  <c r="AB35" i="24" s="1"/>
  <c r="AA17" i="24"/>
  <c r="AA35" i="24" s="1"/>
  <c r="V17" i="24"/>
  <c r="AL34" i="24"/>
  <c r="AK34" i="24"/>
  <c r="P34" i="24"/>
  <c r="AJ34" i="24" s="1"/>
  <c r="O34" i="24"/>
  <c r="AI34" i="24" s="1"/>
  <c r="AG16" i="24"/>
  <c r="AF16" i="24"/>
  <c r="AF34" i="24" s="1"/>
  <c r="AE16" i="24"/>
  <c r="AD16" i="24"/>
  <c r="AD34" i="24" s="1"/>
  <c r="AC16" i="24"/>
  <c r="AC34" i="24" s="1"/>
  <c r="AB16" i="24"/>
  <c r="AB34" i="24" s="1"/>
  <c r="AA16" i="24"/>
  <c r="AA34" i="24" s="1"/>
  <c r="V16" i="24"/>
  <c r="AI33" i="24"/>
  <c r="AD33" i="24"/>
  <c r="V15" i="24"/>
  <c r="AE18" i="1" s="1"/>
  <c r="AN32" i="24"/>
  <c r="AK32" i="24"/>
  <c r="AD32" i="24"/>
  <c r="V14" i="24"/>
  <c r="AE11" i="1" s="1"/>
  <c r="AN31" i="24"/>
  <c r="AL31" i="24"/>
  <c r="AK31" i="24"/>
  <c r="AD31" i="24"/>
  <c r="V13" i="24"/>
  <c r="AE17" i="1" s="1"/>
  <c r="AN30" i="24"/>
  <c r="AL30" i="24"/>
  <c r="AK30" i="24"/>
  <c r="AG12" i="24"/>
  <c r="AF12" i="24"/>
  <c r="AF30" i="24" s="1"/>
  <c r="AE12" i="24"/>
  <c r="AD12" i="24"/>
  <c r="AD30" i="24" s="1"/>
  <c r="AC12" i="24"/>
  <c r="AC30" i="24" s="1"/>
  <c r="AB12" i="24"/>
  <c r="AA12" i="24"/>
  <c r="AA30" i="24" s="1"/>
  <c r="V12" i="24"/>
  <c r="AN29" i="24"/>
  <c r="AL29" i="24"/>
  <c r="AK29" i="24"/>
  <c r="AI29" i="24"/>
  <c r="AG11" i="24"/>
  <c r="AF11" i="24"/>
  <c r="AF29" i="24" s="1"/>
  <c r="AE11" i="24"/>
  <c r="AD11" i="24"/>
  <c r="AD29" i="24" s="1"/>
  <c r="AC11" i="24"/>
  <c r="AC29" i="24" s="1"/>
  <c r="AB11" i="24"/>
  <c r="AA11" i="24"/>
  <c r="AA29" i="24" s="1"/>
  <c r="V11" i="24"/>
  <c r="AN28" i="24"/>
  <c r="AI28" i="24"/>
  <c r="V10" i="24"/>
  <c r="AE12" i="1" s="1"/>
  <c r="AK27" i="24"/>
  <c r="AI27" i="24"/>
  <c r="V9" i="24"/>
  <c r="AE10" i="1" s="1"/>
  <c r="AG8" i="24"/>
  <c r="AF8" i="24"/>
  <c r="AE8" i="24"/>
  <c r="AD8" i="24"/>
  <c r="AD26" i="24" s="1"/>
  <c r="AC8" i="24"/>
  <c r="AB8" i="24"/>
  <c r="AA8" i="24"/>
  <c r="AA26" i="24" s="1"/>
  <c r="V8" i="24"/>
  <c r="AL25" i="24"/>
  <c r="AG7" i="24"/>
  <c r="AF7" i="24"/>
  <c r="AF25" i="24" s="1"/>
  <c r="AE7" i="24"/>
  <c r="AD7" i="24"/>
  <c r="AC7" i="24"/>
  <c r="AC25" i="24" s="1"/>
  <c r="AA7" i="24"/>
  <c r="V7" i="24"/>
  <c r="AE9" i="1" s="1"/>
  <c r="AL24" i="24"/>
  <c r="AG6" i="24"/>
  <c r="AF6" i="24"/>
  <c r="AF24" i="24" s="1"/>
  <c r="AE6" i="24"/>
  <c r="AC6" i="24"/>
  <c r="AC24" i="24" s="1"/>
  <c r="AA6" i="24"/>
  <c r="V6" i="24"/>
  <c r="AE7" i="1" s="1"/>
  <c r="AL23" i="24"/>
  <c r="AG5" i="24"/>
  <c r="V5" i="24"/>
  <c r="AE8" i="1" s="1"/>
  <c r="AK22" i="24"/>
  <c r="AG4" i="24"/>
  <c r="AD22" i="24"/>
  <c r="V4" i="24"/>
  <c r="AE6" i="1" s="1"/>
  <c r="AO3" i="24"/>
  <c r="AN3" i="24"/>
  <c r="AM3" i="24"/>
  <c r="AM21" i="24" s="1"/>
  <c r="AL3" i="24"/>
  <c r="AL21" i="24" s="1"/>
  <c r="AK3" i="24"/>
  <c r="AI3" i="24"/>
  <c r="AP3" i="24" s="1"/>
  <c r="AG3" i="24"/>
  <c r="AF3" i="24"/>
  <c r="AF21" i="24" s="1"/>
  <c r="AE3" i="24"/>
  <c r="AE21" i="24" s="1"/>
  <c r="AD3" i="24"/>
  <c r="AD21" i="24" s="1"/>
  <c r="AC3" i="24"/>
  <c r="AC21" i="24" s="1"/>
  <c r="AA3" i="24"/>
  <c r="G21" i="24" s="1"/>
  <c r="AA21" i="24" s="1"/>
  <c r="V3" i="24"/>
  <c r="AE4" i="1" s="1"/>
  <c r="AH1" i="24"/>
  <c r="AP15" i="24" l="1"/>
  <c r="AP14" i="24"/>
  <c r="AP7" i="24"/>
  <c r="AA25" i="24"/>
  <c r="AD25" i="24"/>
  <c r="AD24" i="24"/>
  <c r="AA24" i="24"/>
  <c r="AA22" i="24"/>
  <c r="AA32" i="24"/>
  <c r="AA33" i="24"/>
  <c r="AC22" i="24"/>
  <c r="AC28" i="24"/>
  <c r="AC33" i="24"/>
  <c r="AC27" i="24"/>
  <c r="AA27" i="24"/>
  <c r="AC32" i="24"/>
  <c r="AA28" i="24"/>
  <c r="AC31" i="24"/>
  <c r="AA23" i="24"/>
  <c r="AF22" i="24"/>
  <c r="AA31" i="24"/>
  <c r="N1" i="24"/>
  <c r="N19" i="24"/>
  <c r="AP35" i="24"/>
  <c r="AP24" i="24"/>
  <c r="AI23" i="24"/>
  <c r="V23" i="24"/>
  <c r="AK21" i="24"/>
  <c r="V21" i="24"/>
  <c r="AI31" i="24"/>
  <c r="V31" i="24"/>
  <c r="AP34" i="24"/>
  <c r="AI22" i="24"/>
  <c r="V22" i="24"/>
  <c r="V29" i="24"/>
  <c r="AI25" i="24"/>
  <c r="AK28" i="24"/>
  <c r="V28" i="24"/>
  <c r="AP9" i="24"/>
  <c r="V34" i="24"/>
  <c r="AP11" i="24"/>
  <c r="AP12" i="24"/>
  <c r="V24" i="24"/>
  <c r="AP5" i="24"/>
  <c r="AP27" i="24"/>
  <c r="AP6" i="24"/>
  <c r="AP8" i="24"/>
  <c r="V27" i="24"/>
  <c r="V33" i="24"/>
  <c r="V35" i="24"/>
  <c r="AI30" i="24"/>
  <c r="AP30" i="24" s="1"/>
  <c r="V30" i="24"/>
  <c r="AP13" i="24"/>
  <c r="AP16" i="24"/>
  <c r="AP18" i="24"/>
  <c r="AP4" i="24"/>
  <c r="AI36" i="24"/>
  <c r="AP36" i="24" s="1"/>
  <c r="V36" i="24"/>
  <c r="AP29" i="24"/>
  <c r="V26" i="24"/>
  <c r="AI26" i="24"/>
  <c r="AP10" i="24"/>
  <c r="AP33" i="24"/>
  <c r="AP28" i="24" l="1"/>
  <c r="V25" i="24"/>
  <c r="V32" i="24"/>
  <c r="AI32" i="24"/>
  <c r="AP21" i="24"/>
  <c r="AP26" i="24"/>
  <c r="AP22" i="24"/>
  <c r="AP23" i="24"/>
  <c r="AP25" i="24"/>
  <c r="AP31" i="24"/>
  <c r="AP32" i="24" l="1"/>
  <c r="AP6" i="1" l="1"/>
  <c r="W6" i="1"/>
  <c r="U6" i="1"/>
  <c r="S6" i="1"/>
  <c r="R6" i="1"/>
  <c r="P6" i="1"/>
  <c r="N6" i="1"/>
  <c r="AH6" i="1" s="1"/>
  <c r="J6" i="1"/>
  <c r="K6" i="1"/>
  <c r="L6" i="1"/>
  <c r="AK6" i="1" l="1"/>
  <c r="AN6" i="1"/>
  <c r="AI6" i="1"/>
  <c r="AL6" i="1"/>
  <c r="AJ6" i="1"/>
  <c r="AM6" i="1"/>
  <c r="AG6" i="1"/>
  <c r="AO6" i="1"/>
  <c r="W8" i="1" l="1"/>
  <c r="U8" i="1"/>
  <c r="AP8" i="1"/>
  <c r="R8" i="1"/>
  <c r="S8" i="1"/>
  <c r="P8" i="1"/>
  <c r="N8" i="1"/>
  <c r="AG8" i="1" s="1"/>
  <c r="J8" i="1"/>
  <c r="K8" i="1"/>
  <c r="L8" i="1"/>
  <c r="AM8" i="1" l="1"/>
  <c r="AK8" i="1"/>
  <c r="AJ8" i="1"/>
  <c r="AN8" i="1"/>
  <c r="AI8" i="1"/>
  <c r="AH8" i="1"/>
  <c r="AL8" i="1"/>
  <c r="AO8" i="1"/>
  <c r="AF2" i="1" l="1"/>
  <c r="AE2" i="1"/>
  <c r="AD2" i="1"/>
  <c r="AP7" i="1" l="1"/>
  <c r="AG7" i="1"/>
  <c r="AH7" i="1"/>
  <c r="AI7" i="1"/>
  <c r="AJ7" i="1"/>
  <c r="AK7" i="1"/>
  <c r="AL7" i="1"/>
  <c r="AM7" i="1"/>
  <c r="AN7" i="1"/>
  <c r="AO7" i="1"/>
  <c r="U7" i="1"/>
  <c r="W7" i="1"/>
  <c r="R7" i="1"/>
  <c r="S7" i="1"/>
  <c r="P7" i="1"/>
  <c r="J7" i="1"/>
  <c r="K7" i="1"/>
  <c r="L7" i="1"/>
  <c r="AH51" i="23" l="1"/>
  <c r="AH50" i="23"/>
  <c r="AH49" i="23"/>
  <c r="AH46" i="23"/>
  <c r="AH45" i="23"/>
  <c r="AH44" i="23"/>
  <c r="AH43" i="23"/>
  <c r="AH42" i="23"/>
  <c r="AH41" i="23"/>
  <c r="AH40" i="23"/>
  <c r="AH39" i="23"/>
  <c r="Z24" i="23"/>
  <c r="Z21" i="23"/>
  <c r="AH33" i="23"/>
  <c r="AB33" i="23"/>
  <c r="AH32" i="23"/>
  <c r="AH31" i="23"/>
  <c r="AB31" i="23"/>
  <c r="AH28" i="23"/>
  <c r="AH27" i="23"/>
  <c r="AB27" i="23"/>
  <c r="AH26" i="23"/>
  <c r="AH25" i="23"/>
  <c r="AH24" i="23"/>
  <c r="AB26" i="23"/>
  <c r="AB25" i="23"/>
  <c r="AB24" i="23"/>
  <c r="AH23" i="23"/>
  <c r="AB23" i="23"/>
  <c r="AH22" i="23"/>
  <c r="AH21" i="23"/>
  <c r="AR25" i="23"/>
  <c r="Z26" i="23" s="1"/>
  <c r="AH15" i="23"/>
  <c r="AH14" i="23"/>
  <c r="AH13" i="23"/>
  <c r="AH10" i="23"/>
  <c r="AH9" i="23"/>
  <c r="AH4" i="23"/>
  <c r="AD15" i="23"/>
  <c r="AD14" i="23"/>
  <c r="AL13" i="23"/>
  <c r="AD13" i="23"/>
  <c r="AD4" i="23"/>
  <c r="Z23" i="23" l="1"/>
  <c r="Z25" i="23"/>
  <c r="N40" i="23"/>
  <c r="N41" i="23"/>
  <c r="N42" i="23"/>
  <c r="N43" i="23"/>
  <c r="N44" i="23"/>
  <c r="N45" i="23"/>
  <c r="N46" i="23"/>
  <c r="N49" i="23"/>
  <c r="N50" i="23"/>
  <c r="N51" i="23"/>
  <c r="N39" i="23"/>
  <c r="H40" i="23"/>
  <c r="AB40" i="23" s="1"/>
  <c r="H41" i="23"/>
  <c r="AB41" i="23" s="1"/>
  <c r="H42" i="23"/>
  <c r="AB42" i="23" s="1"/>
  <c r="H43" i="23"/>
  <c r="AB43" i="23" s="1"/>
  <c r="H44" i="23"/>
  <c r="AB44" i="23" s="1"/>
  <c r="H45" i="23"/>
  <c r="AB45" i="23" s="1"/>
  <c r="H49" i="23"/>
  <c r="AB49" i="23" s="1"/>
  <c r="H51" i="23"/>
  <c r="AB51" i="23" s="1"/>
  <c r="H39" i="23"/>
  <c r="AB39" i="23" s="1"/>
  <c r="C40" i="23"/>
  <c r="C41" i="23"/>
  <c r="C42" i="23"/>
  <c r="C43" i="23"/>
  <c r="C44" i="23"/>
  <c r="C45" i="23"/>
  <c r="C46" i="23"/>
  <c r="C49" i="23"/>
  <c r="C50" i="23"/>
  <c r="C51" i="23"/>
  <c r="D40" i="23"/>
  <c r="D41" i="23"/>
  <c r="D42" i="23"/>
  <c r="D43" i="23"/>
  <c r="D44" i="23"/>
  <c r="D45" i="23"/>
  <c r="D46" i="23"/>
  <c r="D49" i="23"/>
  <c r="D50" i="23"/>
  <c r="D51" i="23"/>
  <c r="D39" i="23"/>
  <c r="E40" i="23"/>
  <c r="E41" i="23"/>
  <c r="E42" i="23"/>
  <c r="E43" i="23"/>
  <c r="E44" i="23"/>
  <c r="E45" i="23"/>
  <c r="E46" i="23"/>
  <c r="E49" i="23"/>
  <c r="E50" i="23"/>
  <c r="E51" i="23"/>
  <c r="AB28" i="23"/>
  <c r="AB32" i="23" s="1"/>
  <c r="H50" i="23" s="1"/>
  <c r="AB50" i="23" s="1"/>
  <c r="N26" i="23"/>
  <c r="N25" i="23"/>
  <c r="N24" i="23"/>
  <c r="N23" i="23"/>
  <c r="N21" i="23"/>
  <c r="N22" i="23"/>
  <c r="N27" i="23"/>
  <c r="N28" i="23"/>
  <c r="N31" i="23"/>
  <c r="N32" i="23"/>
  <c r="N33" i="23"/>
  <c r="H46" i="23" l="1"/>
  <c r="AB46" i="23" s="1"/>
  <c r="AJ26" i="23"/>
  <c r="P44" i="23" s="1"/>
  <c r="AJ44" i="23" s="1"/>
  <c r="AJ25" i="23"/>
  <c r="P43" i="23" s="1"/>
  <c r="AJ43" i="23" s="1"/>
  <c r="AJ24" i="23"/>
  <c r="P42" i="23" s="1"/>
  <c r="AJ42" i="23" s="1"/>
  <c r="AJ23" i="23"/>
  <c r="P41" i="23" s="1"/>
  <c r="AJ41" i="23" s="1"/>
  <c r="AJ21" i="23"/>
  <c r="P39" i="23" s="1"/>
  <c r="AJ39" i="23" s="1"/>
  <c r="AK23" i="23"/>
  <c r="Q41" i="23" s="1"/>
  <c r="AK41" i="23" s="1"/>
  <c r="AM23" i="23"/>
  <c r="S41" i="23" s="1"/>
  <c r="AM41" i="23" s="1"/>
  <c r="AN23" i="23"/>
  <c r="T41" i="23" s="1"/>
  <c r="AN41" i="23" s="1"/>
  <c r="AK24" i="23"/>
  <c r="Q42" i="23" s="1"/>
  <c r="AK42" i="23" s="1"/>
  <c r="AM24" i="23"/>
  <c r="S42" i="23" s="1"/>
  <c r="AM42" i="23" s="1"/>
  <c r="AN24" i="23"/>
  <c r="T42" i="23" s="1"/>
  <c r="AN42" i="23" s="1"/>
  <c r="AK25" i="23"/>
  <c r="Q43" i="23" s="1"/>
  <c r="AK43" i="23" s="1"/>
  <c r="AM25" i="23"/>
  <c r="S43" i="23" s="1"/>
  <c r="AM43" i="23" s="1"/>
  <c r="AN25" i="23"/>
  <c r="T43" i="23" s="1"/>
  <c r="AN43" i="23" s="1"/>
  <c r="AK26" i="23"/>
  <c r="Q44" i="23" s="1"/>
  <c r="AK44" i="23" s="1"/>
  <c r="AM26" i="23"/>
  <c r="S44" i="23" s="1"/>
  <c r="AM44" i="23" s="1"/>
  <c r="AN26" i="23"/>
  <c r="T44" i="23" s="1"/>
  <c r="AN44" i="23" s="1"/>
  <c r="AO21" i="23"/>
  <c r="U39" i="23" s="1"/>
  <c r="AO39" i="23" s="1"/>
  <c r="O25" i="23"/>
  <c r="AI25" i="23" s="1"/>
  <c r="O43" i="23" s="1"/>
  <c r="AI43" i="23" s="1"/>
  <c r="J25" i="23"/>
  <c r="R22" i="23"/>
  <c r="AL22" i="23" s="1"/>
  <c r="R40" i="23" s="1"/>
  <c r="AL40" i="23" s="1"/>
  <c r="P27" i="23"/>
  <c r="AJ27" i="23" s="1"/>
  <c r="P45" i="23" s="1"/>
  <c r="AJ45" i="23" s="1"/>
  <c r="R27" i="23"/>
  <c r="AL27" i="23" s="1"/>
  <c r="R45" i="23" s="1"/>
  <c r="AL45" i="23" s="1"/>
  <c r="Q28" i="23"/>
  <c r="AK28" i="23" s="1"/>
  <c r="Q46" i="23" s="1"/>
  <c r="AK46" i="23" s="1"/>
  <c r="R28" i="23"/>
  <c r="AL28" i="23" s="1"/>
  <c r="R46" i="23" s="1"/>
  <c r="AL46" i="23" s="1"/>
  <c r="R29" i="23"/>
  <c r="AL29" i="23" s="1"/>
  <c r="S30" i="23"/>
  <c r="AM30" i="23" s="1"/>
  <c r="R31" i="23"/>
  <c r="AL31" i="23" s="1"/>
  <c r="R49" i="23" s="1"/>
  <c r="AL49" i="23" s="1"/>
  <c r="T31" i="23"/>
  <c r="AN31" i="23" s="1"/>
  <c r="T49" i="23" s="1"/>
  <c r="AN49" i="23" s="1"/>
  <c r="R32" i="23"/>
  <c r="AL32" i="23" s="1"/>
  <c r="R50" i="23" s="1"/>
  <c r="AL50" i="23" s="1"/>
  <c r="U32" i="23"/>
  <c r="AO32" i="23" s="1"/>
  <c r="U50" i="23" s="1"/>
  <c r="AO50" i="23" s="1"/>
  <c r="R33" i="23"/>
  <c r="AL33" i="23" s="1"/>
  <c r="R51" i="23" s="1"/>
  <c r="AL51" i="23" s="1"/>
  <c r="O34" i="23"/>
  <c r="AI34" i="23" s="1"/>
  <c r="P35" i="23"/>
  <c r="AJ35" i="23" s="1"/>
  <c r="Q36" i="23"/>
  <c r="AK36" i="23" s="1"/>
  <c r="J22" i="23"/>
  <c r="G23" i="23"/>
  <c r="J27" i="23"/>
  <c r="L27" i="23"/>
  <c r="J28" i="23"/>
  <c r="M28" i="23"/>
  <c r="G30" i="23"/>
  <c r="H31" i="23"/>
  <c r="J31" i="23"/>
  <c r="I32" i="23"/>
  <c r="J32" i="23"/>
  <c r="J33" i="23"/>
  <c r="E22" i="23"/>
  <c r="E27" i="23"/>
  <c r="E28" i="23"/>
  <c r="E31" i="23"/>
  <c r="E32" i="23"/>
  <c r="E33" i="23"/>
  <c r="AI4" i="23"/>
  <c r="O22" i="23" s="1"/>
  <c r="AI22" i="23" s="1"/>
  <c r="O40" i="23" s="1"/>
  <c r="AI40" i="23" s="1"/>
  <c r="AJ4" i="23"/>
  <c r="P22" i="23" s="1"/>
  <c r="AJ22" i="23" s="1"/>
  <c r="P40" i="23" s="1"/>
  <c r="AJ40" i="23" s="1"/>
  <c r="AK4" i="23"/>
  <c r="Q22" i="23" s="1"/>
  <c r="AK22" i="23" s="1"/>
  <c r="Q40" i="23" s="1"/>
  <c r="AK40" i="23" s="1"/>
  <c r="AM4" i="23"/>
  <c r="S22" i="23" s="1"/>
  <c r="AM22" i="23" s="1"/>
  <c r="S40" i="23" s="1"/>
  <c r="AM40" i="23" s="1"/>
  <c r="AN4" i="23"/>
  <c r="T22" i="23" s="1"/>
  <c r="AN22" i="23" s="1"/>
  <c r="T40" i="23" s="1"/>
  <c r="AN40" i="23" s="1"/>
  <c r="AO4" i="23"/>
  <c r="U22" i="23" s="1"/>
  <c r="AO22" i="23" s="1"/>
  <c r="U40" i="23" s="1"/>
  <c r="AO40" i="23" s="1"/>
  <c r="AI5" i="23"/>
  <c r="O23" i="23" s="1"/>
  <c r="AI23" i="23" s="1"/>
  <c r="O41" i="23" s="1"/>
  <c r="AI41" i="23" s="1"/>
  <c r="AJ5" i="23"/>
  <c r="AK5" i="23"/>
  <c r="AL5" i="23"/>
  <c r="R23" i="23" s="1"/>
  <c r="AL23" i="23" s="1"/>
  <c r="R41" i="23" s="1"/>
  <c r="AL41" i="23" s="1"/>
  <c r="AM5" i="23"/>
  <c r="AN5" i="23"/>
  <c r="AO5" i="23"/>
  <c r="U23" i="23" s="1"/>
  <c r="AO23" i="23" s="1"/>
  <c r="U41" i="23" s="1"/>
  <c r="AO41" i="23" s="1"/>
  <c r="AI6" i="23"/>
  <c r="O24" i="23" s="1"/>
  <c r="AI24" i="23" s="1"/>
  <c r="O42" i="23" s="1"/>
  <c r="AI42" i="23" s="1"/>
  <c r="AJ6" i="23"/>
  <c r="AK6" i="23"/>
  <c r="AL6" i="23"/>
  <c r="R24" i="23" s="1"/>
  <c r="AL24" i="23" s="1"/>
  <c r="R42" i="23" s="1"/>
  <c r="AL42" i="23" s="1"/>
  <c r="AM6" i="23"/>
  <c r="AN6" i="23"/>
  <c r="AO6" i="23"/>
  <c r="U24" i="23" s="1"/>
  <c r="AO24" i="23" s="1"/>
  <c r="U42" i="23" s="1"/>
  <c r="AO42" i="23" s="1"/>
  <c r="AI7" i="23"/>
  <c r="AJ7" i="23"/>
  <c r="AK7" i="23"/>
  <c r="AL7" i="23"/>
  <c r="R25" i="23" s="1"/>
  <c r="AL25" i="23" s="1"/>
  <c r="R43" i="23" s="1"/>
  <c r="AL43" i="23" s="1"/>
  <c r="AM7" i="23"/>
  <c r="AN7" i="23"/>
  <c r="AO7" i="23"/>
  <c r="U25" i="23" s="1"/>
  <c r="AO25" i="23" s="1"/>
  <c r="U43" i="23" s="1"/>
  <c r="AO43" i="23" s="1"/>
  <c r="AI8" i="23"/>
  <c r="O26" i="23" s="1"/>
  <c r="AI26" i="23" s="1"/>
  <c r="O44" i="23" s="1"/>
  <c r="AI44" i="23" s="1"/>
  <c r="AJ8" i="23"/>
  <c r="AK8" i="23"/>
  <c r="AL8" i="23"/>
  <c r="R26" i="23" s="1"/>
  <c r="AL26" i="23" s="1"/>
  <c r="R44" i="23" s="1"/>
  <c r="AL44" i="23" s="1"/>
  <c r="AM8" i="23"/>
  <c r="AN8" i="23"/>
  <c r="AO8" i="23"/>
  <c r="U26" i="23" s="1"/>
  <c r="AO26" i="23" s="1"/>
  <c r="U44" i="23" s="1"/>
  <c r="AO44" i="23" s="1"/>
  <c r="AI9" i="23"/>
  <c r="O27" i="23" s="1"/>
  <c r="AI27" i="23" s="1"/>
  <c r="O45" i="23" s="1"/>
  <c r="AI45" i="23" s="1"/>
  <c r="AJ9" i="23"/>
  <c r="AK9" i="23"/>
  <c r="Q27" i="23" s="1"/>
  <c r="AK27" i="23" s="1"/>
  <c r="Q45" i="23" s="1"/>
  <c r="AK45" i="23" s="1"/>
  <c r="AM9" i="23"/>
  <c r="S27" i="23" s="1"/>
  <c r="AM27" i="23" s="1"/>
  <c r="S45" i="23" s="1"/>
  <c r="AM45" i="23" s="1"/>
  <c r="AN9" i="23"/>
  <c r="T27" i="23" s="1"/>
  <c r="AN27" i="23" s="1"/>
  <c r="T45" i="23" s="1"/>
  <c r="AN45" i="23" s="1"/>
  <c r="AO9" i="23"/>
  <c r="U27" i="23" s="1"/>
  <c r="AO27" i="23" s="1"/>
  <c r="U45" i="23" s="1"/>
  <c r="AO45" i="23" s="1"/>
  <c r="AI10" i="23"/>
  <c r="O28" i="23" s="1"/>
  <c r="AI28" i="23" s="1"/>
  <c r="O46" i="23" s="1"/>
  <c r="AI46" i="23" s="1"/>
  <c r="AJ10" i="23"/>
  <c r="P28" i="23" s="1"/>
  <c r="AJ28" i="23" s="1"/>
  <c r="P46" i="23" s="1"/>
  <c r="AJ46" i="23" s="1"/>
  <c r="AK10" i="23"/>
  <c r="AM10" i="23"/>
  <c r="S28" i="23" s="1"/>
  <c r="AM28" i="23" s="1"/>
  <c r="S46" i="23" s="1"/>
  <c r="AM46" i="23" s="1"/>
  <c r="AN10" i="23"/>
  <c r="T28" i="23" s="1"/>
  <c r="AN28" i="23" s="1"/>
  <c r="T46" i="23" s="1"/>
  <c r="AN46" i="23" s="1"/>
  <c r="AO10" i="23"/>
  <c r="U28" i="23" s="1"/>
  <c r="AO28" i="23" s="1"/>
  <c r="U46" i="23" s="1"/>
  <c r="AO46" i="23" s="1"/>
  <c r="AI11" i="23"/>
  <c r="O29" i="23" s="1"/>
  <c r="AI29" i="23" s="1"/>
  <c r="AJ11" i="23"/>
  <c r="P29" i="23" s="1"/>
  <c r="AJ29" i="23" s="1"/>
  <c r="AK11" i="23"/>
  <c r="Q29" i="23" s="1"/>
  <c r="AK29" i="23" s="1"/>
  <c r="AL11" i="23"/>
  <c r="AM11" i="23"/>
  <c r="S29" i="23" s="1"/>
  <c r="AM29" i="23" s="1"/>
  <c r="AN11" i="23"/>
  <c r="T29" i="23" s="1"/>
  <c r="AN29" i="23" s="1"/>
  <c r="AO11" i="23"/>
  <c r="U29" i="23" s="1"/>
  <c r="AO29" i="23" s="1"/>
  <c r="AI12" i="23"/>
  <c r="O30" i="23" s="1"/>
  <c r="AI30" i="23" s="1"/>
  <c r="AJ12" i="23"/>
  <c r="P30" i="23" s="1"/>
  <c r="AJ30" i="23" s="1"/>
  <c r="AK12" i="23"/>
  <c r="Q30" i="23" s="1"/>
  <c r="AK30" i="23" s="1"/>
  <c r="AL12" i="23"/>
  <c r="R30" i="23" s="1"/>
  <c r="AL30" i="23" s="1"/>
  <c r="AM12" i="23"/>
  <c r="AN12" i="23"/>
  <c r="T30" i="23" s="1"/>
  <c r="AN30" i="23" s="1"/>
  <c r="AO12" i="23"/>
  <c r="U30" i="23" s="1"/>
  <c r="AO30" i="23" s="1"/>
  <c r="AI13" i="23"/>
  <c r="O31" i="23" s="1"/>
  <c r="AI31" i="23" s="1"/>
  <c r="O49" i="23" s="1"/>
  <c r="AI49" i="23" s="1"/>
  <c r="AJ13" i="23"/>
  <c r="P31" i="23" s="1"/>
  <c r="AJ31" i="23" s="1"/>
  <c r="P49" i="23" s="1"/>
  <c r="AJ49" i="23" s="1"/>
  <c r="AK13" i="23"/>
  <c r="Q31" i="23" s="1"/>
  <c r="AK31" i="23" s="1"/>
  <c r="Q49" i="23" s="1"/>
  <c r="AK49" i="23" s="1"/>
  <c r="AM13" i="23"/>
  <c r="S31" i="23" s="1"/>
  <c r="AM31" i="23" s="1"/>
  <c r="S49" i="23" s="1"/>
  <c r="AM49" i="23" s="1"/>
  <c r="AN13" i="23"/>
  <c r="AO13" i="23"/>
  <c r="U31" i="23" s="1"/>
  <c r="AO31" i="23" s="1"/>
  <c r="U49" i="23" s="1"/>
  <c r="AO49" i="23" s="1"/>
  <c r="AI14" i="23"/>
  <c r="O32" i="23" s="1"/>
  <c r="AI32" i="23" s="1"/>
  <c r="O50" i="23" s="1"/>
  <c r="AI50" i="23" s="1"/>
  <c r="AJ14" i="23"/>
  <c r="P32" i="23" s="1"/>
  <c r="AJ32" i="23" s="1"/>
  <c r="P50" i="23" s="1"/>
  <c r="AJ50" i="23" s="1"/>
  <c r="AK14" i="23"/>
  <c r="Q32" i="23" s="1"/>
  <c r="AK32" i="23" s="1"/>
  <c r="Q50" i="23" s="1"/>
  <c r="AK50" i="23" s="1"/>
  <c r="AM14" i="23"/>
  <c r="S32" i="23" s="1"/>
  <c r="AM32" i="23" s="1"/>
  <c r="S50" i="23" s="1"/>
  <c r="AM50" i="23" s="1"/>
  <c r="AN14" i="23"/>
  <c r="T32" i="23" s="1"/>
  <c r="AN32" i="23" s="1"/>
  <c r="T50" i="23" s="1"/>
  <c r="AN50" i="23" s="1"/>
  <c r="AO14" i="23"/>
  <c r="AI15" i="23"/>
  <c r="O33" i="23" s="1"/>
  <c r="AI33" i="23" s="1"/>
  <c r="O51" i="23" s="1"/>
  <c r="AI51" i="23" s="1"/>
  <c r="AJ15" i="23"/>
  <c r="P33" i="23" s="1"/>
  <c r="AJ33" i="23" s="1"/>
  <c r="P51" i="23" s="1"/>
  <c r="AJ51" i="23" s="1"/>
  <c r="AK15" i="23"/>
  <c r="Q33" i="23" s="1"/>
  <c r="AK33" i="23" s="1"/>
  <c r="Q51" i="23" s="1"/>
  <c r="AK51" i="23" s="1"/>
  <c r="AM15" i="23"/>
  <c r="S33" i="23" s="1"/>
  <c r="AM33" i="23" s="1"/>
  <c r="S51" i="23" s="1"/>
  <c r="AM51" i="23" s="1"/>
  <c r="AN15" i="23"/>
  <c r="T33" i="23" s="1"/>
  <c r="AN33" i="23" s="1"/>
  <c r="T51" i="23" s="1"/>
  <c r="AN51" i="23" s="1"/>
  <c r="AO15" i="23"/>
  <c r="U33" i="23" s="1"/>
  <c r="AO33" i="23" s="1"/>
  <c r="U51" i="23" s="1"/>
  <c r="AO51" i="23" s="1"/>
  <c r="AI16" i="23"/>
  <c r="AJ16" i="23"/>
  <c r="P34" i="23" s="1"/>
  <c r="AJ34" i="23" s="1"/>
  <c r="AK16" i="23"/>
  <c r="Q34" i="23" s="1"/>
  <c r="AK34" i="23" s="1"/>
  <c r="AL16" i="23"/>
  <c r="R34" i="23" s="1"/>
  <c r="AL34" i="23" s="1"/>
  <c r="AM16" i="23"/>
  <c r="S34" i="23" s="1"/>
  <c r="AM34" i="23" s="1"/>
  <c r="AN16" i="23"/>
  <c r="T34" i="23" s="1"/>
  <c r="AN34" i="23" s="1"/>
  <c r="AO16" i="23"/>
  <c r="U34" i="23" s="1"/>
  <c r="AO34" i="23" s="1"/>
  <c r="AI17" i="23"/>
  <c r="O35" i="23" s="1"/>
  <c r="AI35" i="23" s="1"/>
  <c r="AJ17" i="23"/>
  <c r="AK17" i="23"/>
  <c r="Q35" i="23" s="1"/>
  <c r="AK35" i="23" s="1"/>
  <c r="AL17" i="23"/>
  <c r="R35" i="23" s="1"/>
  <c r="AL35" i="23" s="1"/>
  <c r="AM17" i="23"/>
  <c r="S35" i="23" s="1"/>
  <c r="AM35" i="23" s="1"/>
  <c r="AN17" i="23"/>
  <c r="T35" i="23" s="1"/>
  <c r="AN35" i="23" s="1"/>
  <c r="AO17" i="23"/>
  <c r="U35" i="23" s="1"/>
  <c r="AO35" i="23" s="1"/>
  <c r="AI18" i="23"/>
  <c r="O36" i="23" s="1"/>
  <c r="AI36" i="23" s="1"/>
  <c r="AJ18" i="23"/>
  <c r="P36" i="23" s="1"/>
  <c r="AJ36" i="23" s="1"/>
  <c r="AK18" i="23"/>
  <c r="AL18" i="23"/>
  <c r="R36" i="23" s="1"/>
  <c r="AL36" i="23" s="1"/>
  <c r="AM18" i="23"/>
  <c r="S36" i="23" s="1"/>
  <c r="AM36" i="23" s="1"/>
  <c r="AN18" i="23"/>
  <c r="T36" i="23" s="1"/>
  <c r="AN36" i="23" s="1"/>
  <c r="AO18" i="23"/>
  <c r="U36" i="23" s="1"/>
  <c r="AO36" i="23" s="1"/>
  <c r="AA4" i="23"/>
  <c r="G22" i="23" s="1"/>
  <c r="AB4" i="23"/>
  <c r="H22" i="23" s="1"/>
  <c r="AC4" i="23"/>
  <c r="I22" i="23" s="1"/>
  <c r="AE4" i="23"/>
  <c r="K22" i="23" s="1"/>
  <c r="AF4" i="23"/>
  <c r="L22" i="23" s="1"/>
  <c r="AG4" i="23"/>
  <c r="M22" i="23" s="1"/>
  <c r="AA5" i="23"/>
  <c r="AB5" i="23"/>
  <c r="AC5" i="23"/>
  <c r="AD5" i="23"/>
  <c r="J23" i="23" s="1"/>
  <c r="AE5" i="23"/>
  <c r="AF5" i="23"/>
  <c r="AG5" i="23"/>
  <c r="M23" i="23" s="1"/>
  <c r="AA6" i="23"/>
  <c r="G24" i="23" s="1"/>
  <c r="AB6" i="23"/>
  <c r="AC6" i="23"/>
  <c r="AD6" i="23"/>
  <c r="J24" i="23" s="1"/>
  <c r="AE6" i="23"/>
  <c r="AF6" i="23"/>
  <c r="AG6" i="23"/>
  <c r="M24" i="23" s="1"/>
  <c r="AA7" i="23"/>
  <c r="G25" i="23" s="1"/>
  <c r="AB7" i="23"/>
  <c r="AC7" i="23"/>
  <c r="AD7" i="23"/>
  <c r="AE7" i="23"/>
  <c r="AF7" i="23"/>
  <c r="AG7" i="23"/>
  <c r="M25" i="23" s="1"/>
  <c r="AA8" i="23"/>
  <c r="G26" i="23" s="1"/>
  <c r="AB8" i="23"/>
  <c r="AC8" i="23"/>
  <c r="AD8" i="23"/>
  <c r="J26" i="23" s="1"/>
  <c r="AE8" i="23"/>
  <c r="AF8" i="23"/>
  <c r="AG8" i="23"/>
  <c r="M26" i="23" s="1"/>
  <c r="AA9" i="23"/>
  <c r="G27" i="23" s="1"/>
  <c r="AB9" i="23"/>
  <c r="H27" i="23" s="1"/>
  <c r="AC9" i="23"/>
  <c r="I27" i="23" s="1"/>
  <c r="AE9" i="23"/>
  <c r="K27" i="23" s="1"/>
  <c r="AF9" i="23"/>
  <c r="AG9" i="23"/>
  <c r="M27" i="23" s="1"/>
  <c r="AA10" i="23"/>
  <c r="G28" i="23" s="1"/>
  <c r="AB10" i="23"/>
  <c r="H28" i="23" s="1"/>
  <c r="AC10" i="23"/>
  <c r="I28" i="23" s="1"/>
  <c r="AE10" i="23"/>
  <c r="K28" i="23" s="1"/>
  <c r="AF10" i="23"/>
  <c r="L28" i="23" s="1"/>
  <c r="AG10" i="23"/>
  <c r="AA11" i="23"/>
  <c r="G29" i="23" s="1"/>
  <c r="AB11" i="23"/>
  <c r="H29" i="23" s="1"/>
  <c r="AC11" i="23"/>
  <c r="I29" i="23" s="1"/>
  <c r="AD11" i="23"/>
  <c r="J29" i="23" s="1"/>
  <c r="AE11" i="23"/>
  <c r="K29" i="23" s="1"/>
  <c r="AF11" i="23"/>
  <c r="L29" i="23" s="1"/>
  <c r="AG11" i="23"/>
  <c r="M29" i="23" s="1"/>
  <c r="AA12" i="23"/>
  <c r="AB12" i="23"/>
  <c r="H30" i="23" s="1"/>
  <c r="AC12" i="23"/>
  <c r="I30" i="23" s="1"/>
  <c r="AD12" i="23"/>
  <c r="J30" i="23" s="1"/>
  <c r="AE12" i="23"/>
  <c r="K30" i="23" s="1"/>
  <c r="AF12" i="23"/>
  <c r="L30" i="23" s="1"/>
  <c r="AG12" i="23"/>
  <c r="M30" i="23" s="1"/>
  <c r="AA13" i="23"/>
  <c r="G31" i="23" s="1"/>
  <c r="AB13" i="23"/>
  <c r="AC13" i="23"/>
  <c r="I31" i="23" s="1"/>
  <c r="AE13" i="23"/>
  <c r="K31" i="23" s="1"/>
  <c r="AF13" i="23"/>
  <c r="L31" i="23" s="1"/>
  <c r="AG13" i="23"/>
  <c r="M31" i="23" s="1"/>
  <c r="AA14" i="23"/>
  <c r="G32" i="23" s="1"/>
  <c r="AB14" i="23"/>
  <c r="H32" i="23" s="1"/>
  <c r="AC14" i="23"/>
  <c r="AE14" i="23"/>
  <c r="K32" i="23" s="1"/>
  <c r="AF14" i="23"/>
  <c r="L32" i="23" s="1"/>
  <c r="AG14" i="23"/>
  <c r="M32" i="23" s="1"/>
  <c r="AA15" i="23"/>
  <c r="G33" i="23" s="1"/>
  <c r="AB15" i="23"/>
  <c r="H33" i="23" s="1"/>
  <c r="AC15" i="23"/>
  <c r="I33" i="23" s="1"/>
  <c r="AE15" i="23"/>
  <c r="K33" i="23" s="1"/>
  <c r="AF15" i="23"/>
  <c r="L33" i="23" s="1"/>
  <c r="AG15" i="23"/>
  <c r="M33" i="23" s="1"/>
  <c r="AA16" i="23"/>
  <c r="G34" i="23" s="1"/>
  <c r="AB16" i="23"/>
  <c r="H34" i="23" s="1"/>
  <c r="AC16" i="23"/>
  <c r="I34" i="23" s="1"/>
  <c r="AD16" i="23"/>
  <c r="J34" i="23" s="1"/>
  <c r="AE16" i="23"/>
  <c r="K34" i="23" s="1"/>
  <c r="AF16" i="23"/>
  <c r="L34" i="23" s="1"/>
  <c r="AG16" i="23"/>
  <c r="M34" i="23" s="1"/>
  <c r="AA17" i="23"/>
  <c r="G35" i="23" s="1"/>
  <c r="AB17" i="23"/>
  <c r="H35" i="23" s="1"/>
  <c r="AC17" i="23"/>
  <c r="I35" i="23" s="1"/>
  <c r="AD17" i="23"/>
  <c r="J35" i="23" s="1"/>
  <c r="AE17" i="23"/>
  <c r="K35" i="23" s="1"/>
  <c r="AF17" i="23"/>
  <c r="L35" i="23" s="1"/>
  <c r="AG17" i="23"/>
  <c r="M35" i="23" s="1"/>
  <c r="AA18" i="23"/>
  <c r="G36" i="23" s="1"/>
  <c r="AB18" i="23"/>
  <c r="H36" i="23" s="1"/>
  <c r="AC18" i="23"/>
  <c r="I36" i="23" s="1"/>
  <c r="AD18" i="23"/>
  <c r="J36" i="23" s="1"/>
  <c r="AE18" i="23"/>
  <c r="K36" i="23" s="1"/>
  <c r="AF18" i="23"/>
  <c r="L36" i="23" s="1"/>
  <c r="AG18" i="23"/>
  <c r="M36" i="23" s="1"/>
  <c r="B52" i="23" l="1"/>
  <c r="AS44" i="23"/>
  <c r="AH37" i="23"/>
  <c r="E39" i="23"/>
  <c r="B54" i="23"/>
  <c r="AG35" i="23"/>
  <c r="B53" i="23"/>
  <c r="AA34" i="23"/>
  <c r="B51" i="23"/>
  <c r="AG32" i="23"/>
  <c r="M50" i="23" s="1"/>
  <c r="AF32" i="23"/>
  <c r="L50" i="23" s="1"/>
  <c r="AF50" i="23" s="1"/>
  <c r="AD32" i="23"/>
  <c r="J50" i="23" s="1"/>
  <c r="AD50" i="23" s="1"/>
  <c r="B50" i="23"/>
  <c r="B49" i="23"/>
  <c r="AA30" i="23"/>
  <c r="B48" i="23"/>
  <c r="AD29" i="23"/>
  <c r="AC29" i="23"/>
  <c r="AB29" i="23"/>
  <c r="AA29" i="23"/>
  <c r="B47" i="23"/>
  <c r="AE27" i="23"/>
  <c r="K45" i="23" s="1"/>
  <c r="AD27" i="23"/>
  <c r="J45" i="23" s="1"/>
  <c r="AD45" i="23" s="1"/>
  <c r="AC27" i="23"/>
  <c r="I45" i="23" s="1"/>
  <c r="AC45" i="23" s="1"/>
  <c r="AA27" i="23"/>
  <c r="G45" i="23" s="1"/>
  <c r="AA45" i="23" s="1"/>
  <c r="B45" i="23"/>
  <c r="AE26" i="23"/>
  <c r="K44" i="23" s="1"/>
  <c r="AD26" i="23"/>
  <c r="J44" i="23" s="1"/>
  <c r="AD44" i="23" s="1"/>
  <c r="AC26" i="23"/>
  <c r="I44" i="23" s="1"/>
  <c r="AC44" i="23" s="1"/>
  <c r="F44" i="23"/>
  <c r="Z44" i="23" s="1"/>
  <c r="AF26" i="23"/>
  <c r="L44" i="23" s="1"/>
  <c r="AF44" i="23" s="1"/>
  <c r="AA26" i="23"/>
  <c r="G44" i="23" s="1"/>
  <c r="AA44" i="23" s="1"/>
  <c r="B44" i="23"/>
  <c r="AS25" i="23"/>
  <c r="AE25" i="23"/>
  <c r="K43" i="23" s="1"/>
  <c r="AD25" i="23"/>
  <c r="J43" i="23" s="1"/>
  <c r="AD43" i="23" s="1"/>
  <c r="AC25" i="23"/>
  <c r="I43" i="23" s="1"/>
  <c r="AC43" i="23" s="1"/>
  <c r="F43" i="23"/>
  <c r="Z43" i="23" s="1"/>
  <c r="B43" i="23"/>
  <c r="AE24" i="23"/>
  <c r="K42" i="23" s="1"/>
  <c r="AD24" i="23"/>
  <c r="J42" i="23" s="1"/>
  <c r="AD42" i="23" s="1"/>
  <c r="AC24" i="23"/>
  <c r="I42" i="23" s="1"/>
  <c r="AC42" i="23" s="1"/>
  <c r="F42" i="23"/>
  <c r="Z42" i="23" s="1"/>
  <c r="AG24" i="23"/>
  <c r="M42" i="23" s="1"/>
  <c r="B42" i="23"/>
  <c r="AE23" i="23"/>
  <c r="K41" i="23" s="1"/>
  <c r="AD23" i="23"/>
  <c r="J41" i="23" s="1"/>
  <c r="AD41" i="23" s="1"/>
  <c r="AC23" i="23"/>
  <c r="I41" i="23" s="1"/>
  <c r="AC41" i="23" s="1"/>
  <c r="F41" i="23"/>
  <c r="Z41" i="23" s="1"/>
  <c r="B41" i="23"/>
  <c r="AG22" i="23"/>
  <c r="M40" i="23" s="1"/>
  <c r="AF22" i="23"/>
  <c r="L40" i="23" s="1"/>
  <c r="AF40" i="23" s="1"/>
  <c r="B40" i="23"/>
  <c r="AI21" i="23"/>
  <c r="O39" i="23" s="1"/>
  <c r="AE21" i="23"/>
  <c r="K39" i="23" s="1"/>
  <c r="AE39" i="23" s="1"/>
  <c r="AA21" i="23"/>
  <c r="F39" i="23"/>
  <c r="Z39" i="23" s="1"/>
  <c r="B39" i="23"/>
  <c r="Z20" i="23"/>
  <c r="Z38" i="23" s="1"/>
  <c r="Y20" i="23"/>
  <c r="Y38" i="23" s="1"/>
  <c r="F20" i="23"/>
  <c r="F38" i="23" s="1"/>
  <c r="E20" i="23"/>
  <c r="E38" i="23" s="1"/>
  <c r="D20" i="23"/>
  <c r="D38" i="23" s="1"/>
  <c r="AG36" i="23"/>
  <c r="AF36" i="23"/>
  <c r="AE36" i="23"/>
  <c r="AD36" i="23"/>
  <c r="AC36" i="23"/>
  <c r="AB36" i="23"/>
  <c r="AA36" i="23"/>
  <c r="V18" i="23"/>
  <c r="AF35" i="23"/>
  <c r="AE35" i="23"/>
  <c r="AD35" i="23"/>
  <c r="AC35" i="23"/>
  <c r="AB35" i="23"/>
  <c r="AA35" i="23"/>
  <c r="V17" i="23"/>
  <c r="AG34" i="23"/>
  <c r="AF34" i="23"/>
  <c r="AE34" i="23"/>
  <c r="AD34" i="23"/>
  <c r="AC34" i="23"/>
  <c r="AB34" i="23"/>
  <c r="V16" i="23"/>
  <c r="AG33" i="23"/>
  <c r="M51" i="23" s="1"/>
  <c r="AF33" i="23"/>
  <c r="L51" i="23" s="1"/>
  <c r="AF51" i="23" s="1"/>
  <c r="AE33" i="23"/>
  <c r="K51" i="23" s="1"/>
  <c r="AD33" i="23"/>
  <c r="J51" i="23" s="1"/>
  <c r="AD51" i="23" s="1"/>
  <c r="AC33" i="23"/>
  <c r="I51" i="23" s="1"/>
  <c r="AC51" i="23" s="1"/>
  <c r="AA33" i="23"/>
  <c r="G51" i="23" s="1"/>
  <c r="AA51" i="23" s="1"/>
  <c r="V15" i="23"/>
  <c r="AE32" i="23"/>
  <c r="K50" i="23" s="1"/>
  <c r="AC32" i="23"/>
  <c r="I50" i="23" s="1"/>
  <c r="AC50" i="23" s="1"/>
  <c r="AA32" i="23"/>
  <c r="G50" i="23" s="1"/>
  <c r="AA50" i="23" s="1"/>
  <c r="V14" i="23"/>
  <c r="AG31" i="23"/>
  <c r="M49" i="23" s="1"/>
  <c r="AF31" i="23"/>
  <c r="L49" i="23" s="1"/>
  <c r="AF49" i="23" s="1"/>
  <c r="AE31" i="23"/>
  <c r="K49" i="23" s="1"/>
  <c r="AD31" i="23"/>
  <c r="J49" i="23" s="1"/>
  <c r="AD49" i="23" s="1"/>
  <c r="AC31" i="23"/>
  <c r="I49" i="23" s="1"/>
  <c r="AC49" i="23" s="1"/>
  <c r="AA31" i="23"/>
  <c r="G49" i="23" s="1"/>
  <c r="AA49" i="23" s="1"/>
  <c r="V13" i="23"/>
  <c r="AG30" i="23"/>
  <c r="AF30" i="23"/>
  <c r="AE30" i="23"/>
  <c r="AD30" i="23"/>
  <c r="AC30" i="23"/>
  <c r="AB30" i="23"/>
  <c r="V12" i="23"/>
  <c r="AP11" i="23"/>
  <c r="AG29" i="23"/>
  <c r="AF29" i="23"/>
  <c r="AE29" i="23"/>
  <c r="V11" i="23"/>
  <c r="AR10" i="23"/>
  <c r="AG28" i="23"/>
  <c r="M46" i="23" s="1"/>
  <c r="AF28" i="23"/>
  <c r="L46" i="23" s="1"/>
  <c r="AF46" i="23" s="1"/>
  <c r="AE28" i="23"/>
  <c r="K46" i="23" s="1"/>
  <c r="AD28" i="23"/>
  <c r="J46" i="23" s="1"/>
  <c r="AD46" i="23" s="1"/>
  <c r="AC28" i="23"/>
  <c r="I46" i="23" s="1"/>
  <c r="AC46" i="23" s="1"/>
  <c r="AA28" i="23"/>
  <c r="G46" i="23" s="1"/>
  <c r="AA46" i="23" s="1"/>
  <c r="V10" i="23"/>
  <c r="AS9" i="23"/>
  <c r="AS10" i="23" s="1"/>
  <c r="AG27" i="23"/>
  <c r="M45" i="23" s="1"/>
  <c r="AF27" i="23"/>
  <c r="L45" i="23" s="1"/>
  <c r="AF45" i="23" s="1"/>
  <c r="V9" i="23"/>
  <c r="AG26" i="23"/>
  <c r="M44" i="23" s="1"/>
  <c r="V8" i="23"/>
  <c r="AP7" i="23"/>
  <c r="AG25" i="23"/>
  <c r="M43" i="23" s="1"/>
  <c r="AF25" i="23"/>
  <c r="L43" i="23" s="1"/>
  <c r="AF43" i="23" s="1"/>
  <c r="AA25" i="23"/>
  <c r="G43" i="23" s="1"/>
  <c r="AA43" i="23" s="1"/>
  <c r="V7" i="23"/>
  <c r="AF24" i="23"/>
  <c r="L42" i="23" s="1"/>
  <c r="AF42" i="23" s="1"/>
  <c r="AA24" i="23"/>
  <c r="G42" i="23" s="1"/>
  <c r="AA42" i="23" s="1"/>
  <c r="V6" i="23"/>
  <c r="V23" i="23"/>
  <c r="AG23" i="23"/>
  <c r="M41" i="23" s="1"/>
  <c r="AF23" i="23"/>
  <c r="L41" i="23" s="1"/>
  <c r="AF41" i="23" s="1"/>
  <c r="AA23" i="23"/>
  <c r="G41" i="23" s="1"/>
  <c r="AA41" i="23" s="1"/>
  <c r="V5" i="23"/>
  <c r="AE22" i="23"/>
  <c r="K40" i="23" s="1"/>
  <c r="AD22" i="23"/>
  <c r="J40" i="23" s="1"/>
  <c r="AD40" i="23" s="1"/>
  <c r="AC22" i="23"/>
  <c r="I40" i="23" s="1"/>
  <c r="AC40" i="23" s="1"/>
  <c r="AA22" i="23"/>
  <c r="G40" i="23" s="1"/>
  <c r="AA40" i="23" s="1"/>
  <c r="V4" i="23"/>
  <c r="AO3" i="23"/>
  <c r="AN3" i="23"/>
  <c r="T21" i="23" s="1"/>
  <c r="AN21" i="23" s="1"/>
  <c r="T39" i="23" s="1"/>
  <c r="AN39" i="23" s="1"/>
  <c r="AM3" i="23"/>
  <c r="S21" i="23" s="1"/>
  <c r="AM21" i="23" s="1"/>
  <c r="S39" i="23" s="1"/>
  <c r="AM39" i="23" s="1"/>
  <c r="AL3" i="23"/>
  <c r="R21" i="23" s="1"/>
  <c r="AL21" i="23" s="1"/>
  <c r="R39" i="23" s="1"/>
  <c r="AL39" i="23" s="1"/>
  <c r="AK3" i="23"/>
  <c r="Q21" i="23" s="1"/>
  <c r="AK21" i="23" s="1"/>
  <c r="Q39" i="23" s="1"/>
  <c r="AK39" i="23" s="1"/>
  <c r="AJ3" i="23"/>
  <c r="AI3" i="23"/>
  <c r="AG3" i="23"/>
  <c r="AG21" i="23" s="1"/>
  <c r="M39" i="23" s="1"/>
  <c r="AF3" i="23"/>
  <c r="L21" i="23" s="1"/>
  <c r="AF21" i="23" s="1"/>
  <c r="L39" i="23" s="1"/>
  <c r="AF39" i="23" s="1"/>
  <c r="AE3" i="23"/>
  <c r="K21" i="23" s="1"/>
  <c r="AD3" i="23"/>
  <c r="AC3" i="23"/>
  <c r="AB3" i="23"/>
  <c r="AA3" i="23"/>
  <c r="V3" i="23"/>
  <c r="J21" i="23" l="1"/>
  <c r="AD21" i="23" s="1"/>
  <c r="J39" i="23" s="1"/>
  <c r="AD39" i="23" s="1"/>
  <c r="AC21" i="23"/>
  <c r="I39" i="23" s="1"/>
  <c r="AC39" i="23" s="1"/>
  <c r="I21" i="23"/>
  <c r="G39" i="23"/>
  <c r="AA39" i="23" s="1"/>
  <c r="Z10" i="23"/>
  <c r="F28" i="23" s="1"/>
  <c r="Z15" i="23"/>
  <c r="F33" i="23" s="1"/>
  <c r="Z9" i="23"/>
  <c r="F27" i="23" s="1"/>
  <c r="Z14" i="23"/>
  <c r="F32" i="23" s="1"/>
  <c r="Z32" i="23" s="1"/>
  <c r="F50" i="23" s="1"/>
  <c r="Z50" i="23" s="1"/>
  <c r="Z13" i="23"/>
  <c r="F31" i="23" s="1"/>
  <c r="Z4" i="23"/>
  <c r="F22" i="23" s="1"/>
  <c r="N37" i="23"/>
  <c r="V41" i="23"/>
  <c r="AP9" i="23"/>
  <c r="AH1" i="23"/>
  <c r="AP15" i="23"/>
  <c r="V32" i="23"/>
  <c r="V22" i="23"/>
  <c r="V35" i="23"/>
  <c r="AP34" i="23"/>
  <c r="V34" i="23"/>
  <c r="AP12" i="23"/>
  <c r="N1" i="23"/>
  <c r="AP14" i="23"/>
  <c r="N19" i="23"/>
  <c r="V36" i="23"/>
  <c r="V33" i="23"/>
  <c r="V30" i="23"/>
  <c r="AP42" i="23"/>
  <c r="V42" i="23"/>
  <c r="AP27" i="23"/>
  <c r="AP13" i="23"/>
  <c r="AP24" i="23"/>
  <c r="AP10" i="23"/>
  <c r="V24" i="23"/>
  <c r="AP29" i="23"/>
  <c r="V26" i="23"/>
  <c r="V27" i="23"/>
  <c r="AP4" i="23"/>
  <c r="V28" i="23"/>
  <c r="AP18" i="23"/>
  <c r="V21" i="23"/>
  <c r="AP3" i="23"/>
  <c r="AP5" i="23"/>
  <c r="AP17" i="23"/>
  <c r="AH19" i="23"/>
  <c r="V25" i="23"/>
  <c r="AP36" i="23"/>
  <c r="AP6" i="23"/>
  <c r="AP8" i="23"/>
  <c r="AP16" i="23"/>
  <c r="AI39" i="23"/>
  <c r="AG13" i="10"/>
  <c r="AG12" i="10"/>
  <c r="AG7" i="10"/>
  <c r="AG20" i="10"/>
  <c r="AG21" i="10"/>
  <c r="AG11" i="10"/>
  <c r="A7" i="10"/>
  <c r="B7" i="10"/>
  <c r="D7" i="10"/>
  <c r="E7" i="10"/>
  <c r="AA7" i="10" s="1"/>
  <c r="H7" i="10"/>
  <c r="I7" i="10"/>
  <c r="J7" i="10"/>
  <c r="M7" i="10"/>
  <c r="AD7" i="10" s="1"/>
  <c r="N7" i="10"/>
  <c r="AE7" i="10" s="1"/>
  <c r="O7" i="10"/>
  <c r="AF7" i="10" s="1"/>
  <c r="P7" i="10"/>
  <c r="Q7" i="10"/>
  <c r="AH7" i="10" s="1"/>
  <c r="R7" i="10"/>
  <c r="AI7" i="10" s="1"/>
  <c r="S7" i="10"/>
  <c r="AJ7" i="10" s="1"/>
  <c r="A8" i="10"/>
  <c r="B8" i="10"/>
  <c r="D8" i="10"/>
  <c r="E8" i="10"/>
  <c r="H8" i="10"/>
  <c r="I8" i="10"/>
  <c r="J8" i="10"/>
  <c r="M8" i="10"/>
  <c r="AD8" i="10" s="1"/>
  <c r="N8" i="10"/>
  <c r="AE8" i="10" s="1"/>
  <c r="O8" i="10"/>
  <c r="AF8" i="10" s="1"/>
  <c r="P8" i="10"/>
  <c r="AG8" i="10" s="1"/>
  <c r="Q8" i="10"/>
  <c r="AH8" i="10" s="1"/>
  <c r="R8" i="10"/>
  <c r="AI8" i="10" s="1"/>
  <c r="S8" i="10"/>
  <c r="AJ8" i="10" s="1"/>
  <c r="A9" i="10"/>
  <c r="B9" i="10"/>
  <c r="D9" i="10"/>
  <c r="E9" i="10"/>
  <c r="H9" i="10"/>
  <c r="I9" i="10"/>
  <c r="J9" i="10"/>
  <c r="M9" i="10"/>
  <c r="AD9" i="10" s="1"/>
  <c r="N9" i="10"/>
  <c r="AE9" i="10" s="1"/>
  <c r="O9" i="10"/>
  <c r="AF9" i="10" s="1"/>
  <c r="P9" i="10"/>
  <c r="S9" i="10"/>
  <c r="AJ9" i="10" s="1"/>
  <c r="A10" i="10"/>
  <c r="B10" i="10"/>
  <c r="D10" i="10"/>
  <c r="E10" i="10"/>
  <c r="H10" i="10"/>
  <c r="I10" i="10"/>
  <c r="J10" i="10"/>
  <c r="M10" i="10"/>
  <c r="AD10" i="10" s="1"/>
  <c r="N10" i="10"/>
  <c r="AE10" i="10" s="1"/>
  <c r="O10" i="10"/>
  <c r="AF10" i="10" s="1"/>
  <c r="P10" i="10"/>
  <c r="S10" i="10"/>
  <c r="AJ10" i="10" s="1"/>
  <c r="A11" i="10"/>
  <c r="B11" i="10"/>
  <c r="D11" i="10"/>
  <c r="E11" i="10"/>
  <c r="H11" i="10"/>
  <c r="I11" i="10"/>
  <c r="J11" i="10"/>
  <c r="M11" i="10"/>
  <c r="AD11" i="10" s="1"/>
  <c r="N11" i="10"/>
  <c r="AE11" i="10" s="1"/>
  <c r="O11" i="10"/>
  <c r="AF11" i="10" s="1"/>
  <c r="P11" i="10"/>
  <c r="Q11" i="10"/>
  <c r="AH11" i="10" s="1"/>
  <c r="S11" i="10"/>
  <c r="AJ11" i="10" s="1"/>
  <c r="A12" i="10"/>
  <c r="B12" i="10"/>
  <c r="D12" i="10"/>
  <c r="E12" i="10"/>
  <c r="H12" i="10"/>
  <c r="I12" i="10"/>
  <c r="J12" i="10"/>
  <c r="M12" i="10"/>
  <c r="AD12" i="10" s="1"/>
  <c r="N12" i="10"/>
  <c r="AE12" i="10" s="1"/>
  <c r="O12" i="10"/>
  <c r="AF12" i="10" s="1"/>
  <c r="P12" i="10"/>
  <c r="S12" i="10"/>
  <c r="AJ12" i="10" s="1"/>
  <c r="A13" i="10"/>
  <c r="B13" i="10"/>
  <c r="D13" i="10"/>
  <c r="E13" i="10"/>
  <c r="H13" i="10"/>
  <c r="I13" i="10"/>
  <c r="J13" i="10"/>
  <c r="M13" i="10"/>
  <c r="AD13" i="10" s="1"/>
  <c r="N13" i="10"/>
  <c r="AE13" i="10" s="1"/>
  <c r="O13" i="10"/>
  <c r="AF13" i="10" s="1"/>
  <c r="P13" i="10"/>
  <c r="S13" i="10"/>
  <c r="AJ13" i="10" s="1"/>
  <c r="A14" i="10"/>
  <c r="B14" i="10"/>
  <c r="D14" i="10"/>
  <c r="E14" i="10"/>
  <c r="H14" i="10"/>
  <c r="I14" i="10"/>
  <c r="J14" i="10"/>
  <c r="M14" i="10"/>
  <c r="AD14" i="10" s="1"/>
  <c r="N14" i="10"/>
  <c r="AE14" i="10" s="1"/>
  <c r="O14" i="10"/>
  <c r="AF14" i="10" s="1"/>
  <c r="P14" i="10"/>
  <c r="AG14" i="10" s="1"/>
  <c r="S14" i="10"/>
  <c r="AJ14" i="10" s="1"/>
  <c r="A15" i="10"/>
  <c r="B15" i="10"/>
  <c r="D15" i="10"/>
  <c r="E15" i="10"/>
  <c r="H15" i="10"/>
  <c r="I15" i="10"/>
  <c r="J15" i="10"/>
  <c r="M15" i="10"/>
  <c r="AD15" i="10" s="1"/>
  <c r="N15" i="10"/>
  <c r="AE15" i="10" s="1"/>
  <c r="O15" i="10"/>
  <c r="AF15" i="10" s="1"/>
  <c r="P15" i="10"/>
  <c r="AG15" i="10" s="1"/>
  <c r="Q15" i="10"/>
  <c r="AH15" i="10" s="1"/>
  <c r="S15" i="10"/>
  <c r="AJ15" i="10" s="1"/>
  <c r="A16" i="10"/>
  <c r="B16" i="10"/>
  <c r="D16" i="10"/>
  <c r="E16" i="10"/>
  <c r="H16" i="10"/>
  <c r="I16" i="10"/>
  <c r="J16" i="10"/>
  <c r="M16" i="10"/>
  <c r="AD16" i="10" s="1"/>
  <c r="N16" i="10"/>
  <c r="AE16" i="10" s="1"/>
  <c r="O16" i="10"/>
  <c r="AF16" i="10" s="1"/>
  <c r="P16" i="10"/>
  <c r="AG16" i="10" s="1"/>
  <c r="S16" i="10"/>
  <c r="AJ16" i="10" s="1"/>
  <c r="A17" i="10"/>
  <c r="B17" i="10"/>
  <c r="D17" i="10"/>
  <c r="E17" i="10"/>
  <c r="H17" i="10"/>
  <c r="I17" i="10"/>
  <c r="J17" i="10"/>
  <c r="M17" i="10"/>
  <c r="AD17" i="10" s="1"/>
  <c r="N17" i="10"/>
  <c r="AE17" i="10" s="1"/>
  <c r="O17" i="10"/>
  <c r="AF17" i="10" s="1"/>
  <c r="P17" i="10"/>
  <c r="AG17" i="10" s="1"/>
  <c r="S17" i="10"/>
  <c r="AJ17" i="10" s="1"/>
  <c r="A18" i="10"/>
  <c r="B18" i="10"/>
  <c r="D18" i="10"/>
  <c r="E18" i="10"/>
  <c r="H18" i="10"/>
  <c r="I18" i="10"/>
  <c r="J18" i="10"/>
  <c r="M18" i="10"/>
  <c r="AD18" i="10" s="1"/>
  <c r="N18" i="10"/>
  <c r="AE18" i="10" s="1"/>
  <c r="O18" i="10"/>
  <c r="AF18" i="10" s="1"/>
  <c r="P18" i="10"/>
  <c r="AG18" i="10" s="1"/>
  <c r="S18" i="10"/>
  <c r="AJ18" i="10" s="1"/>
  <c r="A19" i="10"/>
  <c r="B19" i="10"/>
  <c r="D19" i="10"/>
  <c r="E19" i="10"/>
  <c r="H19" i="10"/>
  <c r="I19" i="10"/>
  <c r="J19" i="10"/>
  <c r="M19" i="10"/>
  <c r="AD19" i="10" s="1"/>
  <c r="N19" i="10"/>
  <c r="AE19" i="10" s="1"/>
  <c r="O19" i="10"/>
  <c r="AF19" i="10" s="1"/>
  <c r="P19" i="10"/>
  <c r="AG19" i="10" s="1"/>
  <c r="Q19" i="10"/>
  <c r="AH19" i="10" s="1"/>
  <c r="S19" i="10"/>
  <c r="AJ19" i="10" s="1"/>
  <c r="A20" i="10"/>
  <c r="B20" i="10"/>
  <c r="D20" i="10"/>
  <c r="E20" i="10"/>
  <c r="H20" i="10"/>
  <c r="I20" i="10"/>
  <c r="J20" i="10"/>
  <c r="M20" i="10"/>
  <c r="AD20" i="10" s="1"/>
  <c r="N20" i="10"/>
  <c r="AE20" i="10" s="1"/>
  <c r="O20" i="10"/>
  <c r="AF20" i="10" s="1"/>
  <c r="P20" i="10"/>
  <c r="Q20" i="10"/>
  <c r="AH20" i="10" s="1"/>
  <c r="S20" i="10"/>
  <c r="AJ20" i="10" s="1"/>
  <c r="A21" i="10"/>
  <c r="B21" i="10"/>
  <c r="D21" i="10"/>
  <c r="E21" i="10"/>
  <c r="H21" i="10"/>
  <c r="I21" i="10"/>
  <c r="J21" i="10"/>
  <c r="M21" i="10"/>
  <c r="AD21" i="10" s="1"/>
  <c r="N21" i="10"/>
  <c r="AE21" i="10" s="1"/>
  <c r="O21" i="10"/>
  <c r="AF21" i="10" s="1"/>
  <c r="P21" i="10"/>
  <c r="S21" i="10"/>
  <c r="AJ21" i="10" s="1"/>
  <c r="A22" i="10"/>
  <c r="B22" i="10"/>
  <c r="D22" i="10"/>
  <c r="E22" i="10"/>
  <c r="AA22" i="10" s="1"/>
  <c r="H22" i="10"/>
  <c r="I22" i="10"/>
  <c r="J22" i="10"/>
  <c r="M22" i="10"/>
  <c r="AD22" i="10" s="1"/>
  <c r="N22" i="10"/>
  <c r="AE22" i="10" s="1"/>
  <c r="O22" i="10"/>
  <c r="AF22" i="10" s="1"/>
  <c r="P22" i="10"/>
  <c r="AG22" i="10" s="1"/>
  <c r="Q22" i="10"/>
  <c r="AH22" i="10" s="1"/>
  <c r="R22" i="10"/>
  <c r="AI22" i="10" s="1"/>
  <c r="S22" i="10"/>
  <c r="AJ22" i="10" s="1"/>
  <c r="A23" i="10"/>
  <c r="B23" i="10"/>
  <c r="C23" i="10"/>
  <c r="D23" i="10"/>
  <c r="E23" i="10"/>
  <c r="AA23" i="10" s="1"/>
  <c r="F23" i="10"/>
  <c r="AB23" i="10" s="1"/>
  <c r="H23" i="10"/>
  <c r="I23" i="10"/>
  <c r="J23" i="10"/>
  <c r="M23" i="10"/>
  <c r="AD23" i="10" s="1"/>
  <c r="N23" i="10"/>
  <c r="AE23" i="10" s="1"/>
  <c r="O23" i="10"/>
  <c r="AF23" i="10" s="1"/>
  <c r="P23" i="10"/>
  <c r="AG23" i="10" s="1"/>
  <c r="Q23" i="10"/>
  <c r="AH23" i="10" s="1"/>
  <c r="R23" i="10"/>
  <c r="AI23" i="10" s="1"/>
  <c r="S23" i="10"/>
  <c r="AJ23" i="10" s="1"/>
  <c r="A4" i="10"/>
  <c r="B4" i="10"/>
  <c r="D4" i="10"/>
  <c r="E4" i="10"/>
  <c r="H4" i="10"/>
  <c r="I4" i="10"/>
  <c r="J4" i="10"/>
  <c r="M4" i="10"/>
  <c r="AD4" i="10" s="1"/>
  <c r="N4" i="10"/>
  <c r="AE4" i="10" s="1"/>
  <c r="O4" i="10"/>
  <c r="AF4" i="10" s="1"/>
  <c r="P4" i="10"/>
  <c r="AG4" i="10" s="1"/>
  <c r="Q4" i="10"/>
  <c r="AH4" i="10" s="1"/>
  <c r="R4" i="10"/>
  <c r="AI4" i="10" s="1"/>
  <c r="S4" i="10"/>
  <c r="AJ4" i="10" s="1"/>
  <c r="A5" i="10"/>
  <c r="B5" i="10"/>
  <c r="D5" i="10"/>
  <c r="E5" i="10"/>
  <c r="H5" i="10"/>
  <c r="I5" i="10"/>
  <c r="AC5" i="10" s="1"/>
  <c r="J5" i="10"/>
  <c r="M5" i="10"/>
  <c r="AD5" i="10" s="1"/>
  <c r="N5" i="10"/>
  <c r="AE5" i="10" s="1"/>
  <c r="O5" i="10"/>
  <c r="AF5" i="10" s="1"/>
  <c r="P5" i="10"/>
  <c r="AG5" i="10" s="1"/>
  <c r="Q5" i="10"/>
  <c r="AH5" i="10" s="1"/>
  <c r="R5" i="10"/>
  <c r="AI5" i="10" s="1"/>
  <c r="S5" i="10"/>
  <c r="AJ5" i="10" s="1"/>
  <c r="A3" i="3"/>
  <c r="B3" i="3"/>
  <c r="E3" i="3"/>
  <c r="I3" i="3" s="1"/>
  <c r="F3" i="3"/>
  <c r="G3" i="3" s="1"/>
  <c r="J3" i="3"/>
  <c r="K3" i="3"/>
  <c r="L3" i="3"/>
  <c r="M3" i="3"/>
  <c r="N3" i="3"/>
  <c r="O3" i="3"/>
  <c r="P3" i="3"/>
  <c r="Q3" i="3"/>
  <c r="A4" i="3"/>
  <c r="B4" i="3"/>
  <c r="E4" i="3"/>
  <c r="F4" i="3"/>
  <c r="G4" i="3" s="1"/>
  <c r="J4" i="3"/>
  <c r="K4" i="3"/>
  <c r="L4" i="3"/>
  <c r="M4" i="3"/>
  <c r="N4" i="3"/>
  <c r="O4" i="3"/>
  <c r="P4" i="3"/>
  <c r="Q4" i="3"/>
  <c r="A6" i="3"/>
  <c r="B6" i="3"/>
  <c r="E6" i="3"/>
  <c r="I6" i="3" s="1"/>
  <c r="F6" i="3"/>
  <c r="G6" i="3" s="1"/>
  <c r="J6" i="3"/>
  <c r="K6" i="3"/>
  <c r="L6" i="3"/>
  <c r="M6" i="3"/>
  <c r="N6" i="3"/>
  <c r="O6" i="3"/>
  <c r="P6" i="3"/>
  <c r="Q6" i="3"/>
  <c r="A7" i="3"/>
  <c r="B7" i="3"/>
  <c r="E7" i="3"/>
  <c r="F7" i="3"/>
  <c r="H7" i="3" s="1"/>
  <c r="J7" i="3"/>
  <c r="K7" i="3"/>
  <c r="L7" i="3"/>
  <c r="M7" i="3"/>
  <c r="N7" i="3"/>
  <c r="O7" i="3"/>
  <c r="P7" i="3"/>
  <c r="Q7" i="3"/>
  <c r="A8" i="3"/>
  <c r="B8" i="3"/>
  <c r="D8" i="3"/>
  <c r="E8" i="3"/>
  <c r="I8" i="3" s="1"/>
  <c r="F8" i="3"/>
  <c r="G8" i="3" s="1"/>
  <c r="J8" i="3"/>
  <c r="K8" i="3"/>
  <c r="L8" i="3"/>
  <c r="M8" i="3"/>
  <c r="N8" i="3"/>
  <c r="Q8" i="3"/>
  <c r="A9" i="3"/>
  <c r="B9" i="3"/>
  <c r="D9" i="3"/>
  <c r="E9" i="3"/>
  <c r="F9" i="3"/>
  <c r="G9" i="3" s="1"/>
  <c r="J9" i="3"/>
  <c r="K9" i="3"/>
  <c r="L9" i="3"/>
  <c r="M9" i="3"/>
  <c r="N9" i="3"/>
  <c r="O9" i="3"/>
  <c r="Q9" i="3"/>
  <c r="A10" i="3"/>
  <c r="B10" i="3"/>
  <c r="D10" i="3"/>
  <c r="E10" i="3"/>
  <c r="F10" i="3"/>
  <c r="G10" i="3" s="1"/>
  <c r="J10" i="3"/>
  <c r="K10" i="3"/>
  <c r="L10" i="3"/>
  <c r="M10" i="3"/>
  <c r="N10" i="3"/>
  <c r="Q10" i="3"/>
  <c r="A11" i="3"/>
  <c r="B11" i="3"/>
  <c r="D11" i="3"/>
  <c r="E11" i="3"/>
  <c r="F11" i="3"/>
  <c r="G11" i="3" s="1"/>
  <c r="J11" i="3"/>
  <c r="K11" i="3"/>
  <c r="L11" i="3"/>
  <c r="M11" i="3"/>
  <c r="N11" i="3"/>
  <c r="Q11" i="3"/>
  <c r="A12" i="3"/>
  <c r="B12" i="3"/>
  <c r="D12" i="3"/>
  <c r="E12" i="3"/>
  <c r="F12" i="3"/>
  <c r="G12" i="3" s="1"/>
  <c r="J12" i="3"/>
  <c r="K12" i="3"/>
  <c r="L12" i="3"/>
  <c r="M12" i="3"/>
  <c r="N12" i="3"/>
  <c r="O12" i="3"/>
  <c r="Q12" i="3"/>
  <c r="A13" i="3"/>
  <c r="B13" i="3"/>
  <c r="D13" i="3"/>
  <c r="E13" i="3"/>
  <c r="F13" i="3"/>
  <c r="H13" i="3" s="1"/>
  <c r="J13" i="3"/>
  <c r="K13" i="3"/>
  <c r="L13" i="3"/>
  <c r="M13" i="3"/>
  <c r="N13" i="3"/>
  <c r="Q13" i="3"/>
  <c r="A14" i="3"/>
  <c r="B14" i="3"/>
  <c r="D14" i="3"/>
  <c r="E14" i="3"/>
  <c r="I14" i="3" s="1"/>
  <c r="F14" i="3"/>
  <c r="H14" i="3" s="1"/>
  <c r="J14" i="3"/>
  <c r="K14" i="3"/>
  <c r="L14" i="3"/>
  <c r="M14" i="3"/>
  <c r="N14" i="3"/>
  <c r="Q14" i="3"/>
  <c r="A15" i="3"/>
  <c r="B15" i="3"/>
  <c r="E15" i="3"/>
  <c r="F15" i="3"/>
  <c r="G15" i="3" s="1"/>
  <c r="J15" i="3"/>
  <c r="K15" i="3"/>
  <c r="L15" i="3"/>
  <c r="M15" i="3"/>
  <c r="N15" i="3"/>
  <c r="Q15" i="3"/>
  <c r="A16" i="3"/>
  <c r="B16" i="3"/>
  <c r="D16" i="3"/>
  <c r="E16" i="3"/>
  <c r="F16" i="3"/>
  <c r="H16" i="3" s="1"/>
  <c r="J16" i="3"/>
  <c r="K16" i="3"/>
  <c r="L16" i="3"/>
  <c r="M16" i="3"/>
  <c r="N16" i="3"/>
  <c r="O16" i="3"/>
  <c r="Q16" i="3"/>
  <c r="A17" i="3"/>
  <c r="B17" i="3"/>
  <c r="D17" i="3"/>
  <c r="E17" i="3"/>
  <c r="F17" i="3"/>
  <c r="G17" i="3" s="1"/>
  <c r="J17" i="3"/>
  <c r="K17" i="3"/>
  <c r="L17" i="3"/>
  <c r="M17" i="3"/>
  <c r="N17" i="3"/>
  <c r="O17" i="3"/>
  <c r="Q17" i="3"/>
  <c r="A18" i="3"/>
  <c r="B18" i="3"/>
  <c r="D18" i="3"/>
  <c r="E18" i="3"/>
  <c r="I18" i="3" s="1"/>
  <c r="F18" i="3"/>
  <c r="H18" i="3" s="1"/>
  <c r="J18" i="3"/>
  <c r="K18" i="3"/>
  <c r="L18" i="3"/>
  <c r="M18" i="3"/>
  <c r="N18" i="3"/>
  <c r="Q18" i="3"/>
  <c r="K10" i="10" l="1"/>
  <c r="K7" i="10"/>
  <c r="T6" i="3"/>
  <c r="G14" i="3"/>
  <c r="Z33" i="23"/>
  <c r="F51" i="23" s="1"/>
  <c r="Z51" i="23" s="1"/>
  <c r="Z28" i="23"/>
  <c r="F46" i="23" s="1"/>
  <c r="Z46" i="23" s="1"/>
  <c r="Z22" i="23"/>
  <c r="F40" i="23" s="1"/>
  <c r="Z40" i="23" s="1"/>
  <c r="Z31" i="23"/>
  <c r="F49" i="23" s="1"/>
  <c r="Z49" i="23" s="1"/>
  <c r="Z27" i="23"/>
  <c r="F45" i="23" s="1"/>
  <c r="Z45" i="23" s="1"/>
  <c r="AS17" i="3"/>
  <c r="R4" i="3"/>
  <c r="AI17" i="3"/>
  <c r="K13" i="10"/>
  <c r="K17" i="10"/>
  <c r="BV17" i="3"/>
  <c r="K18" i="10"/>
  <c r="T10" i="3"/>
  <c r="R7" i="3"/>
  <c r="Z6" i="3"/>
  <c r="AB6" i="3" s="1"/>
  <c r="K4" i="10"/>
  <c r="K5" i="10"/>
  <c r="K21" i="10"/>
  <c r="T3" i="3"/>
  <c r="T12" i="3"/>
  <c r="R3" i="3"/>
  <c r="AO3" i="3" s="1"/>
  <c r="BD17" i="3"/>
  <c r="Z14" i="3"/>
  <c r="AB14" i="3" s="1"/>
  <c r="R12" i="3"/>
  <c r="T4" i="3"/>
  <c r="H4" i="3"/>
  <c r="K23" i="10"/>
  <c r="K22" i="10"/>
  <c r="K9" i="10"/>
  <c r="R6" i="3"/>
  <c r="AO6" i="3" s="1"/>
  <c r="R17" i="3"/>
  <c r="AO17" i="3" s="1"/>
  <c r="S7" i="3"/>
  <c r="H3" i="3"/>
  <c r="BN17" i="3"/>
  <c r="Z8" i="3"/>
  <c r="AB8" i="3" s="1"/>
  <c r="S4" i="3"/>
  <c r="H8" i="3"/>
  <c r="L4" i="10"/>
  <c r="K15" i="10"/>
  <c r="K11" i="10"/>
  <c r="X17" i="3"/>
  <c r="K20" i="10"/>
  <c r="K16" i="10"/>
  <c r="K8" i="10"/>
  <c r="G18" i="3"/>
  <c r="L5" i="10"/>
  <c r="Z18" i="3"/>
  <c r="AB18" i="3" s="1"/>
  <c r="AG17" i="3"/>
  <c r="AP17" i="3"/>
  <c r="AR17" i="3" s="1"/>
  <c r="BA17" i="3"/>
  <c r="BC17" i="3" s="1"/>
  <c r="BK17" i="3"/>
  <c r="BT17" i="3"/>
  <c r="AJ17" i="3"/>
  <c r="BW17" i="3"/>
  <c r="AH17" i="3"/>
  <c r="AQ17" i="3"/>
  <c r="BM17" i="3"/>
  <c r="BU17" i="3"/>
  <c r="CE17" i="3"/>
  <c r="AT17" i="3"/>
  <c r="AV17" i="3" s="1"/>
  <c r="BO17" i="3"/>
  <c r="AA17" i="3"/>
  <c r="AL17" i="3"/>
  <c r="BF17" i="3"/>
  <c r="BP17" i="3"/>
  <c r="BX17" i="3"/>
  <c r="AC17" i="3"/>
  <c r="AM17" i="3"/>
  <c r="AW17" i="3"/>
  <c r="AY17" i="3" s="1"/>
  <c r="BH17" i="3"/>
  <c r="BQ17" i="3"/>
  <c r="AD17" i="3"/>
  <c r="AN17" i="3"/>
  <c r="AX17" i="3"/>
  <c r="BI17" i="3"/>
  <c r="BR17" i="3"/>
  <c r="Z17" i="3"/>
  <c r="AB17" i="3" s="1"/>
  <c r="BE17" i="3"/>
  <c r="BG17" i="3"/>
  <c r="AE17" i="3"/>
  <c r="AZ17" i="3"/>
  <c r="BJ17" i="3"/>
  <c r="BS17" i="3"/>
  <c r="AC4" i="10"/>
  <c r="AA3" i="3"/>
  <c r="G7" i="3"/>
  <c r="H6" i="3"/>
  <c r="BL17" i="3"/>
  <c r="AK17" i="3"/>
  <c r="U17" i="3"/>
  <c r="V17" i="3" s="1"/>
  <c r="H11" i="3"/>
  <c r="AP21" i="23"/>
  <c r="AP23" i="23"/>
  <c r="AP41" i="23"/>
  <c r="AP28" i="23"/>
  <c r="AP30" i="23"/>
  <c r="AP35" i="23"/>
  <c r="V29" i="23"/>
  <c r="V54" i="23"/>
  <c r="AP54" i="23"/>
  <c r="AP33" i="23"/>
  <c r="AP22" i="23"/>
  <c r="AP39" i="23"/>
  <c r="V31" i="23"/>
  <c r="AP52" i="23"/>
  <c r="V52" i="23"/>
  <c r="V39" i="23"/>
  <c r="AP25" i="23"/>
  <c r="AP26" i="23"/>
  <c r="V45" i="23"/>
  <c r="AP45" i="23"/>
  <c r="V47" i="23"/>
  <c r="AP47" i="23"/>
  <c r="AP32" i="23"/>
  <c r="K12" i="10"/>
  <c r="K19" i="10"/>
  <c r="K14" i="10"/>
  <c r="AC23" i="10"/>
  <c r="L23" i="10"/>
  <c r="AC22" i="10"/>
  <c r="L22" i="10"/>
  <c r="AC21" i="10"/>
  <c r="L21" i="10"/>
  <c r="AC20" i="10"/>
  <c r="L20" i="10"/>
  <c r="AC19" i="10"/>
  <c r="L19" i="10"/>
  <c r="AC18" i="10"/>
  <c r="L18" i="10"/>
  <c r="AC17" i="10"/>
  <c r="L17" i="10"/>
  <c r="AC16" i="10"/>
  <c r="L16" i="10"/>
  <c r="AC15" i="10"/>
  <c r="L15" i="10"/>
  <c r="AC14" i="10"/>
  <c r="L14" i="10"/>
  <c r="AC13" i="10"/>
  <c r="L13" i="10"/>
  <c r="AC12" i="10"/>
  <c r="L12" i="10"/>
  <c r="AC11" i="10"/>
  <c r="L11" i="10"/>
  <c r="AC10" i="10"/>
  <c r="L10" i="10"/>
  <c r="AC9" i="10"/>
  <c r="L9" i="10"/>
  <c r="AC8" i="10"/>
  <c r="L8" i="10"/>
  <c r="AC7" i="10"/>
  <c r="L7" i="10"/>
  <c r="CE18" i="3"/>
  <c r="CE8" i="3"/>
  <c r="CE14" i="3"/>
  <c r="CE3" i="3"/>
  <c r="CE6" i="3"/>
  <c r="CC3" i="3"/>
  <c r="CC6" i="3"/>
  <c r="CB6" i="3"/>
  <c r="CD6" i="3" s="1"/>
  <c r="CB3" i="3"/>
  <c r="CD3" i="3" s="1"/>
  <c r="BY6" i="3"/>
  <c r="CA6" i="3" s="1"/>
  <c r="BZ3" i="3"/>
  <c r="BZ6" i="3"/>
  <c r="BY3" i="3"/>
  <c r="CA3" i="3" s="1"/>
  <c r="BX8" i="3"/>
  <c r="BX14" i="3"/>
  <c r="BX18" i="3"/>
  <c r="BX3" i="3"/>
  <c r="BX6" i="3"/>
  <c r="BW6" i="3"/>
  <c r="BW3" i="3"/>
  <c r="BV6" i="3"/>
  <c r="BV3" i="3"/>
  <c r="BU8" i="3"/>
  <c r="BU14" i="3"/>
  <c r="BU6" i="3"/>
  <c r="BU18" i="3"/>
  <c r="BU3" i="3"/>
  <c r="BT8" i="3"/>
  <c r="BT14" i="3"/>
  <c r="BT6" i="3"/>
  <c r="BT18" i="3"/>
  <c r="BT3" i="3"/>
  <c r="BS8" i="3"/>
  <c r="BR3" i="3"/>
  <c r="BS14" i="3"/>
  <c r="BS3" i="3"/>
  <c r="BS6" i="3"/>
  <c r="BS18" i="3"/>
  <c r="BR6" i="3"/>
  <c r="BQ6" i="3"/>
  <c r="BQ3" i="3"/>
  <c r="BP8" i="3"/>
  <c r="BP14" i="3"/>
  <c r="BP6" i="3"/>
  <c r="BP18" i="3"/>
  <c r="BP3" i="3"/>
  <c r="BO8" i="3"/>
  <c r="BO14" i="3"/>
  <c r="BO6" i="3"/>
  <c r="BO18" i="3"/>
  <c r="BO3" i="3"/>
  <c r="BN8" i="3"/>
  <c r="BN14" i="3"/>
  <c r="BN6" i="3"/>
  <c r="BN18" i="3"/>
  <c r="BN3" i="3"/>
  <c r="BM6" i="3"/>
  <c r="BM3" i="3"/>
  <c r="BL3" i="3"/>
  <c r="BL6" i="3"/>
  <c r="BK8" i="3"/>
  <c r="BK14" i="3"/>
  <c r="BK6" i="3"/>
  <c r="BK18" i="3"/>
  <c r="BK3" i="3"/>
  <c r="BJ8" i="3"/>
  <c r="BJ14" i="3"/>
  <c r="BI6" i="3"/>
  <c r="BJ6" i="3"/>
  <c r="BJ18" i="3"/>
  <c r="BJ3" i="3"/>
  <c r="BI8" i="3"/>
  <c r="BI14" i="3"/>
  <c r="BI18" i="3"/>
  <c r="BH3" i="3"/>
  <c r="BH6" i="3"/>
  <c r="BI3" i="3"/>
  <c r="BG6" i="3"/>
  <c r="BG3" i="3"/>
  <c r="BF8" i="3"/>
  <c r="BF14" i="3"/>
  <c r="BF6" i="3"/>
  <c r="BF18" i="3"/>
  <c r="BF3" i="3"/>
  <c r="BE8" i="3"/>
  <c r="BE14" i="3"/>
  <c r="BE6" i="3"/>
  <c r="BE18" i="3"/>
  <c r="BE3" i="3"/>
  <c r="BD8" i="3"/>
  <c r="BD14" i="3"/>
  <c r="BD3" i="3"/>
  <c r="BD6" i="3"/>
  <c r="BD18" i="3"/>
  <c r="BB6" i="3"/>
  <c r="BB3" i="3"/>
  <c r="BA6" i="3"/>
  <c r="BC6" i="3" s="1"/>
  <c r="BA3" i="3"/>
  <c r="BC3" i="3" s="1"/>
  <c r="AZ8" i="3"/>
  <c r="AZ14" i="3"/>
  <c r="AZ3" i="3"/>
  <c r="AZ6" i="3"/>
  <c r="AZ18" i="3"/>
  <c r="AX8" i="3"/>
  <c r="AX14" i="3"/>
  <c r="AX6" i="3"/>
  <c r="AX18" i="3"/>
  <c r="AX3" i="3"/>
  <c r="AW8" i="3"/>
  <c r="AY8" i="3" s="1"/>
  <c r="AW14" i="3"/>
  <c r="AY14" i="3" s="1"/>
  <c r="AW3" i="3"/>
  <c r="AY3" i="3" s="1"/>
  <c r="AW6" i="3"/>
  <c r="AY6" i="3" s="1"/>
  <c r="AW18" i="3"/>
  <c r="AY18" i="3" s="1"/>
  <c r="AU6" i="3"/>
  <c r="AU3" i="3"/>
  <c r="AS6" i="3"/>
  <c r="AT6" i="3"/>
  <c r="AV6" i="3" s="1"/>
  <c r="AT3" i="3"/>
  <c r="AV3" i="3" s="1"/>
  <c r="AS8" i="3"/>
  <c r="AS14" i="3"/>
  <c r="AS18" i="3"/>
  <c r="AQ14" i="3"/>
  <c r="AS3" i="3"/>
  <c r="AQ8" i="3"/>
  <c r="AQ6" i="3"/>
  <c r="AQ18" i="3"/>
  <c r="AQ3" i="3"/>
  <c r="AP8" i="3"/>
  <c r="AR8" i="3" s="1"/>
  <c r="AP14" i="3"/>
  <c r="AR14" i="3" s="1"/>
  <c r="AP3" i="3"/>
  <c r="AR3" i="3" s="1"/>
  <c r="AP6" i="3"/>
  <c r="AR6" i="3" s="1"/>
  <c r="AP18" i="3"/>
  <c r="AR18" i="3" s="1"/>
  <c r="AN8" i="3"/>
  <c r="AN14" i="3"/>
  <c r="AN3" i="3"/>
  <c r="AN6" i="3"/>
  <c r="AN18" i="3"/>
  <c r="AM14" i="3"/>
  <c r="AM8" i="3"/>
  <c r="AM6" i="3"/>
  <c r="AM18" i="3"/>
  <c r="AM3" i="3"/>
  <c r="AL8" i="3"/>
  <c r="AL14" i="3"/>
  <c r="AL6" i="3"/>
  <c r="AL18" i="3"/>
  <c r="AL3" i="3"/>
  <c r="AK8" i="3"/>
  <c r="AK14" i="3"/>
  <c r="AJ8" i="3"/>
  <c r="AK6" i="3"/>
  <c r="AK18" i="3"/>
  <c r="AJ18" i="3"/>
  <c r="AK3" i="3"/>
  <c r="AJ14" i="3"/>
  <c r="AJ3" i="3"/>
  <c r="AJ6" i="3"/>
  <c r="AI8" i="3"/>
  <c r="AI14" i="3"/>
  <c r="AI3" i="3"/>
  <c r="AI6" i="3"/>
  <c r="AI18" i="3"/>
  <c r="AH8" i="3"/>
  <c r="AH14" i="3"/>
  <c r="AH6" i="3"/>
  <c r="AH18" i="3"/>
  <c r="AH3" i="3"/>
  <c r="AG8" i="3"/>
  <c r="AG14" i="3"/>
  <c r="AG3" i="3"/>
  <c r="AG6" i="3"/>
  <c r="AG18" i="3"/>
  <c r="AE8" i="3"/>
  <c r="AE14" i="3"/>
  <c r="AE6" i="3"/>
  <c r="AE18" i="3"/>
  <c r="AE3" i="3"/>
  <c r="AD8" i="3"/>
  <c r="AF8" i="3" s="1"/>
  <c r="AD14" i="3"/>
  <c r="AF14" i="3" s="1"/>
  <c r="AD6" i="3"/>
  <c r="AF6" i="3" s="1"/>
  <c r="AD18" i="3"/>
  <c r="AF18" i="3" s="1"/>
  <c r="AD3" i="3"/>
  <c r="AF3" i="3" s="1"/>
  <c r="AC18" i="3"/>
  <c r="AC14" i="3"/>
  <c r="AC8" i="3"/>
  <c r="AC6" i="3"/>
  <c r="AA18" i="3"/>
  <c r="AC3" i="3"/>
  <c r="AA8" i="3"/>
  <c r="AA14" i="3"/>
  <c r="AA6" i="3"/>
  <c r="Z3" i="3"/>
  <c r="AB3" i="3" s="1"/>
  <c r="X3" i="3"/>
  <c r="W3" i="3"/>
  <c r="Y3" i="3" s="1"/>
  <c r="U3" i="3"/>
  <c r="V3" i="3" s="1"/>
  <c r="CE4" i="3"/>
  <c r="S3" i="3"/>
  <c r="T18" i="3"/>
  <c r="U18" i="3"/>
  <c r="V18" i="3" s="1"/>
  <c r="R9" i="3"/>
  <c r="AF17" i="3"/>
  <c r="T16" i="3"/>
  <c r="I15" i="3"/>
  <c r="CE15" i="3" s="1"/>
  <c r="T13" i="3"/>
  <c r="I13" i="3"/>
  <c r="CE13" i="3" s="1"/>
  <c r="G13" i="3"/>
  <c r="I12" i="3"/>
  <c r="CE12" i="3" s="1"/>
  <c r="T9" i="3"/>
  <c r="I16" i="3"/>
  <c r="CE16" i="3" s="1"/>
  <c r="U14" i="3"/>
  <c r="V14" i="3" s="1"/>
  <c r="H12" i="3"/>
  <c r="H9" i="3"/>
  <c r="G16" i="3"/>
  <c r="T11" i="3"/>
  <c r="H10" i="3"/>
  <c r="W17" i="3"/>
  <c r="Y17" i="3" s="1"/>
  <c r="U8" i="3"/>
  <c r="V8" i="3" s="1"/>
  <c r="U6" i="3"/>
  <c r="V6" i="3" s="1"/>
  <c r="X18" i="3"/>
  <c r="X8" i="3"/>
  <c r="X14" i="3"/>
  <c r="X6" i="3"/>
  <c r="W18" i="3"/>
  <c r="Y18" i="3" s="1"/>
  <c r="W8" i="3"/>
  <c r="Y8" i="3" s="1"/>
  <c r="W14" i="3"/>
  <c r="Y14" i="3" s="1"/>
  <c r="W6" i="3"/>
  <c r="Y6" i="3" s="1"/>
  <c r="H17" i="3"/>
  <c r="R16" i="3"/>
  <c r="T14" i="3"/>
  <c r="T17" i="3"/>
  <c r="T15" i="3"/>
  <c r="H15" i="3"/>
  <c r="S6" i="3"/>
  <c r="I11" i="3"/>
  <c r="CE11" i="3" s="1"/>
  <c r="I10" i="3"/>
  <c r="CE10" i="3" s="1"/>
  <c r="T8" i="3"/>
  <c r="I7" i="3"/>
  <c r="CE7" i="3" s="1"/>
  <c r="T7" i="3"/>
  <c r="I9" i="3"/>
  <c r="CE9" i="3" s="1"/>
  <c r="A4" i="12"/>
  <c r="B4" i="12"/>
  <c r="C4" i="12"/>
  <c r="G4" i="12" s="1"/>
  <c r="H4" i="12" s="1"/>
  <c r="D4" i="12"/>
  <c r="E4" i="12" s="1"/>
  <c r="F4" i="12" s="1"/>
  <c r="A5" i="12"/>
  <c r="B5" i="12"/>
  <c r="C5" i="12"/>
  <c r="G5" i="12" s="1"/>
  <c r="H5" i="12" s="1"/>
  <c r="D5" i="12"/>
  <c r="E5" i="12" s="1"/>
  <c r="F5" i="12" s="1"/>
  <c r="A6" i="12"/>
  <c r="B6" i="12"/>
  <c r="C6" i="12"/>
  <c r="G6" i="12" s="1"/>
  <c r="D6" i="12"/>
  <c r="E6" i="12" s="1"/>
  <c r="F6" i="12" s="1"/>
  <c r="A7" i="12"/>
  <c r="B7" i="12"/>
  <c r="C7" i="12"/>
  <c r="G7" i="12" s="1"/>
  <c r="H7" i="12" s="1"/>
  <c r="D7" i="12"/>
  <c r="E7" i="12" s="1"/>
  <c r="F7" i="12" s="1"/>
  <c r="A8" i="12"/>
  <c r="B8" i="12"/>
  <c r="C8" i="12"/>
  <c r="G8" i="12" s="1"/>
  <c r="H8" i="12" s="1"/>
  <c r="D8" i="12"/>
  <c r="E8" i="12" s="1"/>
  <c r="F8" i="12" s="1"/>
  <c r="A9" i="12"/>
  <c r="B9" i="12"/>
  <c r="C9" i="12"/>
  <c r="G9" i="12" s="1"/>
  <c r="D9" i="12"/>
  <c r="E9" i="12" s="1"/>
  <c r="F9" i="12" s="1"/>
  <c r="A10" i="12"/>
  <c r="B10" i="12"/>
  <c r="C10" i="12"/>
  <c r="G10" i="12" s="1"/>
  <c r="D10" i="12"/>
  <c r="E10" i="12" s="1"/>
  <c r="F10" i="12" s="1"/>
  <c r="A11" i="12"/>
  <c r="B11" i="12"/>
  <c r="C11" i="12"/>
  <c r="G11" i="12" s="1"/>
  <c r="H11" i="12" s="1"/>
  <c r="D11" i="12"/>
  <c r="E11" i="12" s="1"/>
  <c r="A12" i="12"/>
  <c r="B12" i="12"/>
  <c r="C12" i="12"/>
  <c r="G12" i="12" s="1"/>
  <c r="H12" i="12" s="1"/>
  <c r="D12" i="12"/>
  <c r="E12" i="12" s="1"/>
  <c r="F12" i="12" s="1"/>
  <c r="A13" i="12"/>
  <c r="B13" i="12"/>
  <c r="C13" i="12"/>
  <c r="G13" i="12" s="1"/>
  <c r="D13" i="12"/>
  <c r="E13" i="12" s="1"/>
  <c r="F13" i="12" s="1"/>
  <c r="A14" i="12"/>
  <c r="B14" i="12"/>
  <c r="C14" i="12"/>
  <c r="G14" i="12" s="1"/>
  <c r="D14" i="12"/>
  <c r="E14" i="12" s="1"/>
  <c r="F14" i="12" s="1"/>
  <c r="A15" i="12"/>
  <c r="B15" i="12"/>
  <c r="C15" i="12"/>
  <c r="G15" i="12" s="1"/>
  <c r="H15" i="12" s="1"/>
  <c r="D15" i="12"/>
  <c r="E15" i="12" s="1"/>
  <c r="F15" i="12" s="1"/>
  <c r="A16" i="12"/>
  <c r="B16" i="12"/>
  <c r="C16" i="12"/>
  <c r="G16" i="12" s="1"/>
  <c r="D16" i="12"/>
  <c r="E16" i="12" s="1"/>
  <c r="F16" i="12" s="1"/>
  <c r="A17" i="12"/>
  <c r="B17" i="12"/>
  <c r="C17" i="12"/>
  <c r="G17" i="12" s="1"/>
  <c r="D17" i="12"/>
  <c r="E17" i="12" s="1"/>
  <c r="F17" i="12" s="1"/>
  <c r="A18" i="12"/>
  <c r="B18" i="12"/>
  <c r="C18" i="12"/>
  <c r="G18" i="12" s="1"/>
  <c r="D18" i="12"/>
  <c r="E18" i="12" s="1"/>
  <c r="F18" i="12" s="1"/>
  <c r="A19" i="12"/>
  <c r="B19" i="12"/>
  <c r="C19" i="12"/>
  <c r="G19" i="12" s="1"/>
  <c r="H19" i="12" s="1"/>
  <c r="D19" i="12"/>
  <c r="E19" i="12" s="1"/>
  <c r="F19" i="12" s="1"/>
  <c r="A20" i="12"/>
  <c r="B20" i="12"/>
  <c r="C20" i="12"/>
  <c r="G20" i="12" s="1"/>
  <c r="D20" i="12"/>
  <c r="E20" i="12" s="1"/>
  <c r="F20" i="12" s="1"/>
  <c r="A21" i="12"/>
  <c r="B21" i="12"/>
  <c r="C21" i="12"/>
  <c r="G21" i="12" s="1"/>
  <c r="D21" i="12"/>
  <c r="E21" i="12" s="1"/>
  <c r="F21" i="12" s="1"/>
  <c r="A22" i="12"/>
  <c r="B22" i="12"/>
  <c r="C22" i="12"/>
  <c r="G22" i="12" s="1"/>
  <c r="D22" i="12"/>
  <c r="E22" i="12" s="1"/>
  <c r="F22" i="12" s="1"/>
  <c r="A23" i="12"/>
  <c r="B23" i="12"/>
  <c r="C23" i="12"/>
  <c r="G23" i="12" s="1"/>
  <c r="H23" i="12" s="1"/>
  <c r="D23" i="12"/>
  <c r="E23" i="12" s="1"/>
  <c r="F23" i="12" s="1"/>
  <c r="A24" i="12"/>
  <c r="B24" i="12"/>
  <c r="C24" i="12"/>
  <c r="G24" i="12" s="1"/>
  <c r="D24" i="12"/>
  <c r="E24" i="12" s="1"/>
  <c r="F24" i="12" s="1"/>
  <c r="A25" i="12"/>
  <c r="B25" i="12"/>
  <c r="C25" i="12"/>
  <c r="G25" i="12" s="1"/>
  <c r="D25" i="12"/>
  <c r="E25" i="12" s="1"/>
  <c r="F25" i="12" s="1"/>
  <c r="A26" i="12"/>
  <c r="B26" i="12"/>
  <c r="C26" i="12"/>
  <c r="G26" i="12" s="1"/>
  <c r="D26" i="12"/>
  <c r="E26" i="12" s="1"/>
  <c r="F26" i="12" s="1"/>
  <c r="A27" i="12"/>
  <c r="B27" i="12"/>
  <c r="C27" i="12"/>
  <c r="G27" i="12" s="1"/>
  <c r="H27" i="12" s="1"/>
  <c r="D27" i="12"/>
  <c r="E27" i="12" s="1"/>
  <c r="F27" i="12" s="1"/>
  <c r="A28" i="12"/>
  <c r="B28" i="12"/>
  <c r="C28" i="12"/>
  <c r="G28" i="12" s="1"/>
  <c r="D28" i="12"/>
  <c r="E28" i="12" s="1"/>
  <c r="F28" i="12" s="1"/>
  <c r="A29" i="12"/>
  <c r="B29" i="12"/>
  <c r="C29" i="12"/>
  <c r="G29" i="12" s="1"/>
  <c r="D29" i="12"/>
  <c r="E29" i="12" s="1"/>
  <c r="F29" i="12" s="1"/>
  <c r="A30" i="12"/>
  <c r="B30" i="12"/>
  <c r="C30" i="12"/>
  <c r="G30" i="12" s="1"/>
  <c r="D30" i="12"/>
  <c r="E30" i="12" s="1"/>
  <c r="F30" i="12" s="1"/>
  <c r="A31" i="12"/>
  <c r="B31" i="12"/>
  <c r="C31" i="12"/>
  <c r="G31" i="12" s="1"/>
  <c r="H31" i="12" s="1"/>
  <c r="D31" i="12"/>
  <c r="E31" i="12" s="1"/>
  <c r="F31" i="12" s="1"/>
  <c r="D3" i="12"/>
  <c r="C3" i="12"/>
  <c r="B3" i="12"/>
  <c r="A3" i="12"/>
  <c r="AP19" i="1"/>
  <c r="AG19" i="1"/>
  <c r="AH19" i="1"/>
  <c r="AI19" i="1"/>
  <c r="AJ19" i="1"/>
  <c r="AK19" i="1"/>
  <c r="AL19" i="1"/>
  <c r="AM19" i="1"/>
  <c r="AN19" i="1"/>
  <c r="AO19" i="1"/>
  <c r="U19" i="1"/>
  <c r="W19" i="1"/>
  <c r="R19" i="1"/>
  <c r="S19" i="1"/>
  <c r="P19" i="1"/>
  <c r="J19" i="1"/>
  <c r="K19" i="1"/>
  <c r="L19" i="1"/>
  <c r="AP4" i="1"/>
  <c r="AG4" i="1"/>
  <c r="AH4" i="1"/>
  <c r="AI4" i="1"/>
  <c r="AJ4" i="1"/>
  <c r="AK4" i="1"/>
  <c r="AL4" i="1"/>
  <c r="AM4" i="1"/>
  <c r="AN4" i="1"/>
  <c r="AO4" i="1"/>
  <c r="U4" i="1"/>
  <c r="W4" i="1"/>
  <c r="R4" i="1"/>
  <c r="S4" i="1"/>
  <c r="P4" i="1"/>
  <c r="J4" i="1"/>
  <c r="K4" i="1"/>
  <c r="L4" i="1"/>
  <c r="I24" i="12" l="1"/>
  <c r="J31" i="12"/>
  <c r="I28" i="12"/>
  <c r="H28" i="12"/>
  <c r="J4" i="12"/>
  <c r="I20" i="12"/>
  <c r="J12" i="12"/>
  <c r="J8" i="12"/>
  <c r="V44" i="23"/>
  <c r="AP44" i="23"/>
  <c r="AP31" i="23"/>
  <c r="AP50" i="23"/>
  <c r="V50" i="23"/>
  <c r="V43" i="23"/>
  <c r="AP43" i="23"/>
  <c r="AP53" i="23"/>
  <c r="V53" i="23"/>
  <c r="AP40" i="23"/>
  <c r="V40" i="23"/>
  <c r="AP48" i="23"/>
  <c r="V48" i="23"/>
  <c r="AP51" i="23"/>
  <c r="V51" i="23"/>
  <c r="AP46" i="23"/>
  <c r="V46" i="23"/>
  <c r="CB7" i="3"/>
  <c r="CD7" i="3" s="1"/>
  <c r="CC7" i="3"/>
  <c r="CB4" i="3"/>
  <c r="CD4" i="3" s="1"/>
  <c r="CC4" i="3"/>
  <c r="BZ7" i="3"/>
  <c r="BZ4" i="3"/>
  <c r="BX12" i="3"/>
  <c r="BX15" i="3"/>
  <c r="BX4" i="3"/>
  <c r="BY4" i="3"/>
  <c r="CA4" i="3" s="1"/>
  <c r="BX10" i="3"/>
  <c r="BX16" i="3"/>
  <c r="BX11" i="3"/>
  <c r="BX9" i="3"/>
  <c r="BX7" i="3"/>
  <c r="BY7" i="3"/>
  <c r="CA7" i="3" s="1"/>
  <c r="BX13" i="3"/>
  <c r="BV12" i="3"/>
  <c r="BW12" i="3"/>
  <c r="BV9" i="3"/>
  <c r="BW9" i="3"/>
  <c r="BV16" i="3"/>
  <c r="BW16" i="3"/>
  <c r="BV4" i="3"/>
  <c r="BW4" i="3"/>
  <c r="BV7" i="3"/>
  <c r="BW7" i="3"/>
  <c r="BT16" i="3"/>
  <c r="BU16" i="3"/>
  <c r="BT15" i="3"/>
  <c r="BU15" i="3"/>
  <c r="BT11" i="3"/>
  <c r="BU11" i="3"/>
  <c r="BT10" i="3"/>
  <c r="BU10" i="3"/>
  <c r="BT7" i="3"/>
  <c r="BU7" i="3"/>
  <c r="BT9" i="3"/>
  <c r="BU9" i="3"/>
  <c r="BT12" i="3"/>
  <c r="BU12" i="3"/>
  <c r="BT13" i="3"/>
  <c r="BU13" i="3"/>
  <c r="BT4" i="3"/>
  <c r="BU4" i="3"/>
  <c r="BS11" i="3"/>
  <c r="BR4" i="3"/>
  <c r="BS4" i="3"/>
  <c r="BR9" i="3"/>
  <c r="BS9" i="3"/>
  <c r="BS15" i="3"/>
  <c r="BR7" i="3"/>
  <c r="BS7" i="3"/>
  <c r="BR12" i="3"/>
  <c r="BS12" i="3"/>
  <c r="BS13" i="3"/>
  <c r="BS10" i="3"/>
  <c r="BR16" i="3"/>
  <c r="BS16" i="3"/>
  <c r="BP10" i="3"/>
  <c r="BP12" i="3"/>
  <c r="BQ12" i="3"/>
  <c r="BP7" i="3"/>
  <c r="BQ7" i="3"/>
  <c r="BP16" i="3"/>
  <c r="BQ16" i="3"/>
  <c r="BP4" i="3"/>
  <c r="BQ4" i="3"/>
  <c r="BP13" i="3"/>
  <c r="BP11" i="3"/>
  <c r="BP9" i="3"/>
  <c r="BQ9" i="3"/>
  <c r="BP15" i="3"/>
  <c r="BN16" i="3"/>
  <c r="BO16" i="3"/>
  <c r="BN13" i="3"/>
  <c r="BO13" i="3"/>
  <c r="BN11" i="3"/>
  <c r="BO11" i="3"/>
  <c r="BN4" i="3"/>
  <c r="BO4" i="3"/>
  <c r="BN10" i="3"/>
  <c r="BO10" i="3"/>
  <c r="BN12" i="3"/>
  <c r="BO12" i="3"/>
  <c r="BN15" i="3"/>
  <c r="BO15" i="3"/>
  <c r="BN9" i="3"/>
  <c r="BO9" i="3"/>
  <c r="BN7" i="3"/>
  <c r="BO7" i="3"/>
  <c r="BL16" i="3"/>
  <c r="BM16" i="3"/>
  <c r="BL4" i="3"/>
  <c r="BM4" i="3"/>
  <c r="BL9" i="3"/>
  <c r="BM9" i="3"/>
  <c r="BL7" i="3"/>
  <c r="BM7" i="3"/>
  <c r="BL12" i="3"/>
  <c r="BM12" i="3"/>
  <c r="BJ9" i="3"/>
  <c r="BK9" i="3"/>
  <c r="BJ4" i="3"/>
  <c r="BK4" i="3"/>
  <c r="BJ7" i="3"/>
  <c r="BK7" i="3"/>
  <c r="BJ13" i="3"/>
  <c r="BK13" i="3"/>
  <c r="BJ10" i="3"/>
  <c r="BK10" i="3"/>
  <c r="BJ12" i="3"/>
  <c r="BK12" i="3"/>
  <c r="BJ15" i="3"/>
  <c r="BK15" i="3"/>
  <c r="BJ11" i="3"/>
  <c r="BK11" i="3"/>
  <c r="BJ16" i="3"/>
  <c r="BK16" i="3"/>
  <c r="BH12" i="3"/>
  <c r="BI12" i="3"/>
  <c r="BI10" i="3"/>
  <c r="BI13" i="3"/>
  <c r="BH16" i="3"/>
  <c r="BI16" i="3"/>
  <c r="BI15" i="3"/>
  <c r="BH4" i="3"/>
  <c r="BI4" i="3"/>
  <c r="BH9" i="3"/>
  <c r="BI9" i="3"/>
  <c r="BH7" i="3"/>
  <c r="BI7" i="3"/>
  <c r="BI11" i="3"/>
  <c r="BF12" i="3"/>
  <c r="BG12" i="3"/>
  <c r="BF11" i="3"/>
  <c r="BF10" i="3"/>
  <c r="BF16" i="3"/>
  <c r="BG16" i="3"/>
  <c r="BF13" i="3"/>
  <c r="BF9" i="3"/>
  <c r="BG9" i="3"/>
  <c r="BF7" i="3"/>
  <c r="BG7" i="3"/>
  <c r="BF15" i="3"/>
  <c r="BF4" i="3"/>
  <c r="BG4" i="3"/>
  <c r="BD16" i="3"/>
  <c r="BE16" i="3"/>
  <c r="BD15" i="3"/>
  <c r="BE15" i="3"/>
  <c r="BD9" i="3"/>
  <c r="BE9" i="3"/>
  <c r="BD11" i="3"/>
  <c r="BE11" i="3"/>
  <c r="BD12" i="3"/>
  <c r="BE12" i="3"/>
  <c r="BD4" i="3"/>
  <c r="BE4" i="3"/>
  <c r="BD7" i="3"/>
  <c r="BE7" i="3"/>
  <c r="BD13" i="3"/>
  <c r="BE13" i="3"/>
  <c r="BD10" i="3"/>
  <c r="BE10" i="3"/>
  <c r="BA9" i="3"/>
  <c r="BC9" i="3" s="1"/>
  <c r="BA16" i="3"/>
  <c r="BC16" i="3" s="1"/>
  <c r="BA7" i="3"/>
  <c r="BC7" i="3" s="1"/>
  <c r="BB7" i="3"/>
  <c r="BA4" i="3"/>
  <c r="BC4" i="3" s="1"/>
  <c r="BB4" i="3"/>
  <c r="BA12" i="3"/>
  <c r="BC12" i="3" s="1"/>
  <c r="AX9" i="3"/>
  <c r="AZ9" i="3"/>
  <c r="AX10" i="3"/>
  <c r="AZ10" i="3"/>
  <c r="AX12" i="3"/>
  <c r="AZ12" i="3"/>
  <c r="AX11" i="3"/>
  <c r="AZ11" i="3"/>
  <c r="AX15" i="3"/>
  <c r="AZ15" i="3"/>
  <c r="AX4" i="3"/>
  <c r="AZ4" i="3"/>
  <c r="AX13" i="3"/>
  <c r="AZ13" i="3"/>
  <c r="AX7" i="3"/>
  <c r="AZ7" i="3"/>
  <c r="AX16" i="3"/>
  <c r="AZ16" i="3"/>
  <c r="AW11" i="3"/>
  <c r="AY11" i="3" s="1"/>
  <c r="AW15" i="3"/>
  <c r="AY15" i="3" s="1"/>
  <c r="AW10" i="3"/>
  <c r="AY10" i="3" s="1"/>
  <c r="AW9" i="3"/>
  <c r="AY9" i="3" s="1"/>
  <c r="AW12" i="3"/>
  <c r="AY12" i="3" s="1"/>
  <c r="AU4" i="3"/>
  <c r="AW4" i="3"/>
  <c r="AY4" i="3" s="1"/>
  <c r="AU7" i="3"/>
  <c r="AW7" i="3"/>
  <c r="AY7" i="3" s="1"/>
  <c r="AW16" i="3"/>
  <c r="AY16" i="3" s="1"/>
  <c r="AW13" i="3"/>
  <c r="AY13" i="3" s="1"/>
  <c r="AS4" i="3"/>
  <c r="AT4" i="3"/>
  <c r="AV4" i="3" s="1"/>
  <c r="AS9" i="3"/>
  <c r="AT9" i="3"/>
  <c r="AV9" i="3" s="1"/>
  <c r="AS15" i="3"/>
  <c r="AS16" i="3"/>
  <c r="AT16" i="3"/>
  <c r="AV16" i="3" s="1"/>
  <c r="AS12" i="3"/>
  <c r="AT12" i="3"/>
  <c r="AV12" i="3" s="1"/>
  <c r="AS10" i="3"/>
  <c r="AS11" i="3"/>
  <c r="AS13" i="3"/>
  <c r="AS7" i="3"/>
  <c r="AT7" i="3"/>
  <c r="AV7" i="3" s="1"/>
  <c r="AP13" i="3"/>
  <c r="AR13" i="3" s="1"/>
  <c r="AQ13" i="3"/>
  <c r="AP10" i="3"/>
  <c r="AR10" i="3" s="1"/>
  <c r="AQ10" i="3"/>
  <c r="AP7" i="3"/>
  <c r="AR7" i="3" s="1"/>
  <c r="AQ7" i="3"/>
  <c r="AP16" i="3"/>
  <c r="AR16" i="3" s="1"/>
  <c r="AQ16" i="3"/>
  <c r="AP12" i="3"/>
  <c r="AR12" i="3" s="1"/>
  <c r="AQ12" i="3"/>
  <c r="AP4" i="3"/>
  <c r="AR4" i="3" s="1"/>
  <c r="AQ4" i="3"/>
  <c r="AP11" i="3"/>
  <c r="AR11" i="3" s="1"/>
  <c r="AQ11" i="3"/>
  <c r="AP15" i="3"/>
  <c r="AR15" i="3" s="1"/>
  <c r="AQ15" i="3"/>
  <c r="AP9" i="3"/>
  <c r="AR9" i="3" s="1"/>
  <c r="AQ9" i="3"/>
  <c r="AN9" i="3"/>
  <c r="AO9" i="3"/>
  <c r="AN10" i="3"/>
  <c r="AN13" i="3"/>
  <c r="AN7" i="3"/>
  <c r="AO7" i="3"/>
  <c r="AN16" i="3"/>
  <c r="AO16" i="3"/>
  <c r="AN12" i="3"/>
  <c r="AO12" i="3"/>
  <c r="AN15" i="3"/>
  <c r="AN11" i="3"/>
  <c r="AN4" i="3"/>
  <c r="AO4" i="3"/>
  <c r="AL13" i="3"/>
  <c r="AM13" i="3"/>
  <c r="AL4" i="3"/>
  <c r="AM4" i="3"/>
  <c r="AL16" i="3"/>
  <c r="AM16" i="3"/>
  <c r="AL12" i="3"/>
  <c r="AM12" i="3"/>
  <c r="AL7" i="3"/>
  <c r="AM7" i="3"/>
  <c r="AL10" i="3"/>
  <c r="AM10" i="3"/>
  <c r="AL15" i="3"/>
  <c r="AM15" i="3"/>
  <c r="AL9" i="3"/>
  <c r="AM9" i="3"/>
  <c r="AL11" i="3"/>
  <c r="AM11" i="3"/>
  <c r="AJ15" i="3"/>
  <c r="AK15" i="3"/>
  <c r="AJ4" i="3"/>
  <c r="AK4" i="3"/>
  <c r="AJ10" i="3"/>
  <c r="AK10" i="3"/>
  <c r="AJ9" i="3"/>
  <c r="AK9" i="3"/>
  <c r="AJ11" i="3"/>
  <c r="AK11" i="3"/>
  <c r="AJ7" i="3"/>
  <c r="AK7" i="3"/>
  <c r="AJ13" i="3"/>
  <c r="AK13" i="3"/>
  <c r="AJ16" i="3"/>
  <c r="AK16" i="3"/>
  <c r="AJ12" i="3"/>
  <c r="AK12" i="3"/>
  <c r="AH7" i="3"/>
  <c r="AI7" i="3"/>
  <c r="AH11" i="3"/>
  <c r="AI11" i="3"/>
  <c r="AH15" i="3"/>
  <c r="AI15" i="3"/>
  <c r="AH10" i="3"/>
  <c r="AI10" i="3"/>
  <c r="AH16" i="3"/>
  <c r="AI16" i="3"/>
  <c r="AH4" i="3"/>
  <c r="AI4" i="3"/>
  <c r="AH9" i="3"/>
  <c r="AI9" i="3"/>
  <c r="AH12" i="3"/>
  <c r="AI12" i="3"/>
  <c r="AH13" i="3"/>
  <c r="AI13" i="3"/>
  <c r="AE10" i="3"/>
  <c r="AG10" i="3"/>
  <c r="AE15" i="3"/>
  <c r="AG15" i="3"/>
  <c r="AE11" i="3"/>
  <c r="AG11" i="3"/>
  <c r="AE7" i="3"/>
  <c r="AG7" i="3"/>
  <c r="AE16" i="3"/>
  <c r="AG16" i="3"/>
  <c r="AE9" i="3"/>
  <c r="AG9" i="3"/>
  <c r="AE12" i="3"/>
  <c r="AG12" i="3"/>
  <c r="AE13" i="3"/>
  <c r="AG13" i="3"/>
  <c r="AE4" i="3"/>
  <c r="AG4" i="3"/>
  <c r="AC4" i="3"/>
  <c r="AD4" i="3"/>
  <c r="AF4" i="3" s="1"/>
  <c r="AC16" i="3"/>
  <c r="AD16" i="3"/>
  <c r="AF16" i="3" s="1"/>
  <c r="AC15" i="3"/>
  <c r="AD15" i="3"/>
  <c r="AF15" i="3" s="1"/>
  <c r="AC11" i="3"/>
  <c r="AD11" i="3"/>
  <c r="AF11" i="3" s="1"/>
  <c r="AC10" i="3"/>
  <c r="AD10" i="3"/>
  <c r="AF10" i="3" s="1"/>
  <c r="AC12" i="3"/>
  <c r="AD12" i="3"/>
  <c r="AF12" i="3" s="1"/>
  <c r="AC9" i="3"/>
  <c r="AD9" i="3"/>
  <c r="AF9" i="3" s="1"/>
  <c r="AC13" i="3"/>
  <c r="AD13" i="3"/>
  <c r="AF13" i="3" s="1"/>
  <c r="AC7" i="3"/>
  <c r="AD7" i="3"/>
  <c r="AF7" i="3" s="1"/>
  <c r="AA10" i="3"/>
  <c r="AA15" i="3"/>
  <c r="AA12" i="3"/>
  <c r="AA9" i="3"/>
  <c r="AA11" i="3"/>
  <c r="Z13" i="3"/>
  <c r="AB13" i="3" s="1"/>
  <c r="AA13" i="3"/>
  <c r="Z16" i="3"/>
  <c r="AB16" i="3" s="1"/>
  <c r="AA16" i="3"/>
  <c r="Z4" i="3"/>
  <c r="AB4" i="3" s="1"/>
  <c r="AA4" i="3"/>
  <c r="Z7" i="3"/>
  <c r="AB7" i="3" s="1"/>
  <c r="AA7" i="3"/>
  <c r="X15" i="3"/>
  <c r="Z15" i="3"/>
  <c r="AB15" i="3" s="1"/>
  <c r="Z10" i="3"/>
  <c r="AB10" i="3" s="1"/>
  <c r="W12" i="3"/>
  <c r="Y12" i="3" s="1"/>
  <c r="Z12" i="3"/>
  <c r="AB12" i="3" s="1"/>
  <c r="Z9" i="3"/>
  <c r="AB9" i="3" s="1"/>
  <c r="Z11" i="3"/>
  <c r="AB11" i="3" s="1"/>
  <c r="U16" i="3"/>
  <c r="V16" i="3" s="1"/>
  <c r="U12" i="3"/>
  <c r="V12" i="3" s="1"/>
  <c r="U15" i="3"/>
  <c r="V15" i="3" s="1"/>
  <c r="U13" i="3"/>
  <c r="V13" i="3" s="1"/>
  <c r="W16" i="3"/>
  <c r="Y16" i="3" s="1"/>
  <c r="X16" i="3"/>
  <c r="X12" i="3"/>
  <c r="W4" i="3"/>
  <c r="Y4" i="3" s="1"/>
  <c r="X4" i="3"/>
  <c r="U4" i="3"/>
  <c r="V4" i="3" s="1"/>
  <c r="W15" i="3"/>
  <c r="Y15" i="3" s="1"/>
  <c r="X13" i="3"/>
  <c r="W13" i="3"/>
  <c r="Y13" i="3" s="1"/>
  <c r="W9" i="3"/>
  <c r="Y9" i="3" s="1"/>
  <c r="X9" i="3"/>
  <c r="W10" i="3"/>
  <c r="Y10" i="3" s="1"/>
  <c r="X10" i="3"/>
  <c r="W7" i="3"/>
  <c r="Y7" i="3" s="1"/>
  <c r="X7" i="3"/>
  <c r="W11" i="3"/>
  <c r="Y11" i="3" s="1"/>
  <c r="X11" i="3"/>
  <c r="U10" i="3"/>
  <c r="V10" i="3" s="1"/>
  <c r="U7" i="3"/>
  <c r="V7" i="3" s="1"/>
  <c r="U9" i="3"/>
  <c r="V9" i="3" s="1"/>
  <c r="U11" i="3"/>
  <c r="V11" i="3" s="1"/>
  <c r="I16" i="12"/>
  <c r="J7" i="12"/>
  <c r="F11" i="12"/>
  <c r="J11" i="12" s="1"/>
  <c r="I11" i="12"/>
  <c r="I23" i="12"/>
  <c r="I19" i="12"/>
  <c r="I15" i="12"/>
  <c r="J27" i="12"/>
  <c r="H24" i="12"/>
  <c r="J24" i="12" s="1"/>
  <c r="J23" i="12"/>
  <c r="H20" i="12"/>
  <c r="J20" i="12" s="1"/>
  <c r="J19" i="12"/>
  <c r="H16" i="12"/>
  <c r="J16" i="12" s="1"/>
  <c r="J15" i="12"/>
  <c r="I12" i="12"/>
  <c r="I8" i="12"/>
  <c r="J5" i="12"/>
  <c r="I4" i="12"/>
  <c r="H22" i="12"/>
  <c r="J22" i="12" s="1"/>
  <c r="I22" i="12"/>
  <c r="H14" i="12"/>
  <c r="J14" i="12" s="1"/>
  <c r="I14" i="12"/>
  <c r="H30" i="12"/>
  <c r="J30" i="12" s="1"/>
  <c r="I30" i="12"/>
  <c r="J28" i="12"/>
  <c r="H26" i="12"/>
  <c r="J26" i="12" s="1"/>
  <c r="I26" i="12"/>
  <c r="H18" i="12"/>
  <c r="J18" i="12" s="1"/>
  <c r="I18" i="12"/>
  <c r="H10" i="12"/>
  <c r="J10" i="12" s="1"/>
  <c r="I10" i="12"/>
  <c r="H25" i="12"/>
  <c r="J25" i="12" s="1"/>
  <c r="I25" i="12"/>
  <c r="H21" i="12"/>
  <c r="J21" i="12" s="1"/>
  <c r="I21" i="12"/>
  <c r="H17" i="12"/>
  <c r="J17" i="12" s="1"/>
  <c r="I17" i="12"/>
  <c r="H13" i="12"/>
  <c r="J13" i="12" s="1"/>
  <c r="I13" i="12"/>
  <c r="H9" i="12"/>
  <c r="J9" i="12" s="1"/>
  <c r="I9" i="12"/>
  <c r="H29" i="12"/>
  <c r="J29" i="12" s="1"/>
  <c r="I29" i="12"/>
  <c r="H6" i="12"/>
  <c r="J6" i="12" s="1"/>
  <c r="I6" i="12"/>
  <c r="I27" i="12"/>
  <c r="I7" i="12"/>
  <c r="I31" i="12"/>
  <c r="I5" i="12"/>
  <c r="U5" i="1"/>
  <c r="AP5" i="1"/>
  <c r="W5" i="1"/>
  <c r="R5" i="1"/>
  <c r="S5" i="1"/>
  <c r="P5" i="1"/>
  <c r="N5" i="1"/>
  <c r="J5" i="1"/>
  <c r="K5" i="1"/>
  <c r="L5" i="1"/>
  <c r="V49" i="23" l="1"/>
  <c r="AP49" i="23"/>
  <c r="AG5" i="1"/>
  <c r="AO5" i="1"/>
  <c r="AN5" i="1"/>
  <c r="AM5" i="1"/>
  <c r="AL5" i="1"/>
  <c r="AK5" i="1"/>
  <c r="AJ5" i="1"/>
  <c r="AI5" i="1"/>
  <c r="AH5" i="1"/>
  <c r="AC16" i="1"/>
  <c r="AC18" i="1"/>
  <c r="L15" i="24" s="1"/>
  <c r="AF15" i="24" s="1"/>
  <c r="AC17" i="1"/>
  <c r="L13" i="24" s="1"/>
  <c r="AF13" i="24" s="1"/>
  <c r="AC13" i="1"/>
  <c r="AC10" i="1"/>
  <c r="L9" i="24" s="1"/>
  <c r="AF9" i="24" s="1"/>
  <c r="AC12" i="1"/>
  <c r="L10" i="24" s="1"/>
  <c r="AF10" i="24" s="1"/>
  <c r="AC11" i="1"/>
  <c r="L14" i="24" s="1"/>
  <c r="AF14" i="24" s="1"/>
  <c r="AF32" i="24" l="1"/>
  <c r="AF31" i="24"/>
  <c r="AF28" i="24"/>
  <c r="AF27" i="24"/>
  <c r="AF33" i="24"/>
  <c r="P14" i="3"/>
  <c r="R17" i="10"/>
  <c r="AI17" i="10" s="1"/>
  <c r="P10" i="3"/>
  <c r="R12" i="10"/>
  <c r="AI12" i="10" s="1"/>
  <c r="P17" i="3"/>
  <c r="R20" i="10"/>
  <c r="AI20" i="10" s="1"/>
  <c r="R9" i="10"/>
  <c r="AI9" i="10" s="1"/>
  <c r="P16" i="3"/>
  <c r="R19" i="10"/>
  <c r="AI19" i="10" s="1"/>
  <c r="R14" i="10"/>
  <c r="AI14" i="10" s="1"/>
  <c r="P11" i="3"/>
  <c r="R11" i="10"/>
  <c r="AI11" i="10" s="1"/>
  <c r="P9" i="3"/>
  <c r="P18" i="3"/>
  <c r="R21" i="10"/>
  <c r="AI21" i="10" s="1"/>
  <c r="P13" i="3"/>
  <c r="R16" i="10"/>
  <c r="AI16" i="10" s="1"/>
  <c r="R13" i="10"/>
  <c r="AI13" i="10" s="1"/>
  <c r="P8" i="3"/>
  <c r="R10" i="10"/>
  <c r="AI10" i="10" s="1"/>
  <c r="R18" i="10"/>
  <c r="AI18" i="10" s="1"/>
  <c r="P15" i="3"/>
  <c r="R15" i="10"/>
  <c r="AI15" i="10" s="1"/>
  <c r="P12" i="3"/>
  <c r="AI20" i="1"/>
  <c r="AI17" i="1"/>
  <c r="S12" i="3" l="1"/>
  <c r="CC12" i="3"/>
  <c r="AU12" i="3"/>
  <c r="BY12" i="3"/>
  <c r="CA12" i="3" s="1"/>
  <c r="BB12" i="3"/>
  <c r="BZ12" i="3"/>
  <c r="CB12" i="3"/>
  <c r="CD12" i="3" s="1"/>
  <c r="S15" i="3"/>
  <c r="S18" i="3"/>
  <c r="S9" i="3"/>
  <c r="CB9" i="3"/>
  <c r="CD9" i="3" s="1"/>
  <c r="BZ9" i="3"/>
  <c r="CC9" i="3"/>
  <c r="BB9" i="3"/>
  <c r="AU9" i="3"/>
  <c r="BY9" i="3"/>
  <c r="CA9" i="3" s="1"/>
  <c r="S8" i="3"/>
  <c r="BY17" i="3"/>
  <c r="CA17" i="3" s="1"/>
  <c r="BZ17" i="3"/>
  <c r="CC17" i="3"/>
  <c r="S17" i="3"/>
  <c r="CB17" i="3"/>
  <c r="CD17" i="3" s="1"/>
  <c r="BB17" i="3"/>
  <c r="AU17" i="3"/>
  <c r="S10" i="3"/>
  <c r="S11" i="3"/>
  <c r="S13" i="3"/>
  <c r="S16" i="3"/>
  <c r="CB16" i="3"/>
  <c r="CD16" i="3" s="1"/>
  <c r="BZ16" i="3"/>
  <c r="BY16" i="3"/>
  <c r="CA16" i="3" s="1"/>
  <c r="CC16" i="3"/>
  <c r="BB16" i="3"/>
  <c r="AU16" i="3"/>
  <c r="S14" i="3"/>
  <c r="AB16" i="1"/>
  <c r="AB18" i="1"/>
  <c r="K15" i="24" s="1"/>
  <c r="AE15" i="24" s="1"/>
  <c r="AB10" i="1"/>
  <c r="K9" i="24" s="1"/>
  <c r="AE9" i="24" s="1"/>
  <c r="AB12" i="1"/>
  <c r="K10" i="24" s="1"/>
  <c r="AE10" i="24" s="1"/>
  <c r="Q13" i="10" l="1"/>
  <c r="AH13" i="10" s="1"/>
  <c r="Q17" i="10"/>
  <c r="AH17" i="10" s="1"/>
  <c r="O14" i="3"/>
  <c r="Q9" i="10"/>
  <c r="AH9" i="10" s="1"/>
  <c r="Q14" i="10"/>
  <c r="AH14" i="10" s="1"/>
  <c r="O11" i="3"/>
  <c r="O18" i="3"/>
  <c r="Q21" i="10"/>
  <c r="AH21" i="10" s="1"/>
  <c r="Q10" i="10"/>
  <c r="AH10" i="10" s="1"/>
  <c r="O8" i="3"/>
  <c r="O13" i="3"/>
  <c r="Q16" i="10"/>
  <c r="AH16" i="10" s="1"/>
  <c r="O10" i="3"/>
  <c r="Q12" i="10"/>
  <c r="AH12" i="10" s="1"/>
  <c r="Q18" i="10"/>
  <c r="AH18" i="10" s="1"/>
  <c r="O15" i="3"/>
  <c r="N10" i="1"/>
  <c r="AP10" i="1"/>
  <c r="U10" i="1"/>
  <c r="W10" i="1"/>
  <c r="R10" i="1"/>
  <c r="S10" i="1"/>
  <c r="P10" i="1"/>
  <c r="J10" i="1"/>
  <c r="K10" i="1"/>
  <c r="L10" i="1"/>
  <c r="R11" i="3" l="1"/>
  <c r="AO11" i="3" s="1"/>
  <c r="BZ11" i="3"/>
  <c r="BL11" i="3"/>
  <c r="BM11" i="3"/>
  <c r="BG11" i="3"/>
  <c r="BR11" i="3"/>
  <c r="AT11" i="3"/>
  <c r="AV11" i="3" s="1"/>
  <c r="BV11" i="3"/>
  <c r="BH11" i="3"/>
  <c r="BA11" i="3"/>
  <c r="BC11" i="3" s="1"/>
  <c r="BY11" i="3"/>
  <c r="CA11" i="3" s="1"/>
  <c r="BW11" i="3"/>
  <c r="BQ11" i="3"/>
  <c r="AU11" i="3"/>
  <c r="CC11" i="3"/>
  <c r="CB11" i="3"/>
  <c r="CD11" i="3" s="1"/>
  <c r="BB11" i="3"/>
  <c r="R13" i="3"/>
  <c r="AO13" i="3" s="1"/>
  <c r="BZ13" i="3"/>
  <c r="BV13" i="3"/>
  <c r="BR13" i="3"/>
  <c r="BA13" i="3"/>
  <c r="BC13" i="3" s="1"/>
  <c r="BW13" i="3"/>
  <c r="BH13" i="3"/>
  <c r="BY13" i="3"/>
  <c r="CA13" i="3" s="1"/>
  <c r="BQ13" i="3"/>
  <c r="BL13" i="3"/>
  <c r="BM13" i="3"/>
  <c r="BG13" i="3"/>
  <c r="AT13" i="3"/>
  <c r="AV13" i="3" s="1"/>
  <c r="AU13" i="3"/>
  <c r="BB13" i="3"/>
  <c r="CC13" i="3"/>
  <c r="CB13" i="3"/>
  <c r="CD13" i="3" s="1"/>
  <c r="BY8" i="3"/>
  <c r="CA8" i="3" s="1"/>
  <c r="BG8" i="3"/>
  <c r="BL8" i="3"/>
  <c r="BW8" i="3"/>
  <c r="BQ8" i="3"/>
  <c r="AT8" i="3"/>
  <c r="AV8" i="3" s="1"/>
  <c r="R8" i="3"/>
  <c r="AO8" i="3" s="1"/>
  <c r="BZ8" i="3"/>
  <c r="BR8" i="3"/>
  <c r="BV8" i="3"/>
  <c r="BM8" i="3"/>
  <c r="BH8" i="3"/>
  <c r="BA8" i="3"/>
  <c r="BC8" i="3" s="1"/>
  <c r="CB8" i="3"/>
  <c r="CD8" i="3" s="1"/>
  <c r="BB8" i="3"/>
  <c r="CC8" i="3"/>
  <c r="AU8" i="3"/>
  <c r="R14" i="3"/>
  <c r="AO14" i="3" s="1"/>
  <c r="BZ14" i="3"/>
  <c r="BR14" i="3"/>
  <c r="BY14" i="3"/>
  <c r="CA14" i="3" s="1"/>
  <c r="BG14" i="3"/>
  <c r="BW14" i="3"/>
  <c r="BL14" i="3"/>
  <c r="BQ14" i="3"/>
  <c r="AT14" i="3"/>
  <c r="AV14" i="3" s="1"/>
  <c r="BV14" i="3"/>
  <c r="BM14" i="3"/>
  <c r="BH14" i="3"/>
  <c r="BA14" i="3"/>
  <c r="BC14" i="3" s="1"/>
  <c r="CB14" i="3"/>
  <c r="CD14" i="3" s="1"/>
  <c r="BB14" i="3"/>
  <c r="CC14" i="3"/>
  <c r="AU14" i="3"/>
  <c r="R10" i="3"/>
  <c r="AO10" i="3" s="1"/>
  <c r="BQ10" i="3"/>
  <c r="AT10" i="3"/>
  <c r="AV10" i="3" s="1"/>
  <c r="BH10" i="3"/>
  <c r="BA10" i="3"/>
  <c r="BC10" i="3" s="1"/>
  <c r="BL10" i="3"/>
  <c r="BG10" i="3"/>
  <c r="BZ10" i="3"/>
  <c r="BV10" i="3"/>
  <c r="BR10" i="3"/>
  <c r="BW10" i="3"/>
  <c r="BY10" i="3"/>
  <c r="CA10" i="3" s="1"/>
  <c r="BM10" i="3"/>
  <c r="AU10" i="3"/>
  <c r="CB10" i="3"/>
  <c r="CD10" i="3" s="1"/>
  <c r="BB10" i="3"/>
  <c r="CC10" i="3"/>
  <c r="AT18" i="3"/>
  <c r="AV18" i="3" s="1"/>
  <c r="BW18" i="3"/>
  <c r="BV18" i="3"/>
  <c r="BA18" i="3"/>
  <c r="BC18" i="3" s="1"/>
  <c r="BR18" i="3"/>
  <c r="BH18" i="3"/>
  <c r="BY18" i="3"/>
  <c r="CA18" i="3" s="1"/>
  <c r="BL18" i="3"/>
  <c r="BM18" i="3"/>
  <c r="BG18" i="3"/>
  <c r="R18" i="3"/>
  <c r="AO18" i="3" s="1"/>
  <c r="BZ18" i="3"/>
  <c r="BQ18" i="3"/>
  <c r="AU18" i="3"/>
  <c r="CC18" i="3"/>
  <c r="CB18" i="3"/>
  <c r="CD18" i="3" s="1"/>
  <c r="BB18" i="3"/>
  <c r="R15" i="3"/>
  <c r="AO15" i="3" s="1"/>
  <c r="BL15" i="3"/>
  <c r="BH15" i="3"/>
  <c r="BM15" i="3"/>
  <c r="BG15" i="3"/>
  <c r="AT15" i="3"/>
  <c r="AV15" i="3" s="1"/>
  <c r="BV15" i="3"/>
  <c r="BR15" i="3"/>
  <c r="BY15" i="3"/>
  <c r="CA15" i="3" s="1"/>
  <c r="BA15" i="3"/>
  <c r="BC15" i="3" s="1"/>
  <c r="BQ15" i="3"/>
  <c r="BZ15" i="3"/>
  <c r="BW15" i="3"/>
  <c r="CB15" i="3"/>
  <c r="CD15" i="3" s="1"/>
  <c r="CC15" i="3"/>
  <c r="BB15" i="3"/>
  <c r="AU15" i="3"/>
  <c r="AJ10" i="1"/>
  <c r="AI10" i="1"/>
  <c r="AN10" i="1"/>
  <c r="AM10" i="1"/>
  <c r="AL10" i="1"/>
  <c r="AO10" i="1"/>
  <c r="AH10" i="1"/>
  <c r="AG10" i="1"/>
  <c r="AK10" i="1"/>
  <c r="U11" i="1" l="1"/>
  <c r="AP11" i="1"/>
  <c r="W11" i="1"/>
  <c r="R11" i="1"/>
  <c r="S11" i="1"/>
  <c r="P11" i="1"/>
  <c r="N11" i="1"/>
  <c r="J11" i="1"/>
  <c r="K11" i="1"/>
  <c r="L11" i="1"/>
  <c r="AJ11" i="1" l="1"/>
  <c r="AI11" i="1"/>
  <c r="AN11" i="1"/>
  <c r="AM11" i="1"/>
  <c r="AL11" i="1"/>
  <c r="AO11" i="1"/>
  <c r="AH11" i="1"/>
  <c r="AG11" i="1"/>
  <c r="AK11" i="1"/>
  <c r="E6" i="10" l="1"/>
  <c r="AA6" i="10" s="1"/>
  <c r="H6" i="10"/>
  <c r="I6" i="10"/>
  <c r="J6" i="10"/>
  <c r="M6" i="10"/>
  <c r="AD6" i="10" s="1"/>
  <c r="N6" i="10"/>
  <c r="AE6" i="10" s="1"/>
  <c r="O6" i="10"/>
  <c r="AF6" i="10" s="1"/>
  <c r="P6" i="10"/>
  <c r="AG6" i="10" s="1"/>
  <c r="R6" i="10"/>
  <c r="AI6" i="10" s="1"/>
  <c r="S6" i="10"/>
  <c r="AJ6" i="10" s="1"/>
  <c r="L6" i="10" l="1"/>
  <c r="K6" i="10"/>
  <c r="AC6" i="10"/>
  <c r="Q6" i="10" l="1"/>
  <c r="AH6" i="10" s="1"/>
  <c r="AP18" i="1"/>
  <c r="W18" i="1"/>
  <c r="U18" i="1"/>
  <c r="S18" i="1"/>
  <c r="R18" i="1"/>
  <c r="P18" i="1"/>
  <c r="N18" i="1"/>
  <c r="L18" i="1"/>
  <c r="K18" i="1"/>
  <c r="J18" i="1"/>
  <c r="AP17" i="1"/>
  <c r="AO17" i="1"/>
  <c r="AN17" i="1"/>
  <c r="AM17" i="1"/>
  <c r="AK17" i="1"/>
  <c r="AJ17" i="1"/>
  <c r="AH17" i="1"/>
  <c r="AG17" i="1"/>
  <c r="AL17" i="1"/>
  <c r="W17" i="1"/>
  <c r="U17" i="1"/>
  <c r="S17" i="1"/>
  <c r="R17" i="1"/>
  <c r="P17" i="1"/>
  <c r="L17" i="1"/>
  <c r="K17" i="1"/>
  <c r="J17" i="1"/>
  <c r="AP15" i="1"/>
  <c r="W15" i="1"/>
  <c r="U15" i="1"/>
  <c r="S15" i="1"/>
  <c r="R15" i="1"/>
  <c r="P15" i="1"/>
  <c r="N15" i="1"/>
  <c r="L15" i="1"/>
  <c r="K15" i="1"/>
  <c r="J15" i="1"/>
  <c r="AP16" i="1"/>
  <c r="W16" i="1"/>
  <c r="U16" i="1"/>
  <c r="S16" i="1"/>
  <c r="R16" i="1"/>
  <c r="P16" i="1"/>
  <c r="N16" i="1"/>
  <c r="L16" i="1"/>
  <c r="K16" i="1"/>
  <c r="J16" i="1"/>
  <c r="AP13" i="1"/>
  <c r="W13" i="1"/>
  <c r="U13" i="1"/>
  <c r="S13" i="1"/>
  <c r="R13" i="1"/>
  <c r="P13" i="1"/>
  <c r="N13" i="1"/>
  <c r="L13" i="1"/>
  <c r="K13" i="1"/>
  <c r="J13" i="1"/>
  <c r="AP12" i="1"/>
  <c r="W12" i="1"/>
  <c r="U12" i="1"/>
  <c r="S12" i="1"/>
  <c r="R12" i="1"/>
  <c r="P12" i="1"/>
  <c r="N12" i="1"/>
  <c r="AI12" i="1" s="1"/>
  <c r="L12" i="1"/>
  <c r="K12" i="1"/>
  <c r="J12" i="1"/>
  <c r="AP20" i="1"/>
  <c r="AO20" i="1"/>
  <c r="AN20" i="1"/>
  <c r="AM20" i="1"/>
  <c r="AL20" i="1"/>
  <c r="AK20" i="1"/>
  <c r="AJ20" i="1"/>
  <c r="AH20" i="1"/>
  <c r="AG20" i="1"/>
  <c r="W20" i="1"/>
  <c r="U20" i="1"/>
  <c r="S20" i="1"/>
  <c r="R20" i="1"/>
  <c r="P20" i="1"/>
  <c r="L20" i="1"/>
  <c r="K20" i="1"/>
  <c r="J20" i="1"/>
  <c r="AP14" i="1"/>
  <c r="W14" i="1"/>
  <c r="U14" i="1"/>
  <c r="S14" i="1"/>
  <c r="R14" i="1"/>
  <c r="P14" i="1"/>
  <c r="N14" i="1"/>
  <c r="L14" i="1"/>
  <c r="K14" i="1"/>
  <c r="J14" i="1"/>
  <c r="AP9" i="1"/>
  <c r="W9" i="1"/>
  <c r="U9" i="1"/>
  <c r="S9" i="1"/>
  <c r="R9" i="1"/>
  <c r="P9" i="1"/>
  <c r="L9" i="1"/>
  <c r="K9" i="1"/>
  <c r="J9" i="1"/>
  <c r="AP22" i="1"/>
  <c r="S2" i="1" l="1"/>
  <c r="R2" i="1"/>
  <c r="U2" i="1"/>
  <c r="N2" i="1"/>
  <c r="AG9" i="1"/>
  <c r="AK9" i="1"/>
  <c r="AO9" i="1"/>
  <c r="AI9" i="1"/>
  <c r="AM9" i="1"/>
  <c r="AJ9" i="1"/>
  <c r="AN9" i="1"/>
  <c r="AH9" i="1"/>
  <c r="AL9" i="1"/>
  <c r="AL15" i="1"/>
  <c r="AI15" i="1"/>
  <c r="AJ14" i="1"/>
  <c r="AI14" i="1"/>
  <c r="AM13" i="1"/>
  <c r="AI13" i="1"/>
  <c r="AJ16" i="1"/>
  <c r="AI16" i="1"/>
  <c r="AL18" i="1"/>
  <c r="AI18" i="1"/>
  <c r="AN13" i="1"/>
  <c r="AN16" i="1"/>
  <c r="AN18" i="1"/>
  <c r="AN12" i="1"/>
  <c r="AN14" i="1"/>
  <c r="AK13" i="1"/>
  <c r="AM18" i="1"/>
  <c r="AO14" i="1"/>
  <c r="AO15" i="1"/>
  <c r="AH16" i="1"/>
  <c r="AM12" i="1"/>
  <c r="AL13" i="1"/>
  <c r="AH13" i="1"/>
  <c r="AO13" i="1"/>
  <c r="AK16" i="1"/>
  <c r="AK15" i="1"/>
  <c r="AJ18" i="1"/>
  <c r="AH15" i="1"/>
  <c r="AJ15" i="1"/>
  <c r="AH18" i="1"/>
  <c r="AO18" i="1"/>
  <c r="AH14" i="1"/>
  <c r="AJ12" i="1"/>
  <c r="AK14" i="1"/>
  <c r="AJ13" i="1"/>
  <c r="AO16" i="1"/>
  <c r="AN15" i="1"/>
  <c r="AM15" i="1"/>
  <c r="AK18" i="1"/>
  <c r="AG14" i="1"/>
  <c r="AL14" i="1"/>
  <c r="AK12" i="1"/>
  <c r="AO12" i="1"/>
  <c r="AG16" i="1"/>
  <c r="AL16" i="1"/>
  <c r="AM14" i="1"/>
  <c r="AG12" i="1"/>
  <c r="AL12" i="1"/>
  <c r="AM16" i="1"/>
  <c r="AH12" i="1"/>
  <c r="AG13" i="1"/>
  <c r="AG15" i="1"/>
  <c r="AG18" i="1"/>
  <c r="A6" i="10" l="1"/>
  <c r="B6" i="10"/>
  <c r="D6" i="10"/>
  <c r="A5" i="3"/>
  <c r="B5" i="3"/>
  <c r="E5" i="3"/>
  <c r="I5" i="3" s="1"/>
  <c r="CE5" i="3" s="1"/>
  <c r="F5" i="3"/>
  <c r="G5" i="3" s="1"/>
  <c r="J5" i="3"/>
  <c r="K5" i="3"/>
  <c r="L5" i="3"/>
  <c r="M5" i="3"/>
  <c r="N5" i="3"/>
  <c r="O5" i="3"/>
  <c r="P5" i="3"/>
  <c r="Q5" i="3"/>
  <c r="O3" i="12"/>
  <c r="S3" i="12"/>
  <c r="P3" i="12"/>
  <c r="O12" i="12"/>
  <c r="P12" i="12"/>
  <c r="O6" i="12"/>
  <c r="S6" i="12"/>
  <c r="P6" i="12"/>
  <c r="CB5" i="3" l="1"/>
  <c r="CD5" i="3" s="1"/>
  <c r="CC5" i="3"/>
  <c r="BZ5" i="3"/>
  <c r="BX5" i="3"/>
  <c r="BY5" i="3"/>
  <c r="CA5" i="3" s="1"/>
  <c r="BV5" i="3"/>
  <c r="BW5" i="3"/>
  <c r="BT5" i="3"/>
  <c r="BU5" i="3"/>
  <c r="BR5" i="3"/>
  <c r="BS5" i="3"/>
  <c r="BP5" i="3"/>
  <c r="BQ5" i="3"/>
  <c r="BN5" i="3"/>
  <c r="BO5" i="3"/>
  <c r="BL5" i="3"/>
  <c r="BM5" i="3"/>
  <c r="BJ5" i="3"/>
  <c r="BK5" i="3"/>
  <c r="BH5" i="3"/>
  <c r="BI5" i="3"/>
  <c r="BF5" i="3"/>
  <c r="BG5" i="3"/>
  <c r="BD5" i="3"/>
  <c r="BE5" i="3"/>
  <c r="BA5" i="3"/>
  <c r="BC5" i="3" s="1"/>
  <c r="BB5" i="3"/>
  <c r="AX5" i="3"/>
  <c r="AZ5" i="3"/>
  <c r="AU5" i="3"/>
  <c r="AW5" i="3"/>
  <c r="AY5" i="3" s="1"/>
  <c r="AS5" i="3"/>
  <c r="AT5" i="3"/>
  <c r="AV5" i="3" s="1"/>
  <c r="AP5" i="3"/>
  <c r="AR5" i="3" s="1"/>
  <c r="AQ5" i="3"/>
  <c r="AN5" i="3"/>
  <c r="AL5" i="3"/>
  <c r="AM5" i="3"/>
  <c r="AJ5" i="3"/>
  <c r="AK5" i="3"/>
  <c r="AH5" i="3"/>
  <c r="AI5" i="3"/>
  <c r="AE5" i="3"/>
  <c r="AG5" i="3"/>
  <c r="AC5" i="3"/>
  <c r="AD5" i="3"/>
  <c r="AF5" i="3" s="1"/>
  <c r="Z5" i="3"/>
  <c r="AB5" i="3" s="1"/>
  <c r="AA5" i="3"/>
  <c r="X5" i="3"/>
  <c r="U5" i="3"/>
  <c r="V5" i="3" s="1"/>
  <c r="W5" i="3"/>
  <c r="Y5" i="3" s="1"/>
  <c r="R5" i="3"/>
  <c r="AO5" i="3" s="1"/>
  <c r="S5" i="3"/>
  <c r="T5" i="3"/>
  <c r="Q12" i="12"/>
  <c r="H5" i="3"/>
  <c r="R3" i="12"/>
  <c r="R6" i="12"/>
  <c r="S12" i="12"/>
  <c r="Q6" i="12"/>
  <c r="R12" i="12"/>
  <c r="Q3" i="12"/>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H52" i="14"/>
  <c r="AB52" i="14" s="1"/>
  <c r="E52" i="14"/>
  <c r="D52" i="14"/>
  <c r="AH51" i="14"/>
  <c r="AB51" i="14"/>
  <c r="H51" i="14"/>
  <c r="E51" i="14"/>
  <c r="D51" i="14"/>
  <c r="C51" i="14"/>
  <c r="AH50" i="14"/>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F43" i="14"/>
  <c r="E43" i="14"/>
  <c r="D43" i="14"/>
  <c r="C43" i="14"/>
  <c r="B43" i="14"/>
  <c r="B61" i="14" s="1"/>
  <c r="F42" i="14"/>
  <c r="E42" i="14"/>
  <c r="D42" i="14"/>
  <c r="C42" i="14"/>
  <c r="B42" i="14"/>
  <c r="B60" i="14" s="1"/>
  <c r="AH41" i="14"/>
  <c r="N59" i="14" s="1"/>
  <c r="AB41" i="14"/>
  <c r="H59" i="14" s="1"/>
  <c r="AB59" i="14" s="1"/>
  <c r="E41" i="14"/>
  <c r="D41" i="14"/>
  <c r="D59" i="14" s="1"/>
  <c r="C41" i="14"/>
  <c r="C59" i="14" s="1"/>
  <c r="B41" i="14"/>
  <c r="B59"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E39" i="14"/>
  <c r="D39" i="14"/>
  <c r="D57" i="14" s="1"/>
  <c r="C39" i="14"/>
  <c r="C57" i="14" s="1"/>
  <c r="B39" i="14"/>
  <c r="B57" i="14" s="1"/>
  <c r="J38" i="14"/>
  <c r="AD38" i="14" s="1"/>
  <c r="J56" i="14" s="1"/>
  <c r="AD56" i="14" s="1"/>
  <c r="F38" i="14"/>
  <c r="E38" i="14"/>
  <c r="D38" i="14"/>
  <c r="B38" i="14"/>
  <c r="B56" i="14" s="1"/>
  <c r="F37" i="14"/>
  <c r="E37" i="14"/>
  <c r="D37" i="14"/>
  <c r="B37" i="14"/>
  <c r="B55"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N34" i="14"/>
  <c r="M34" i="14"/>
  <c r="AG34" i="14" s="1"/>
  <c r="M52" i="14" s="1"/>
  <c r="B34" i="14"/>
  <c r="B52" i="14" s="1"/>
  <c r="AR33" i="14"/>
  <c r="Z32" i="14" s="1"/>
  <c r="F50" i="14" s="1"/>
  <c r="Z50" i="14" s="1"/>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N33" i="14"/>
  <c r="B33" i="14"/>
  <c r="B51" i="14" s="1"/>
  <c r="AM32" i="14"/>
  <c r="S50" i="14" s="1"/>
  <c r="AM50" i="14" s="1"/>
  <c r="AL32" i="14"/>
  <c r="R50" i="14" s="1"/>
  <c r="AL50" i="14" s="1"/>
  <c r="AK32" i="14"/>
  <c r="Q50" i="14" s="1"/>
  <c r="AK50" i="14" s="1"/>
  <c r="AJ32" i="14"/>
  <c r="P50" i="14" s="1"/>
  <c r="AJ50" i="14" s="1"/>
  <c r="AH32" i="14"/>
  <c r="N50" i="14" s="1"/>
  <c r="AE32" i="14"/>
  <c r="K50" i="14" s="1"/>
  <c r="AE50" i="14" s="1"/>
  <c r="AD32" i="14"/>
  <c r="J50" i="14" s="1"/>
  <c r="AD50" i="14" s="1"/>
  <c r="AC32" i="14"/>
  <c r="I50" i="14" s="1"/>
  <c r="AC50" i="14" s="1"/>
  <c r="N32" i="14"/>
  <c r="M32" i="14"/>
  <c r="AG32" i="14" s="1"/>
  <c r="M50" i="14" s="1"/>
  <c r="B32" i="14"/>
  <c r="B50" i="14" s="1"/>
  <c r="AM31" i="14"/>
  <c r="S49" i="14" s="1"/>
  <c r="AM49" i="14" s="1"/>
  <c r="AL31" i="14"/>
  <c r="R49" i="14" s="1"/>
  <c r="AL49" i="14" s="1"/>
  <c r="AK31" i="14"/>
  <c r="Q49" i="14" s="1"/>
  <c r="AK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N29" i="14"/>
  <c r="B29" i="14"/>
  <c r="B47" i="14" s="1"/>
  <c r="Z28" i="14"/>
  <c r="Z46" i="14" s="1"/>
  <c r="Y28" i="14"/>
  <c r="Y46" i="14" s="1"/>
  <c r="F28" i="14"/>
  <c r="F46" i="14" s="1"/>
  <c r="E28" i="14"/>
  <c r="E46" i="14" s="1"/>
  <c r="D28" i="14"/>
  <c r="D46" i="14" s="1"/>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T43" i="14" s="1"/>
  <c r="AN43" i="14" s="1"/>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T59" i="14" s="1"/>
  <c r="AN59" i="14" s="1"/>
  <c r="AM23" i="14"/>
  <c r="S41" i="14" s="1"/>
  <c r="AM41" i="14" s="1"/>
  <c r="S59" i="14" s="1"/>
  <c r="AM59" i="14" s="1"/>
  <c r="AL23" i="14"/>
  <c r="R41" i="14" s="1"/>
  <c r="AL41" i="14" s="1"/>
  <c r="R59" i="14" s="1"/>
  <c r="AL59" i="14" s="1"/>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M40" i="14" s="1"/>
  <c r="S58" i="14" s="1"/>
  <c r="AM58" i="14" s="1"/>
  <c r="AL22" i="14"/>
  <c r="R40" i="14" s="1"/>
  <c r="AL40" i="14" s="1"/>
  <c r="R58" i="14" s="1"/>
  <c r="AL58" i="14" s="1"/>
  <c r="AK22" i="14"/>
  <c r="Q40" i="14" s="1"/>
  <c r="AK40" i="14" s="1"/>
  <c r="Q58" i="14" s="1"/>
  <c r="AK58" i="14" s="1"/>
  <c r="AJ22" i="14"/>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J39" i="14" s="1"/>
  <c r="AD39" i="14" s="1"/>
  <c r="J57" i="14" s="1"/>
  <c r="AD57" i="14" s="1"/>
  <c r="AC21" i="14"/>
  <c r="I39" i="14" s="1"/>
  <c r="AC39" i="14" s="1"/>
  <c r="I57" i="14" s="1"/>
  <c r="AC57" i="14" s="1"/>
  <c r="AB21" i="14"/>
  <c r="H39" i="14" s="1"/>
  <c r="AA21" i="14"/>
  <c r="G39" i="14" s="1"/>
  <c r="AA39" i="14" s="1"/>
  <c r="G57" i="14" s="1"/>
  <c r="AA57" i="14" s="1"/>
  <c r="V21" i="14"/>
  <c r="N21" i="14"/>
  <c r="N9" i="14" s="1"/>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R18" i="14"/>
  <c r="Z23" i="14" s="1"/>
  <c r="F41" i="14" s="1"/>
  <c r="Z41" i="14" s="1"/>
  <c r="F59" i="14" s="1"/>
  <c r="Z59" i="14" s="1"/>
  <c r="AO18" i="14"/>
  <c r="U36" i="14" s="1"/>
  <c r="AO36" i="14" s="1"/>
  <c r="U54" i="14" s="1"/>
  <c r="AO54"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O17" i="14"/>
  <c r="U35" i="14" s="1"/>
  <c r="AO35" i="14" s="1"/>
  <c r="U53" i="14" s="1"/>
  <c r="AO53" i="14" s="1"/>
  <c r="AN17" i="14"/>
  <c r="T35" i="14" s="1"/>
  <c r="AN35" i="14" s="1"/>
  <c r="T53" i="14" s="1"/>
  <c r="AN53" i="14" s="1"/>
  <c r="AM17" i="14"/>
  <c r="AL17" i="14"/>
  <c r="AK17" i="14"/>
  <c r="AJ17" i="14"/>
  <c r="AP17" i="14" s="1"/>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S18" i="14" s="1"/>
  <c r="AO16" i="14"/>
  <c r="U34" i="14" s="1"/>
  <c r="AO34" i="14" s="1"/>
  <c r="U52" i="14" s="1"/>
  <c r="AO52" i="14" s="1"/>
  <c r="AN16" i="14"/>
  <c r="T34" i="14" s="1"/>
  <c r="AN34" i="14" s="1"/>
  <c r="T52" i="14" s="1"/>
  <c r="AN52" i="14" s="1"/>
  <c r="AM16" i="14"/>
  <c r="AL16" i="14"/>
  <c r="AK16" i="14"/>
  <c r="AJ16" i="14"/>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T33" i="14" s="1"/>
  <c r="AN33" i="14" s="1"/>
  <c r="T51" i="14" s="1"/>
  <c r="AN51" i="14" s="1"/>
  <c r="AM15" i="14"/>
  <c r="AL15" i="14"/>
  <c r="AK15" i="14"/>
  <c r="AJ15" i="14"/>
  <c r="AI15" i="14"/>
  <c r="O33" i="14" s="1"/>
  <c r="AH15" i="14"/>
  <c r="AG15" i="14"/>
  <c r="M33" i="14" s="1"/>
  <c r="AG33" i="14" s="1"/>
  <c r="M51" i="14" s="1"/>
  <c r="AF15" i="14"/>
  <c r="L33" i="14" s="1"/>
  <c r="AF33" i="14" s="1"/>
  <c r="L51" i="14" s="1"/>
  <c r="AF51" i="14" s="1"/>
  <c r="AE15" i="14"/>
  <c r="AD15" i="14"/>
  <c r="AC15" i="14"/>
  <c r="AB15" i="14"/>
  <c r="AA15" i="14"/>
  <c r="G33" i="14" s="1"/>
  <c r="AA33" i="14" s="1"/>
  <c r="G51" i="14" s="1"/>
  <c r="AA51" i="14" s="1"/>
  <c r="V15" i="14"/>
  <c r="AO14" i="14"/>
  <c r="U32" i="14" s="1"/>
  <c r="AO32" i="14" s="1"/>
  <c r="U50" i="14" s="1"/>
  <c r="AO50" i="14" s="1"/>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S30" i="14" s="1"/>
  <c r="AM30" i="14" s="1"/>
  <c r="S48" i="14" s="1"/>
  <c r="AM48" i="14" s="1"/>
  <c r="AL12" i="14"/>
  <c r="R30" i="14" s="1"/>
  <c r="AL30" i="14" s="1"/>
  <c r="R48" i="14" s="1"/>
  <c r="AL48" i="14" s="1"/>
  <c r="AK12" i="14"/>
  <c r="Q30" i="14" s="1"/>
  <c r="AK30" i="14" s="1"/>
  <c r="Q48" i="14" s="1"/>
  <c r="AK48" i="14" s="1"/>
  <c r="AJ12" i="14"/>
  <c r="AI12" i="14"/>
  <c r="O30" i="14" s="1"/>
  <c r="AI30" i="14" s="1"/>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V12" i="14"/>
  <c r="AO11" i="14"/>
  <c r="U29" i="14" s="1"/>
  <c r="AO29" i="14" s="1"/>
  <c r="U47" i="14" s="1"/>
  <c r="AO47" i="14" s="1"/>
  <c r="AN11" i="14"/>
  <c r="T29" i="14" s="1"/>
  <c r="AN29" i="14" s="1"/>
  <c r="T47" i="14" s="1"/>
  <c r="AN47" i="14" s="1"/>
  <c r="AM11" i="14"/>
  <c r="S29" i="14" s="1"/>
  <c r="AM29" i="14" s="1"/>
  <c r="S47" i="14" s="1"/>
  <c r="AM47" i="14" s="1"/>
  <c r="AL11" i="14"/>
  <c r="R29" i="14" s="1"/>
  <c r="AL29" i="14" s="1"/>
  <c r="R47" i="14" s="1"/>
  <c r="AL47" i="14" s="1"/>
  <c r="AK11" i="14"/>
  <c r="Q29" i="14" s="1"/>
  <c r="AK29" i="14" s="1"/>
  <c r="Q47" i="14" s="1"/>
  <c r="AK47" i="14" s="1"/>
  <c r="AJ11" i="14"/>
  <c r="P29" i="14" s="1"/>
  <c r="AI11" i="14"/>
  <c r="AH11" i="14"/>
  <c r="AG11" i="14"/>
  <c r="M29" i="14" s="1"/>
  <c r="AG29" i="14" s="1"/>
  <c r="M47" i="14" s="1"/>
  <c r="AF11" i="14"/>
  <c r="L29" i="14" s="1"/>
  <c r="AF29" i="14" s="1"/>
  <c r="L47" i="14" s="1"/>
  <c r="AF47" i="14" s="1"/>
  <c r="AE11" i="14"/>
  <c r="K29" i="14" s="1"/>
  <c r="AE29" i="14" s="1"/>
  <c r="K47" i="14" s="1"/>
  <c r="AE47" i="14" s="1"/>
  <c r="AD11" i="14"/>
  <c r="J29" i="14" s="1"/>
  <c r="AD29" i="14" s="1"/>
  <c r="J47" i="14" s="1"/>
  <c r="AD47" i="14" s="1"/>
  <c r="AC11" i="14"/>
  <c r="I29" i="14" s="1"/>
  <c r="AC29" i="14" s="1"/>
  <c r="I47" i="14" s="1"/>
  <c r="AC47" i="14" s="1"/>
  <c r="AB11" i="14"/>
  <c r="H29" i="14" s="1"/>
  <c r="AA11" i="14"/>
  <c r="V11" i="14"/>
  <c r="AR3" i="14"/>
  <c r="AS3" i="14" s="1"/>
  <c r="AH9" i="14" l="1"/>
  <c r="Z33" i="14"/>
  <c r="F51" i="14" s="1"/>
  <c r="Z51" i="14" s="1"/>
  <c r="Z12" i="14"/>
  <c r="F30" i="14" s="1"/>
  <c r="Z30" i="14" s="1"/>
  <c r="F48" i="14" s="1"/>
  <c r="Z48" i="14" s="1"/>
  <c r="AP12" i="14"/>
  <c r="AP11" i="14"/>
  <c r="AP13" i="14"/>
  <c r="Z22" i="14"/>
  <c r="F40" i="14" s="1"/>
  <c r="Z40" i="14" s="1"/>
  <c r="F58" i="14" s="1"/>
  <c r="Z58" i="14" s="1"/>
  <c r="AP22" i="14"/>
  <c r="AP16" i="14"/>
  <c r="V38" i="14"/>
  <c r="AS33" i="14"/>
  <c r="AP14" i="14"/>
  <c r="AP26" i="14"/>
  <c r="AJ31" i="14"/>
  <c r="P49" i="14" s="1"/>
  <c r="AJ49" i="14" s="1"/>
  <c r="V29" i="14"/>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AI42" i="14"/>
  <c r="V42" i="14"/>
  <c r="AP25" i="14"/>
  <c r="AI47" i="14"/>
  <c r="Z35" i="14"/>
  <c r="F53" i="14" s="1"/>
  <c r="Z53" i="14" s="1"/>
  <c r="AJ34" i="14"/>
  <c r="P52" i="14" s="1"/>
  <c r="AJ52" i="14" s="1"/>
  <c r="V39" i="14"/>
  <c r="AI40" i="14"/>
  <c r="AH45" i="14"/>
  <c r="V40" i="14" l="1"/>
  <c r="V30" i="14"/>
  <c r="V31" i="14"/>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AM82" i="7"/>
  <c r="AL82" i="7"/>
  <c r="AI82" i="7"/>
  <c r="AF82" i="7"/>
  <c r="AD82" i="7"/>
  <c r="AA82" i="7"/>
  <c r="M82" i="7"/>
  <c r="AM81" i="7"/>
  <c r="AL81" i="7"/>
  <c r="AI81" i="7"/>
  <c r="AF81" i="7"/>
  <c r="AD81" i="7"/>
  <c r="AA81" i="7"/>
  <c r="M81" i="7"/>
  <c r="AF80" i="7"/>
  <c r="AF79" i="7"/>
  <c r="AE79" i="7"/>
  <c r="AE80" i="7" s="1"/>
  <c r="AF78" i="7"/>
  <c r="AF77" i="7"/>
  <c r="AF76" i="7"/>
  <c r="AQ75" i="7"/>
  <c r="AQ76" i="7" s="1"/>
  <c r="X69" i="7" s="1"/>
  <c r="AF75" i="7"/>
  <c r="AF74" i="7"/>
  <c r="G74" i="7"/>
  <c r="Z74" i="7" s="1"/>
  <c r="C74" i="7"/>
  <c r="B74" i="7"/>
  <c r="AF73" i="7"/>
  <c r="G73" i="7"/>
  <c r="Z73" i="7" s="1"/>
  <c r="C73" i="7"/>
  <c r="B73" i="7"/>
  <c r="AF72" i="7"/>
  <c r="G72" i="7"/>
  <c r="Z72" i="7" s="1"/>
  <c r="C72" i="7"/>
  <c r="B72" i="7"/>
  <c r="AF71" i="7"/>
  <c r="G71" i="7"/>
  <c r="Z71" i="7" s="1"/>
  <c r="C71" i="7"/>
  <c r="B71" i="7"/>
  <c r="AL70" i="7"/>
  <c r="AI70" i="7"/>
  <c r="AH70" i="7"/>
  <c r="AF70" i="7"/>
  <c r="AD70" i="7"/>
  <c r="AA70" i="7"/>
  <c r="Z70" i="7"/>
  <c r="W70" i="7"/>
  <c r="M70" i="7"/>
  <c r="AL69" i="7"/>
  <c r="AI69" i="7"/>
  <c r="AH69" i="7"/>
  <c r="AF69" i="7"/>
  <c r="AD69" i="7"/>
  <c r="AA69" i="7"/>
  <c r="Z69" i="7"/>
  <c r="W69" i="7"/>
  <c r="M69" i="7"/>
  <c r="AL68" i="7"/>
  <c r="AI68" i="7"/>
  <c r="AH68" i="7"/>
  <c r="AF68" i="7"/>
  <c r="AD68" i="7"/>
  <c r="AA68" i="7"/>
  <c r="Z68" i="7"/>
  <c r="W68" i="7"/>
  <c r="M68" i="7"/>
  <c r="AM67" i="7"/>
  <c r="AH67" i="7"/>
  <c r="AG67" i="7"/>
  <c r="AF67" i="7"/>
  <c r="AE67" i="7"/>
  <c r="AE81" i="7" s="1"/>
  <c r="AE82" i="7" s="1"/>
  <c r="Z67" i="7"/>
  <c r="Y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Z60" i="7"/>
  <c r="G78" i="7" s="1"/>
  <c r="Z78" i="7" s="1"/>
  <c r="H60" i="7"/>
  <c r="AA60" i="7" s="1"/>
  <c r="H78" i="7" s="1"/>
  <c r="AA78" i="7" s="1"/>
  <c r="AF59" i="7"/>
  <c r="M77" i="7" s="1"/>
  <c r="Z59" i="7"/>
  <c r="G77" i="7" s="1"/>
  <c r="Z77" i="7" s="1"/>
  <c r="S59" i="7"/>
  <c r="AL59" i="7" s="1"/>
  <c r="S77" i="7" s="1"/>
  <c r="AL77" i="7" s="1"/>
  <c r="P59" i="7"/>
  <c r="AI59" i="7" s="1"/>
  <c r="P77" i="7" s="1"/>
  <c r="AI77" i="7" s="1"/>
  <c r="K59" i="7"/>
  <c r="AD59" i="7" s="1"/>
  <c r="K77" i="7" s="1"/>
  <c r="AD77" i="7" s="1"/>
  <c r="H59" i="7"/>
  <c r="AA59" i="7" s="1"/>
  <c r="H77" i="7" s="1"/>
  <c r="AA77" i="7" s="1"/>
  <c r="C59" i="7"/>
  <c r="C77" i="7" s="1"/>
  <c r="B59" i="7"/>
  <c r="B77" i="7" s="1"/>
  <c r="AF58" i="7"/>
  <c r="M76" i="7" s="1"/>
  <c r="AA58" i="7"/>
  <c r="H76" i="7" s="1"/>
  <c r="AA76" i="7" s="1"/>
  <c r="Z58" i="7"/>
  <c r="G76" i="7" s="1"/>
  <c r="Z76" i="7" s="1"/>
  <c r="S58" i="7"/>
  <c r="AL58" i="7" s="1"/>
  <c r="S76" i="7" s="1"/>
  <c r="AL76" i="7" s="1"/>
  <c r="P58" i="7"/>
  <c r="AI58" i="7" s="1"/>
  <c r="P76" i="7" s="1"/>
  <c r="AI76" i="7" s="1"/>
  <c r="K58" i="7"/>
  <c r="AD58" i="7" s="1"/>
  <c r="K76" i="7" s="1"/>
  <c r="AD76" i="7" s="1"/>
  <c r="H58" i="7"/>
  <c r="C58" i="7"/>
  <c r="C76" i="7" s="1"/>
  <c r="B58" i="7"/>
  <c r="B76" i="7" s="1"/>
  <c r="AL57" i="7"/>
  <c r="S75" i="7" s="1"/>
  <c r="AL75" i="7" s="1"/>
  <c r="AF57" i="7"/>
  <c r="M75" i="7" s="1"/>
  <c r="Z57" i="7"/>
  <c r="G75" i="7" s="1"/>
  <c r="Z75" i="7" s="1"/>
  <c r="S57" i="7"/>
  <c r="P57" i="7"/>
  <c r="AI57" i="7" s="1"/>
  <c r="P75" i="7" s="1"/>
  <c r="AI75" i="7" s="1"/>
  <c r="K57" i="7"/>
  <c r="AD57" i="7" s="1"/>
  <c r="K75" i="7" s="1"/>
  <c r="AD75" i="7" s="1"/>
  <c r="H57" i="7"/>
  <c r="AA57" i="7" s="1"/>
  <c r="H75" i="7" s="1"/>
  <c r="AA75" i="7" s="1"/>
  <c r="C57" i="7"/>
  <c r="C75" i="7" s="1"/>
  <c r="B57" i="7"/>
  <c r="B75" i="7" s="1"/>
  <c r="AL56" i="7"/>
  <c r="S74" i="7" s="1"/>
  <c r="AL74" i="7" s="1"/>
  <c r="AI56" i="7"/>
  <c r="P74" i="7" s="1"/>
  <c r="AI74" i="7" s="1"/>
  <c r="AH56" i="7"/>
  <c r="O74" i="7" s="1"/>
  <c r="AH74" i="7" s="1"/>
  <c r="AF56" i="7"/>
  <c r="M74" i="7" s="1"/>
  <c r="AD56" i="7"/>
  <c r="K74" i="7" s="1"/>
  <c r="AD74" i="7" s="1"/>
  <c r="AA56" i="7"/>
  <c r="H74" i="7" s="1"/>
  <c r="AA74" i="7" s="1"/>
  <c r="W56" i="7"/>
  <c r="D74" i="7" s="1"/>
  <c r="W74" i="7" s="1"/>
  <c r="M56" i="7"/>
  <c r="AQ55" i="7"/>
  <c r="AQ56" i="7" s="1"/>
  <c r="AL55" i="7"/>
  <c r="S73" i="7" s="1"/>
  <c r="AL73" i="7" s="1"/>
  <c r="AI55" i="7"/>
  <c r="P73" i="7" s="1"/>
  <c r="AI73" i="7" s="1"/>
  <c r="AH55" i="7"/>
  <c r="O73" i="7" s="1"/>
  <c r="AH73" i="7" s="1"/>
  <c r="AF55" i="7"/>
  <c r="AD55" i="7"/>
  <c r="K73" i="7" s="1"/>
  <c r="AD73" i="7" s="1"/>
  <c r="AA55" i="7"/>
  <c r="H73" i="7" s="1"/>
  <c r="AA73" i="7" s="1"/>
  <c r="W55" i="7"/>
  <c r="D73" i="7" s="1"/>
  <c r="W73" i="7" s="1"/>
  <c r="M55" i="7"/>
  <c r="AL54" i="7"/>
  <c r="S72" i="7" s="1"/>
  <c r="AL72" i="7" s="1"/>
  <c r="AI54" i="7"/>
  <c r="P72" i="7" s="1"/>
  <c r="AI72" i="7" s="1"/>
  <c r="AH54" i="7"/>
  <c r="O72" i="7" s="1"/>
  <c r="AH72" i="7" s="1"/>
  <c r="AF54" i="7"/>
  <c r="M72" i="7" s="1"/>
  <c r="AD54" i="7"/>
  <c r="K72" i="7" s="1"/>
  <c r="AD72" i="7" s="1"/>
  <c r="AA54" i="7"/>
  <c r="H72" i="7" s="1"/>
  <c r="AA72" i="7" s="1"/>
  <c r="W54" i="7"/>
  <c r="D72" i="7" s="1"/>
  <c r="W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46" i="7"/>
  <c r="T64" i="7" s="1"/>
  <c r="AM64" i="7" s="1"/>
  <c r="AK46" i="7"/>
  <c r="R64" i="7" s="1"/>
  <c r="AK64" i="7" s="1"/>
  <c r="R82" i="7" s="1"/>
  <c r="AK82" i="7" s="1"/>
  <c r="AI46" i="7"/>
  <c r="P64" i="7" s="1"/>
  <c r="AI64" i="7" s="1"/>
  <c r="T46" i="7"/>
  <c r="S46" i="7"/>
  <c r="AL46" i="7" s="1"/>
  <c r="S64" i="7" s="1"/>
  <c r="AL64" i="7" s="1"/>
  <c r="R46" i="7"/>
  <c r="Q46" i="7"/>
  <c r="AJ46" i="7" s="1"/>
  <c r="Q64" i="7" s="1"/>
  <c r="AJ64" i="7" s="1"/>
  <c r="Q82" i="7" s="1"/>
  <c r="AJ82" i="7" s="1"/>
  <c r="P46" i="7"/>
  <c r="O46" i="7"/>
  <c r="AH46" i="7" s="1"/>
  <c r="O64" i="7" s="1"/>
  <c r="AH64" i="7" s="1"/>
  <c r="O82" i="7" s="1"/>
  <c r="AH82" i="7" s="1"/>
  <c r="N46" i="7"/>
  <c r="AG46" i="7" s="1"/>
  <c r="N64" i="7" s="1"/>
  <c r="AG64" i="7" s="1"/>
  <c r="T45" i="7"/>
  <c r="AM45" i="7" s="1"/>
  <c r="T63" i="7" s="1"/>
  <c r="AM63" i="7" s="1"/>
  <c r="S45" i="7"/>
  <c r="AL45" i="7" s="1"/>
  <c r="S63" i="7" s="1"/>
  <c r="AL63" i="7" s="1"/>
  <c r="R45" i="7"/>
  <c r="AK45" i="7" s="1"/>
  <c r="R63" i="7" s="1"/>
  <c r="AK63" i="7" s="1"/>
  <c r="R81" i="7" s="1"/>
  <c r="AK81" i="7" s="1"/>
  <c r="Q45" i="7"/>
  <c r="AJ45" i="7" s="1"/>
  <c r="Q63" i="7" s="1"/>
  <c r="AJ63" i="7" s="1"/>
  <c r="Q81" i="7" s="1"/>
  <c r="AJ81" i="7" s="1"/>
  <c r="P45" i="7"/>
  <c r="AI45" i="7" s="1"/>
  <c r="P63" i="7" s="1"/>
  <c r="AI63" i="7" s="1"/>
  <c r="O45" i="7"/>
  <c r="AH45" i="7" s="1"/>
  <c r="O63" i="7" s="1"/>
  <c r="AH63" i="7" s="1"/>
  <c r="O81" i="7" s="1"/>
  <c r="AH81" i="7" s="1"/>
  <c r="N45" i="7"/>
  <c r="AG45" i="7" s="1"/>
  <c r="N63" i="7" s="1"/>
  <c r="AL44" i="7"/>
  <c r="S62" i="7" s="1"/>
  <c r="AL62" i="7" s="1"/>
  <c r="S80" i="7" s="1"/>
  <c r="AL80" i="7" s="1"/>
  <c r="AF44" i="7"/>
  <c r="M62" i="7" s="1"/>
  <c r="AA44" i="7"/>
  <c r="H62" i="7" s="1"/>
  <c r="AA62" i="7" s="1"/>
  <c r="H80" i="7" s="1"/>
  <c r="AA80" i="7" s="1"/>
  <c r="J44" i="7"/>
  <c r="AC44" i="7" s="1"/>
  <c r="J62" i="7" s="1"/>
  <c r="AC62" i="7" s="1"/>
  <c r="J80" i="7" s="1"/>
  <c r="AC80" i="7" s="1"/>
  <c r="C44" i="7"/>
  <c r="C62" i="7" s="1"/>
  <c r="C80" i="7" s="1"/>
  <c r="B44" i="7"/>
  <c r="B62" i="7" s="1"/>
  <c r="B80" i="7" s="1"/>
  <c r="AF43" i="7"/>
  <c r="M61"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I42" i="7"/>
  <c r="AB42" i="7" s="1"/>
  <c r="I60" i="7" s="1"/>
  <c r="AB60" i="7" s="1"/>
  <c r="I78" i="7" s="1"/>
  <c r="AB78" i="7" s="1"/>
  <c r="C42" i="7"/>
  <c r="C60" i="7" s="1"/>
  <c r="C78" i="7" s="1"/>
  <c r="B42" i="7"/>
  <c r="B60" i="7" s="1"/>
  <c r="B78" i="7" s="1"/>
  <c r="AH41" i="7"/>
  <c r="O59" i="7" s="1"/>
  <c r="AH59" i="7" s="1"/>
  <c r="O77" i="7" s="1"/>
  <c r="AH77" i="7" s="1"/>
  <c r="Z41" i="7"/>
  <c r="G59" i="7" s="1"/>
  <c r="W41" i="7"/>
  <c r="D59" i="7" s="1"/>
  <c r="W59" i="7" s="1"/>
  <c r="D77" i="7" s="1"/>
  <c r="W77" i="7" s="1"/>
  <c r="T41" i="7"/>
  <c r="AM41" i="7" s="1"/>
  <c r="T59" i="7" s="1"/>
  <c r="AM59" i="7" s="1"/>
  <c r="T77" i="7" s="1"/>
  <c r="AM77" i="7" s="1"/>
  <c r="S41" i="7"/>
  <c r="R41" i="7"/>
  <c r="AK41" i="7" s="1"/>
  <c r="R59" i="7" s="1"/>
  <c r="AK59" i="7" s="1"/>
  <c r="R77" i="7" s="1"/>
  <c r="AK77" i="7" s="1"/>
  <c r="Q41" i="7"/>
  <c r="N41" i="7"/>
  <c r="AG41" i="7" s="1"/>
  <c r="N59" i="7" s="1"/>
  <c r="AG59" i="7" s="1"/>
  <c r="M41" i="7"/>
  <c r="AH40" i="7"/>
  <c r="O58" i="7" s="1"/>
  <c r="AH58" i="7" s="1"/>
  <c r="O76" i="7" s="1"/>
  <c r="AH76" i="7" s="1"/>
  <c r="Z40" i="7"/>
  <c r="G58" i="7" s="1"/>
  <c r="W40" i="7"/>
  <c r="D58" i="7" s="1"/>
  <c r="W58" i="7" s="1"/>
  <c r="D76" i="7" s="1"/>
  <c r="W76" i="7" s="1"/>
  <c r="T40" i="7"/>
  <c r="AM40" i="7" s="1"/>
  <c r="T58" i="7" s="1"/>
  <c r="AM58" i="7" s="1"/>
  <c r="T76" i="7" s="1"/>
  <c r="AM76" i="7" s="1"/>
  <c r="S40" i="7"/>
  <c r="R40" i="7"/>
  <c r="AK40" i="7" s="1"/>
  <c r="R58" i="7" s="1"/>
  <c r="AK58" i="7" s="1"/>
  <c r="R76" i="7" s="1"/>
  <c r="AK76" i="7" s="1"/>
  <c r="Q40" i="7"/>
  <c r="N40" i="7"/>
  <c r="AG40" i="7" s="1"/>
  <c r="N58" i="7" s="1"/>
  <c r="M40" i="7"/>
  <c r="AH39" i="7"/>
  <c r="O57" i="7" s="1"/>
  <c r="AH57" i="7" s="1"/>
  <c r="O75" i="7" s="1"/>
  <c r="AH75" i="7" s="1"/>
  <c r="AF39" i="7"/>
  <c r="M57" i="7" s="1"/>
  <c r="Z39" i="7"/>
  <c r="G57" i="7" s="1"/>
  <c r="W39" i="7"/>
  <c r="D57" i="7" s="1"/>
  <c r="W57" i="7" s="1"/>
  <c r="D75" i="7" s="1"/>
  <c r="W75" i="7" s="1"/>
  <c r="T39" i="7"/>
  <c r="AM39" i="7" s="1"/>
  <c r="T57" i="7" s="1"/>
  <c r="AM57" i="7" s="1"/>
  <c r="T75" i="7" s="1"/>
  <c r="AM75" i="7" s="1"/>
  <c r="S39" i="7"/>
  <c r="R39" i="7"/>
  <c r="AK39" i="7" s="1"/>
  <c r="R57" i="7" s="1"/>
  <c r="AK57" i="7" s="1"/>
  <c r="R75" i="7" s="1"/>
  <c r="AK75" i="7" s="1"/>
  <c r="Q39" i="7"/>
  <c r="N39" i="7"/>
  <c r="AG39" i="7" s="1"/>
  <c r="N57" i="7" s="1"/>
  <c r="AG57" i="7" s="1"/>
  <c r="M39" i="7"/>
  <c r="AS38" i="7"/>
  <c r="AQ38" i="7"/>
  <c r="AT38" i="7" s="1"/>
  <c r="AT39" i="7" s="1"/>
  <c r="AT40" i="7" s="1"/>
  <c r="AT41" i="7" s="1"/>
  <c r="AI38" i="7"/>
  <c r="T38" i="7"/>
  <c r="AM38" i="7" s="1"/>
  <c r="T56" i="7" s="1"/>
  <c r="AM56" i="7" s="1"/>
  <c r="T74" i="7" s="1"/>
  <c r="AM74" i="7" s="1"/>
  <c r="S38" i="7"/>
  <c r="AL38" i="7" s="1"/>
  <c r="R38" i="7"/>
  <c r="AK38" i="7" s="1"/>
  <c r="R56" i="7" s="1"/>
  <c r="AK56" i="7" s="1"/>
  <c r="R74" i="7" s="1"/>
  <c r="AK74" i="7" s="1"/>
  <c r="Q38" i="7"/>
  <c r="AJ38" i="7" s="1"/>
  <c r="Q56" i="7" s="1"/>
  <c r="AJ56" i="7" s="1"/>
  <c r="Q74" i="7" s="1"/>
  <c r="AJ74" i="7" s="1"/>
  <c r="P38" i="7"/>
  <c r="O38" i="7"/>
  <c r="AH38" i="7" s="1"/>
  <c r="N38" i="7"/>
  <c r="AG38" i="7" s="1"/>
  <c r="N56" i="7" s="1"/>
  <c r="T37" i="7"/>
  <c r="AM37" i="7" s="1"/>
  <c r="T55" i="7" s="1"/>
  <c r="AM55" i="7" s="1"/>
  <c r="T73" i="7" s="1"/>
  <c r="AM73" i="7" s="1"/>
  <c r="S37" i="7"/>
  <c r="AL37" i="7" s="1"/>
  <c r="R37" i="7"/>
  <c r="AK37" i="7" s="1"/>
  <c r="R55" i="7" s="1"/>
  <c r="AK55" i="7" s="1"/>
  <c r="R73" i="7" s="1"/>
  <c r="AK73" i="7" s="1"/>
  <c r="Q37" i="7"/>
  <c r="AJ37" i="7" s="1"/>
  <c r="Q55" i="7" s="1"/>
  <c r="AJ55" i="7" s="1"/>
  <c r="Q73" i="7" s="1"/>
  <c r="AJ73" i="7" s="1"/>
  <c r="P37" i="7"/>
  <c r="AI37" i="7" s="1"/>
  <c r="O37" i="7"/>
  <c r="AH37" i="7" s="1"/>
  <c r="N37" i="7"/>
  <c r="AG37" i="7" s="1"/>
  <c r="N55" i="7" s="1"/>
  <c r="AK36" i="7"/>
  <c r="R54" i="7" s="1"/>
  <c r="AK54" i="7" s="1"/>
  <c r="R72" i="7" s="1"/>
  <c r="AK72" i="7" s="1"/>
  <c r="T36" i="7"/>
  <c r="AM36" i="7" s="1"/>
  <c r="T54" i="7" s="1"/>
  <c r="AM54" i="7" s="1"/>
  <c r="T72" i="7" s="1"/>
  <c r="AM72" i="7" s="1"/>
  <c r="S36" i="7"/>
  <c r="AL36" i="7" s="1"/>
  <c r="R36" i="7"/>
  <c r="Q36" i="7"/>
  <c r="AJ36" i="7" s="1"/>
  <c r="Q54" i="7" s="1"/>
  <c r="AJ54" i="7" s="1"/>
  <c r="Q72" i="7" s="1"/>
  <c r="AJ72" i="7" s="1"/>
  <c r="P36" i="7"/>
  <c r="AI36" i="7" s="1"/>
  <c r="O36" i="7"/>
  <c r="AH36" i="7" s="1"/>
  <c r="N36" i="7"/>
  <c r="AG36" i="7" s="1"/>
  <c r="T35" i="7"/>
  <c r="AM35" i="7" s="1"/>
  <c r="T53" i="7" s="1"/>
  <c r="AM53" i="7" s="1"/>
  <c r="T71" i="7" s="1"/>
  <c r="AM71" i="7" s="1"/>
  <c r="S35" i="7"/>
  <c r="AL35" i="7" s="1"/>
  <c r="R35" i="7"/>
  <c r="AK35" i="7" s="1"/>
  <c r="R53" i="7" s="1"/>
  <c r="AK53" i="7" s="1"/>
  <c r="R71" i="7" s="1"/>
  <c r="AK71" i="7" s="1"/>
  <c r="Q35" i="7"/>
  <c r="AJ35" i="7" s="1"/>
  <c r="Q53" i="7" s="1"/>
  <c r="AJ53" i="7" s="1"/>
  <c r="Q71" i="7" s="1"/>
  <c r="AJ71" i="7" s="1"/>
  <c r="P35" i="7"/>
  <c r="AI35" i="7" s="1"/>
  <c r="O35" i="7"/>
  <c r="AH35" i="7" s="1"/>
  <c r="N35" i="7"/>
  <c r="AG35" i="7" s="1"/>
  <c r="N53" i="7" s="1"/>
  <c r="T34" i="7"/>
  <c r="AM34" i="7" s="1"/>
  <c r="T52" i="7" s="1"/>
  <c r="AM52" i="7" s="1"/>
  <c r="T70" i="7" s="1"/>
  <c r="AM70" i="7" s="1"/>
  <c r="S34" i="7"/>
  <c r="AL34" i="7" s="1"/>
  <c r="S52" i="7" s="1"/>
  <c r="AL52" i="7" s="1"/>
  <c r="R34" i="7"/>
  <c r="AK34" i="7" s="1"/>
  <c r="R52" i="7" s="1"/>
  <c r="AK52" i="7" s="1"/>
  <c r="R70" i="7" s="1"/>
  <c r="AK70" i="7" s="1"/>
  <c r="Q34" i="7"/>
  <c r="AJ34" i="7" s="1"/>
  <c r="Q52" i="7" s="1"/>
  <c r="AJ52" i="7" s="1"/>
  <c r="Q70" i="7" s="1"/>
  <c r="AJ70" i="7" s="1"/>
  <c r="P34" i="7"/>
  <c r="AI34" i="7" s="1"/>
  <c r="P52" i="7" s="1"/>
  <c r="AI52" i="7" s="1"/>
  <c r="O34" i="7"/>
  <c r="AH34" i="7" s="1"/>
  <c r="O52" i="7" s="1"/>
  <c r="AH52" i="7" s="1"/>
  <c r="N34" i="7"/>
  <c r="AG34" i="7" s="1"/>
  <c r="N52" i="7" s="1"/>
  <c r="T33" i="7"/>
  <c r="AM33" i="7" s="1"/>
  <c r="T51" i="7" s="1"/>
  <c r="AM51" i="7" s="1"/>
  <c r="T69" i="7" s="1"/>
  <c r="AM69" i="7" s="1"/>
  <c r="S33" i="7"/>
  <c r="AL33" i="7" s="1"/>
  <c r="S51" i="7" s="1"/>
  <c r="AL51" i="7" s="1"/>
  <c r="R33" i="7"/>
  <c r="AK33" i="7" s="1"/>
  <c r="R51" i="7" s="1"/>
  <c r="AK51" i="7" s="1"/>
  <c r="R69" i="7" s="1"/>
  <c r="AK69" i="7" s="1"/>
  <c r="Q33" i="7"/>
  <c r="AJ33" i="7" s="1"/>
  <c r="Q51" i="7" s="1"/>
  <c r="AJ51" i="7" s="1"/>
  <c r="Q69" i="7" s="1"/>
  <c r="AJ69" i="7" s="1"/>
  <c r="P33" i="7"/>
  <c r="AI33" i="7" s="1"/>
  <c r="P51" i="7" s="1"/>
  <c r="AI51" i="7" s="1"/>
  <c r="O33" i="7"/>
  <c r="AH33" i="7" s="1"/>
  <c r="O51" i="7" s="1"/>
  <c r="AH51" i="7" s="1"/>
  <c r="N33" i="7"/>
  <c r="AG33" i="7" s="1"/>
  <c r="N51" i="7" s="1"/>
  <c r="AG32" i="7"/>
  <c r="T32" i="7"/>
  <c r="AM32" i="7" s="1"/>
  <c r="T50" i="7" s="1"/>
  <c r="AM50" i="7" s="1"/>
  <c r="T68" i="7" s="1"/>
  <c r="AM68" i="7" s="1"/>
  <c r="S32" i="7"/>
  <c r="AL32" i="7" s="1"/>
  <c r="S50" i="7" s="1"/>
  <c r="AL50" i="7" s="1"/>
  <c r="R32" i="7"/>
  <c r="AK32" i="7" s="1"/>
  <c r="R50" i="7" s="1"/>
  <c r="AK50" i="7" s="1"/>
  <c r="R68" i="7" s="1"/>
  <c r="AK68" i="7" s="1"/>
  <c r="Q32" i="7"/>
  <c r="AJ32" i="7" s="1"/>
  <c r="Q50" i="7" s="1"/>
  <c r="AJ50" i="7" s="1"/>
  <c r="Q68" i="7" s="1"/>
  <c r="AJ68" i="7" s="1"/>
  <c r="P32" i="7"/>
  <c r="AI32" i="7" s="1"/>
  <c r="P50" i="7" s="1"/>
  <c r="AI50" i="7" s="1"/>
  <c r="O32" i="7"/>
  <c r="AH32" i="7" s="1"/>
  <c r="O50" i="7" s="1"/>
  <c r="AH50" i="7" s="1"/>
  <c r="N32" i="7"/>
  <c r="L32" i="7"/>
  <c r="AE32" i="7" s="1"/>
  <c r="L50" i="7" s="1"/>
  <c r="AE50" i="7" s="1"/>
  <c r="L68" i="7" s="1"/>
  <c r="AK31" i="7"/>
  <c r="R49" i="7" s="1"/>
  <c r="AK49" i="7" s="1"/>
  <c r="R67" i="7" s="1"/>
  <c r="AK67" i="7" s="1"/>
  <c r="T31" i="7"/>
  <c r="AM31" i="7" s="1"/>
  <c r="T49" i="7" s="1"/>
  <c r="AM49" i="7" s="1"/>
  <c r="S31" i="7"/>
  <c r="AL31" i="7" s="1"/>
  <c r="S49" i="7" s="1"/>
  <c r="AL49" i="7" s="1"/>
  <c r="S67" i="7" s="1"/>
  <c r="AL67" i="7" s="1"/>
  <c r="R31" i="7"/>
  <c r="Q31" i="7"/>
  <c r="AJ31" i="7" s="1"/>
  <c r="Q49" i="7" s="1"/>
  <c r="AJ49" i="7" s="1"/>
  <c r="Q67" i="7" s="1"/>
  <c r="AJ67" i="7" s="1"/>
  <c r="P31" i="7"/>
  <c r="AI31" i="7" s="1"/>
  <c r="P49" i="7" s="1"/>
  <c r="AI49" i="7" s="1"/>
  <c r="P67" i="7" s="1"/>
  <c r="O31" i="7"/>
  <c r="AH31" i="7" s="1"/>
  <c r="O49" i="7" s="1"/>
  <c r="N31" i="7"/>
  <c r="AG31" i="7" s="1"/>
  <c r="N49" i="7" s="1"/>
  <c r="AG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J45" i="7" s="1"/>
  <c r="AC45" i="7" s="1"/>
  <c r="J63" i="7" s="1"/>
  <c r="AC63" i="7" s="1"/>
  <c r="J81" i="7" s="1"/>
  <c r="AC81" i="7" s="1"/>
  <c r="AB27" i="7"/>
  <c r="I45" i="7" s="1"/>
  <c r="AB45" i="7" s="1"/>
  <c r="I63" i="7" s="1"/>
  <c r="AB63" i="7" s="1"/>
  <c r="I81" i="7" s="1"/>
  <c r="AB81" i="7" s="1"/>
  <c r="AA27" i="7"/>
  <c r="H45" i="7" s="1"/>
  <c r="AA45" i="7" s="1"/>
  <c r="H63" i="7" s="1"/>
  <c r="AA63" i="7" s="1"/>
  <c r="Z27" i="7"/>
  <c r="G45" i="7" s="1"/>
  <c r="Z45" i="7" s="1"/>
  <c r="G63" i="7" s="1"/>
  <c r="Z63" i="7" s="1"/>
  <c r="G81" i="7" s="1"/>
  <c r="Z81" i="7" s="1"/>
  <c r="Y27" i="7"/>
  <c r="F45" i="7" s="1"/>
  <c r="Y45" i="7" s="1"/>
  <c r="F63" i="7" s="1"/>
  <c r="Y63" i="7" s="1"/>
  <c r="F81" i="7" s="1"/>
  <c r="Y81" i="7" s="1"/>
  <c r="U27" i="7"/>
  <c r="AM26" i="7"/>
  <c r="T44" i="7" s="1"/>
  <c r="AM44" i="7" s="1"/>
  <c r="T62" i="7" s="1"/>
  <c r="AM62" i="7" s="1"/>
  <c r="T80" i="7" s="1"/>
  <c r="AM80" i="7" s="1"/>
  <c r="AL26" i="7"/>
  <c r="S44" i="7" s="1"/>
  <c r="AK26" i="7"/>
  <c r="R44" i="7" s="1"/>
  <c r="AK44" i="7" s="1"/>
  <c r="R62" i="7" s="1"/>
  <c r="AK62" i="7" s="1"/>
  <c r="R80" i="7" s="1"/>
  <c r="AK80" i="7" s="1"/>
  <c r="AJ26" i="7"/>
  <c r="Q44" i="7" s="1"/>
  <c r="AJ44" i="7" s="1"/>
  <c r="Q62" i="7" s="1"/>
  <c r="AJ62" i="7" s="1"/>
  <c r="Q80" i="7" s="1"/>
  <c r="AJ80" i="7" s="1"/>
  <c r="AI26" i="7"/>
  <c r="P44" i="7" s="1"/>
  <c r="AI44" i="7" s="1"/>
  <c r="P62" i="7" s="1"/>
  <c r="AI62" i="7" s="1"/>
  <c r="P80" i="7" s="1"/>
  <c r="AI80" i="7" s="1"/>
  <c r="AH26" i="7"/>
  <c r="O44" i="7" s="1"/>
  <c r="AH44" i="7" s="1"/>
  <c r="O62" i="7" s="1"/>
  <c r="AH62" i="7" s="1"/>
  <c r="O80" i="7" s="1"/>
  <c r="AH80" i="7" s="1"/>
  <c r="AG26" i="7"/>
  <c r="AF26" i="7"/>
  <c r="M44" i="7" s="1"/>
  <c r="AE26" i="7"/>
  <c r="L44" i="7" s="1"/>
  <c r="AE44" i="7" s="1"/>
  <c r="L62" i="7" s="1"/>
  <c r="AE62" i="7" s="1"/>
  <c r="L80" i="7" s="1"/>
  <c r="AD26" i="7"/>
  <c r="K44" i="7" s="1"/>
  <c r="AB26" i="7"/>
  <c r="I44" i="7" s="1"/>
  <c r="AB44" i="7" s="1"/>
  <c r="I62" i="7" s="1"/>
  <c r="AB62" i="7" s="1"/>
  <c r="I80" i="7" s="1"/>
  <c r="AB80" i="7" s="1"/>
  <c r="AA26" i="7"/>
  <c r="H44" i="7" s="1"/>
  <c r="Z26" i="7"/>
  <c r="G44" i="7" s="1"/>
  <c r="Z44" i="7" s="1"/>
  <c r="G62" i="7" s="1"/>
  <c r="Y26" i="7"/>
  <c r="F44" i="7" s="1"/>
  <c r="Y44" i="7" s="1"/>
  <c r="F62" i="7" s="1"/>
  <c r="Y62" i="7" s="1"/>
  <c r="F80" i="7" s="1"/>
  <c r="Y80" i="7" s="1"/>
  <c r="W26" i="7"/>
  <c r="D44" i="7" s="1"/>
  <c r="W44" i="7" s="1"/>
  <c r="D62" i="7" s="1"/>
  <c r="W62" i="7" s="1"/>
  <c r="D80" i="7" s="1"/>
  <c r="U26" i="7"/>
  <c r="AM25" i="7"/>
  <c r="T43" i="7" s="1"/>
  <c r="AM43" i="7" s="1"/>
  <c r="T61" i="7" s="1"/>
  <c r="AM61" i="7" s="1"/>
  <c r="T79" i="7" s="1"/>
  <c r="AM79" i="7" s="1"/>
  <c r="AL25" i="7"/>
  <c r="S43" i="7" s="1"/>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O43" i="7" s="1"/>
  <c r="AH43" i="7" s="1"/>
  <c r="O61" i="7" s="1"/>
  <c r="AH61" i="7" s="1"/>
  <c r="O79" i="7" s="1"/>
  <c r="AH79" i="7" s="1"/>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T42" i="7" s="1"/>
  <c r="AM42" i="7" s="1"/>
  <c r="T60" i="7" s="1"/>
  <c r="AM60" i="7" s="1"/>
  <c r="T78" i="7" s="1"/>
  <c r="AM78" i="7" s="1"/>
  <c r="AL24" i="7"/>
  <c r="S42" i="7" s="1"/>
  <c r="AK24" i="7"/>
  <c r="R42" i="7" s="1"/>
  <c r="AK42" i="7" s="1"/>
  <c r="R60" i="7" s="1"/>
  <c r="AK60" i="7" s="1"/>
  <c r="R78" i="7" s="1"/>
  <c r="AK78" i="7" s="1"/>
  <c r="AI24" i="7"/>
  <c r="P42" i="7" s="1"/>
  <c r="AI42" i="7" s="1"/>
  <c r="P60" i="7" s="1"/>
  <c r="AI60" i="7" s="1"/>
  <c r="P78" i="7" s="1"/>
  <c r="AI78" i="7" s="1"/>
  <c r="AH24" i="7"/>
  <c r="O42" i="7" s="1"/>
  <c r="AH42" i="7" s="1"/>
  <c r="O60" i="7" s="1"/>
  <c r="AH60" i="7" s="1"/>
  <c r="O78" i="7" s="1"/>
  <c r="AH78" i="7" s="1"/>
  <c r="AG24" i="7"/>
  <c r="AF24" i="7"/>
  <c r="M42" i="7" s="1"/>
  <c r="AE24" i="7"/>
  <c r="L42" i="7" s="1"/>
  <c r="AE42" i="7" s="1"/>
  <c r="L60" i="7" s="1"/>
  <c r="AE60" i="7" s="1"/>
  <c r="L78" i="7" s="1"/>
  <c r="AD24" i="7"/>
  <c r="K42" i="7" s="1"/>
  <c r="AC24" i="7"/>
  <c r="J42" i="7" s="1"/>
  <c r="AC42" i="7" s="1"/>
  <c r="J60" i="7" s="1"/>
  <c r="AC60" i="7" s="1"/>
  <c r="J78" i="7" s="1"/>
  <c r="AC78" i="7" s="1"/>
  <c r="AA24" i="7"/>
  <c r="H42" i="7" s="1"/>
  <c r="Z24" i="7"/>
  <c r="G42" i="7" s="1"/>
  <c r="Z42" i="7" s="1"/>
  <c r="G60" i="7" s="1"/>
  <c r="Y24" i="7"/>
  <c r="F42" i="7" s="1"/>
  <c r="Y42" i="7" s="1"/>
  <c r="F60" i="7" s="1"/>
  <c r="Y60" i="7" s="1"/>
  <c r="F78" i="7" s="1"/>
  <c r="Y78" i="7" s="1"/>
  <c r="W24" i="7"/>
  <c r="D42" i="7" s="1"/>
  <c r="W42" i="7" s="1"/>
  <c r="D60" i="7" s="1"/>
  <c r="W60" i="7" s="1"/>
  <c r="D78" i="7" s="1"/>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I40" i="7" s="1"/>
  <c r="AB40" i="7" s="1"/>
  <c r="I58" i="7" s="1"/>
  <c r="AB58" i="7" s="1"/>
  <c r="I76" i="7" s="1"/>
  <c r="AB76" i="7" s="1"/>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I39" i="7" s="1"/>
  <c r="AB39" i="7" s="1"/>
  <c r="I57" i="7" s="1"/>
  <c r="AB57" i="7" s="1"/>
  <c r="I75" i="7" s="1"/>
  <c r="AB75" i="7" s="1"/>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J37" i="7" s="1"/>
  <c r="AC37" i="7" s="1"/>
  <c r="J55" i="7" s="1"/>
  <c r="AC55" i="7" s="1"/>
  <c r="J73" i="7" s="1"/>
  <c r="AC73" i="7" s="1"/>
  <c r="AB19" i="7"/>
  <c r="I37" i="7" s="1"/>
  <c r="AB37" i="7" s="1"/>
  <c r="I55" i="7" s="1"/>
  <c r="AB55" i="7" s="1"/>
  <c r="I73" i="7" s="1"/>
  <c r="AB73" i="7" s="1"/>
  <c r="AA19" i="7"/>
  <c r="H37" i="7" s="1"/>
  <c r="AA37" i="7" s="1"/>
  <c r="Z19" i="7"/>
  <c r="G37" i="7" s="1"/>
  <c r="Z37" i="7" s="1"/>
  <c r="Y19" i="7"/>
  <c r="F37" i="7" s="1"/>
  <c r="Y37" i="7" s="1"/>
  <c r="F55" i="7" s="1"/>
  <c r="Y55" i="7" s="1"/>
  <c r="F73" i="7" s="1"/>
  <c r="Y73" i="7" s="1"/>
  <c r="U19" i="7"/>
  <c r="AN18" i="7"/>
  <c r="AE18" i="7"/>
  <c r="L36" i="7" s="1"/>
  <c r="AE36" i="7" s="1"/>
  <c r="L54" i="7" s="1"/>
  <c r="AE54" i="7" s="1"/>
  <c r="L72" i="7" s="1"/>
  <c r="AD18" i="7"/>
  <c r="K36" i="7" s="1"/>
  <c r="AD36" i="7" s="1"/>
  <c r="AC18" i="7"/>
  <c r="J36" i="7" s="1"/>
  <c r="AC36" i="7" s="1"/>
  <c r="J54" i="7" s="1"/>
  <c r="AC54" i="7" s="1"/>
  <c r="J72" i="7" s="1"/>
  <c r="AC72" i="7" s="1"/>
  <c r="AB18" i="7"/>
  <c r="I36" i="7" s="1"/>
  <c r="AB36" i="7" s="1"/>
  <c r="I54" i="7" s="1"/>
  <c r="AB54" i="7" s="1"/>
  <c r="I72" i="7" s="1"/>
  <c r="AB72" i="7" s="1"/>
  <c r="AA18" i="7"/>
  <c r="H36" i="7" s="1"/>
  <c r="AA36" i="7" s="1"/>
  <c r="Z18" i="7"/>
  <c r="G36" i="7" s="1"/>
  <c r="Z36" i="7" s="1"/>
  <c r="Y18" i="7"/>
  <c r="F36" i="7" s="1"/>
  <c r="Y36" i="7" s="1"/>
  <c r="F54" i="7" s="1"/>
  <c r="Y54" i="7" s="1"/>
  <c r="F72" i="7" s="1"/>
  <c r="Y72" i="7" s="1"/>
  <c r="U18" i="7"/>
  <c r="AN17" i="7"/>
  <c r="AE17" i="7"/>
  <c r="L35" i="7" s="1"/>
  <c r="AE35" i="7" s="1"/>
  <c r="L53" i="7" s="1"/>
  <c r="AE53" i="7" s="1"/>
  <c r="L71" i="7" s="1"/>
  <c r="AD17" i="7"/>
  <c r="K35" i="7" s="1"/>
  <c r="AD35" i="7" s="1"/>
  <c r="AC17" i="7"/>
  <c r="J35" i="7" s="1"/>
  <c r="AC35" i="7" s="1"/>
  <c r="J53" i="7" s="1"/>
  <c r="AC53" i="7" s="1"/>
  <c r="J71" i="7" s="1"/>
  <c r="AC71" i="7" s="1"/>
  <c r="AB17" i="7"/>
  <c r="I35" i="7" s="1"/>
  <c r="AB35" i="7" s="1"/>
  <c r="I53" i="7" s="1"/>
  <c r="AB53" i="7" s="1"/>
  <c r="I71" i="7" s="1"/>
  <c r="AB71" i="7" s="1"/>
  <c r="AA17" i="7"/>
  <c r="H35" i="7" s="1"/>
  <c r="AA35" i="7" s="1"/>
  <c r="Z17" i="7"/>
  <c r="G35" i="7" s="1"/>
  <c r="Z35" i="7" s="1"/>
  <c r="Y17" i="7"/>
  <c r="F35" i="7" s="1"/>
  <c r="Y35" i="7" s="1"/>
  <c r="F53" i="7" s="1"/>
  <c r="Y53" i="7" s="1"/>
  <c r="F71" i="7" s="1"/>
  <c r="Y71" i="7" s="1"/>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L33" i="7" s="1"/>
  <c r="AE33" i="7" s="1"/>
  <c r="L51" i="7" s="1"/>
  <c r="AE51" i="7" s="1"/>
  <c r="L69" i="7" s="1"/>
  <c r="AD15" i="7"/>
  <c r="K33" i="7" s="1"/>
  <c r="AD33" i="7" s="1"/>
  <c r="K51" i="7" s="1"/>
  <c r="AD51" i="7" s="1"/>
  <c r="AC15" i="7"/>
  <c r="J33" i="7" s="1"/>
  <c r="AC33" i="7" s="1"/>
  <c r="J51" i="7" s="1"/>
  <c r="AC51" i="7" s="1"/>
  <c r="J69" i="7" s="1"/>
  <c r="AC69" i="7" s="1"/>
  <c r="AB15" i="7"/>
  <c r="I33" i="7" s="1"/>
  <c r="AB33" i="7" s="1"/>
  <c r="I51" i="7" s="1"/>
  <c r="AB51" i="7" s="1"/>
  <c r="I69" i="7" s="1"/>
  <c r="AB69" i="7" s="1"/>
  <c r="AA15" i="7"/>
  <c r="H33" i="7" s="1"/>
  <c r="AA33" i="7" s="1"/>
  <c r="H51" i="7" s="1"/>
  <c r="AA51" i="7" s="1"/>
  <c r="Z15" i="7"/>
  <c r="G33" i="7" s="1"/>
  <c r="Z33" i="7" s="1"/>
  <c r="G51" i="7" s="1"/>
  <c r="Z51" i="7" s="1"/>
  <c r="Y15" i="7"/>
  <c r="F33" i="7" s="1"/>
  <c r="Y33" i="7" s="1"/>
  <c r="F51" i="7" s="1"/>
  <c r="Y51" i="7" s="1"/>
  <c r="F69" i="7" s="1"/>
  <c r="Y69" i="7" s="1"/>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H32" i="7" s="1"/>
  <c r="AA32" i="7" s="1"/>
  <c r="H50" i="7" s="1"/>
  <c r="AA50" i="7" s="1"/>
  <c r="Z14" i="7"/>
  <c r="G32" i="7" s="1"/>
  <c r="Z32" i="7" s="1"/>
  <c r="G50" i="7" s="1"/>
  <c r="Z50" i="7" s="1"/>
  <c r="Y14" i="7"/>
  <c r="F32" i="7" s="1"/>
  <c r="Y32" i="7" s="1"/>
  <c r="F50" i="7" s="1"/>
  <c r="Y50" i="7" s="1"/>
  <c r="F68" i="7" s="1"/>
  <c r="Y68" i="7" s="1"/>
  <c r="U14" i="7"/>
  <c r="AN13" i="7"/>
  <c r="AE13" i="7"/>
  <c r="L31" i="7" s="1"/>
  <c r="AE31" i="7" s="1"/>
  <c r="L49" i="7" s="1"/>
  <c r="AE49" i="7" s="1"/>
  <c r="AD13" i="7"/>
  <c r="K31" i="7" s="1"/>
  <c r="AD31" i="7" s="1"/>
  <c r="K49" i="7" s="1"/>
  <c r="AD49" i="7" s="1"/>
  <c r="K67" i="7" s="1"/>
  <c r="AD67" i="7" s="1"/>
  <c r="AC13" i="7"/>
  <c r="J31" i="7" s="1"/>
  <c r="AC31" i="7" s="1"/>
  <c r="J49" i="7" s="1"/>
  <c r="AC49" i="7" s="1"/>
  <c r="J67" i="7" s="1"/>
  <c r="AC67" i="7" s="1"/>
  <c r="AB13" i="7"/>
  <c r="I31" i="7" s="1"/>
  <c r="AB31" i="7" s="1"/>
  <c r="I49" i="7" s="1"/>
  <c r="AB49" i="7" s="1"/>
  <c r="I67" i="7" s="1"/>
  <c r="AB67" i="7" s="1"/>
  <c r="AA13" i="7"/>
  <c r="H31" i="7" s="1"/>
  <c r="AA31" i="7" s="1"/>
  <c r="H49" i="7" s="1"/>
  <c r="AA49" i="7" s="1"/>
  <c r="H67" i="7" s="1"/>
  <c r="AA67" i="7" s="1"/>
  <c r="Z13" i="7"/>
  <c r="G31" i="7" s="1"/>
  <c r="Z31" i="7" s="1"/>
  <c r="G49" i="7" s="1"/>
  <c r="Z49" i="7" s="1"/>
  <c r="Y13" i="7"/>
  <c r="F31" i="7" s="1"/>
  <c r="Y31" i="7" s="1"/>
  <c r="F49" i="7" s="1"/>
  <c r="Y49" i="7" s="1"/>
  <c r="U13" i="7"/>
  <c r="M11" i="7"/>
  <c r="X8" i="7"/>
  <c r="X7" i="7" s="1"/>
  <c r="X25" i="7" s="1"/>
  <c r="E43" i="7" s="1"/>
  <c r="X43" i="7" s="1"/>
  <c r="E61" i="7" s="1"/>
  <c r="X61" i="7" s="1"/>
  <c r="E79" i="7" s="1"/>
  <c r="U39" i="7" l="1"/>
  <c r="AF65" i="7"/>
  <c r="X70" i="7"/>
  <c r="X24" i="7"/>
  <c r="E42" i="7" s="1"/>
  <c r="X42" i="7" s="1"/>
  <c r="E60" i="7" s="1"/>
  <c r="X60" i="7" s="1"/>
  <c r="E78" i="7" s="1"/>
  <c r="X26" i="7"/>
  <c r="E44" i="7" s="1"/>
  <c r="X44" i="7" s="1"/>
  <c r="E62" i="7" s="1"/>
  <c r="X62" i="7" s="1"/>
  <c r="E80" i="7" s="1"/>
  <c r="AN26" i="7"/>
  <c r="U41" i="7"/>
  <c r="AF11" i="7"/>
  <c r="X68" i="7"/>
  <c r="U40" i="7"/>
  <c r="X67" i="7"/>
  <c r="P21" i="12"/>
  <c r="Q16" i="12"/>
  <c r="Q17" i="12" s="1"/>
  <c r="Q21" i="12" s="1"/>
  <c r="Q14" i="12"/>
  <c r="AN24" i="7"/>
  <c r="M29" i="7"/>
  <c r="U67" i="7"/>
  <c r="AI67" i="7"/>
  <c r="AN67" i="7" s="1"/>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40" i="7"/>
  <c r="U46" i="7"/>
  <c r="U31" i="7"/>
  <c r="AN34" i="7"/>
  <c r="AN38" i="7"/>
  <c r="U59" i="7"/>
  <c r="AN46" i="7"/>
  <c r="AN39" i="7" l="1"/>
  <c r="U57" i="7"/>
  <c r="AG50" i="7"/>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41" i="7"/>
  <c r="M59" i="7" s="1"/>
  <c r="N69" i="7"/>
  <c r="AN51" i="7"/>
  <c r="N70" i="7"/>
  <c r="AN52" i="7"/>
  <c r="AG54" i="7"/>
  <c r="U54" i="7"/>
  <c r="N74" i="7"/>
  <c r="AN56" i="7"/>
  <c r="N76" i="7"/>
  <c r="AN58" i="7"/>
  <c r="AF29" i="7" l="1"/>
  <c r="N72" i="7"/>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B33" i="9"/>
  <c r="B31" i="9"/>
  <c r="B32" i="9" s="1"/>
  <c r="U65" i="9" l="1"/>
  <c r="U57" i="9"/>
  <c r="U73" i="9"/>
  <c r="U49" i="9"/>
  <c r="U74" i="9"/>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O7" i="9" l="1"/>
  <c r="Q7" i="9" s="1"/>
  <c r="S7" i="9"/>
  <c r="T7" i="9"/>
  <c r="O2" i="9"/>
  <c r="Q2" i="9" s="1"/>
  <c r="S2" i="9"/>
  <c r="T2" i="9"/>
  <c r="O3" i="9"/>
  <c r="Q3" i="9" s="1"/>
  <c r="S3" i="9"/>
  <c r="T3" i="9"/>
  <c r="O4" i="9"/>
  <c r="Q4" i="9" s="1"/>
  <c r="S4" i="9"/>
  <c r="T4" i="9"/>
  <c r="O5" i="9"/>
  <c r="Q5" i="9" s="1"/>
  <c r="S5" i="9"/>
  <c r="T5" i="9"/>
  <c r="O8" i="9"/>
  <c r="Q8" i="9" s="1"/>
  <c r="S8" i="9"/>
  <c r="T8" i="9"/>
  <c r="O6" i="9"/>
  <c r="Q6" i="9" s="1"/>
  <c r="S6" i="9"/>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16" i="9" l="1"/>
  <c r="U6" i="9"/>
  <c r="U32" i="9"/>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K9" i="4"/>
  <c r="J9" i="4"/>
  <c r="H9" i="4"/>
  <c r="H3" i="4" l="1"/>
  <c r="H2" i="4" l="1"/>
  <c r="H4" i="4"/>
  <c r="K4" i="4"/>
  <c r="J4" i="4"/>
  <c r="J3" i="4"/>
  <c r="K3" i="4"/>
  <c r="J10" i="4"/>
  <c r="K10" i="4"/>
  <c r="J11" i="4"/>
  <c r="K11" i="4"/>
  <c r="J12" i="4"/>
  <c r="K12" i="4"/>
  <c r="K8" i="4"/>
  <c r="J8" i="4"/>
  <c r="H8" i="4"/>
  <c r="L8" i="4" s="1"/>
  <c r="K7" i="4"/>
  <c r="J7" i="4"/>
  <c r="H7" i="4"/>
  <c r="J6" i="4"/>
  <c r="H6" i="4"/>
  <c r="L6" i="4" s="1"/>
  <c r="J5" i="4"/>
  <c r="H5" i="4"/>
  <c r="K5" i="4"/>
  <c r="K6" i="4"/>
  <c r="K2" i="4"/>
  <c r="J2" i="4"/>
  <c r="M8" i="4" l="1"/>
  <c r="F8" i="11"/>
  <c r="F9" i="11" s="1"/>
  <c r="F10" i="11" s="1"/>
  <c r="F11" i="11" s="1"/>
  <c r="F12" i="11" s="1"/>
  <c r="F13" i="11" s="1"/>
  <c r="L3" i="4"/>
  <c r="M3" i="4" s="1"/>
  <c r="N3" i="4" s="1"/>
  <c r="L9" i="4"/>
  <c r="M6" i="4"/>
  <c r="F4" i="11"/>
  <c r="F5" i="11" s="1"/>
  <c r="F6" i="11" s="1"/>
  <c r="F7" i="11" s="1"/>
  <c r="L2" i="4"/>
  <c r="M2" i="4" s="1"/>
  <c r="N2" i="4" s="1"/>
  <c r="L5" i="4"/>
  <c r="L7" i="4"/>
  <c r="M7" i="4" s="1"/>
  <c r="N7" i="4" s="1"/>
  <c r="L4" i="4"/>
  <c r="M4" i="4" s="1"/>
  <c r="N4" i="4" s="1"/>
  <c r="M5" i="4" l="1"/>
  <c r="F2" i="11"/>
  <c r="N6" i="4"/>
  <c r="H4" i="11" s="1"/>
  <c r="G4" i="11"/>
  <c r="G5" i="11" s="1"/>
  <c r="G6" i="11" s="1"/>
  <c r="G7" i="11" s="1"/>
  <c r="M9" i="4"/>
  <c r="F3" i="11"/>
  <c r="N8" i="4"/>
  <c r="H8" i="11" s="1"/>
  <c r="H9" i="11" s="1"/>
  <c r="H10" i="11" s="1"/>
  <c r="H11" i="11" s="1"/>
  <c r="H12" i="11" s="1"/>
  <c r="H13" i="11" s="1"/>
  <c r="G8" i="11"/>
  <c r="G9" i="11" s="1"/>
  <c r="G10" i="11" s="1"/>
  <c r="G11" i="11" s="1"/>
  <c r="G12" i="11" s="1"/>
  <c r="G13" i="11" s="1"/>
  <c r="D2" i="10"/>
  <c r="Z1" i="10"/>
  <c r="AA1" i="10" s="1"/>
  <c r="N9" i="4" l="1"/>
  <c r="H3" i="11" s="1"/>
  <c r="G3" i="11"/>
  <c r="H5" i="11"/>
  <c r="N5" i="4"/>
  <c r="H2" i="11" s="1"/>
  <c r="G2" i="11"/>
  <c r="H6" i="11" l="1"/>
  <c r="H7" i="11" s="1"/>
  <c r="J4" i="11"/>
  <c r="K3" i="11"/>
  <c r="I5" i="11" l="1"/>
  <c r="C14" i="2" l="1"/>
  <c r="C15" i="2"/>
  <c r="C16" i="2" s="1"/>
  <c r="C1" i="2" l="1"/>
  <c r="Z6" i="6" l="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 i="1" l="1"/>
  <c r="C9" i="2"/>
  <c r="C10" i="2" s="1"/>
  <c r="B9" i="2"/>
  <c r="B10" i="2" s="1"/>
  <c r="D2" i="1" l="1"/>
  <c r="F19" i="1" s="1"/>
  <c r="F15" i="1" l="1"/>
  <c r="F20" i="1"/>
  <c r="F17" i="1"/>
  <c r="C17" i="1" s="1"/>
  <c r="F18" i="1"/>
  <c r="F13" i="1"/>
  <c r="C13" i="1" s="1"/>
  <c r="F7" i="1"/>
  <c r="F12" i="1"/>
  <c r="C12" i="1" s="1"/>
  <c r="F10" i="1"/>
  <c r="C10" i="1" s="1"/>
  <c r="F6" i="1"/>
  <c r="C6" i="1" s="1"/>
  <c r="F11" i="1"/>
  <c r="F9" i="1"/>
  <c r="F7" i="24" s="1"/>
  <c r="Z7" i="24" s="1"/>
  <c r="F4" i="1"/>
  <c r="F3" i="24" s="1"/>
  <c r="Z3" i="24" s="1"/>
  <c r="F21" i="24" s="1"/>
  <c r="Z21" i="24" s="1"/>
  <c r="F14" i="1"/>
  <c r="F21" i="1"/>
  <c r="C21" i="1" s="1"/>
  <c r="F5" i="1"/>
  <c r="F8" i="1"/>
  <c r="C8" i="1" s="1"/>
  <c r="F16" i="1"/>
  <c r="F9" i="10"/>
  <c r="AB9" i="10" s="1"/>
  <c r="F13" i="10"/>
  <c r="AB13" i="10" s="1"/>
  <c r="F25" i="24" l="1"/>
  <c r="Z25" i="24" s="1"/>
  <c r="C9" i="1"/>
  <c r="C6" i="10" s="1"/>
  <c r="F7" i="10"/>
  <c r="AB7" i="10" s="1"/>
  <c r="C20" i="1"/>
  <c r="C7" i="10" s="1"/>
  <c r="F8" i="10"/>
  <c r="AB8" i="10" s="1"/>
  <c r="C19" i="1"/>
  <c r="C8" i="10" s="1"/>
  <c r="F14" i="10"/>
  <c r="AB14" i="10" s="1"/>
  <c r="C14" i="10"/>
  <c r="C14" i="1"/>
  <c r="C17" i="10" s="1"/>
  <c r="F15" i="24"/>
  <c r="Z15" i="24" s="1"/>
  <c r="C18" i="1"/>
  <c r="C21" i="10" s="1"/>
  <c r="F19" i="10"/>
  <c r="AB19" i="10" s="1"/>
  <c r="C15" i="1"/>
  <c r="C19" i="10" s="1"/>
  <c r="F6" i="24"/>
  <c r="Z6" i="24" s="1"/>
  <c r="C7" i="1"/>
  <c r="F16" i="10"/>
  <c r="AB16" i="10" s="1"/>
  <c r="C16" i="1"/>
  <c r="C16" i="10" s="1"/>
  <c r="F14" i="24"/>
  <c r="Z14" i="24" s="1"/>
  <c r="C11" i="1"/>
  <c r="C11" i="10" s="1"/>
  <c r="F18" i="10"/>
  <c r="AB18" i="10" s="1"/>
  <c r="C18" i="10"/>
  <c r="F5" i="10"/>
  <c r="AB5" i="10" s="1"/>
  <c r="C4" i="1"/>
  <c r="C5" i="10" s="1"/>
  <c r="F4" i="10"/>
  <c r="AB4" i="10" s="1"/>
  <c r="C5" i="1"/>
  <c r="C4" i="10" s="1"/>
  <c r="F4" i="24"/>
  <c r="Z4" i="24" s="1"/>
  <c r="F5" i="24"/>
  <c r="Z5" i="24" s="1"/>
  <c r="F20" i="10"/>
  <c r="AB20" i="10" s="1"/>
  <c r="F13" i="24"/>
  <c r="Z13" i="24" s="1"/>
  <c r="F12" i="10"/>
  <c r="AB12" i="10" s="1"/>
  <c r="F10" i="24"/>
  <c r="Z10" i="24" s="1"/>
  <c r="C10" i="10"/>
  <c r="F9" i="24"/>
  <c r="Z9" i="24" s="1"/>
  <c r="F17" i="10"/>
  <c r="AB17" i="10" s="1"/>
  <c r="C14" i="3"/>
  <c r="C12" i="3"/>
  <c r="F15" i="10"/>
  <c r="AB15" i="10" s="1"/>
  <c r="C9" i="3"/>
  <c r="F11" i="10"/>
  <c r="AB11" i="10" s="1"/>
  <c r="F22" i="10"/>
  <c r="AB22" i="10" s="1"/>
  <c r="C18" i="3"/>
  <c r="F21" i="10"/>
  <c r="AB21" i="10" s="1"/>
  <c r="C8" i="3"/>
  <c r="F10" i="10"/>
  <c r="AB10" i="10" s="1"/>
  <c r="C15" i="10"/>
  <c r="C4" i="3"/>
  <c r="C3" i="3"/>
  <c r="C22" i="10"/>
  <c r="C6" i="3"/>
  <c r="C20" i="10"/>
  <c r="C17" i="3"/>
  <c r="C15" i="3"/>
  <c r="C13" i="10"/>
  <c r="C12" i="10"/>
  <c r="C10" i="3"/>
  <c r="C16" i="3"/>
  <c r="C13" i="3"/>
  <c r="C7" i="3"/>
  <c r="C11" i="3"/>
  <c r="C9" i="10"/>
  <c r="F6" i="10"/>
  <c r="AB6" i="10" s="1"/>
  <c r="C5" i="3"/>
  <c r="F24" i="24" l="1"/>
  <c r="Z24" i="24" s="1"/>
  <c r="F23" i="24"/>
  <c r="Z23" i="24" s="1"/>
  <c r="F32" i="24"/>
  <c r="Z32" i="24" s="1"/>
  <c r="F33" i="24"/>
  <c r="Z33" i="24" s="1"/>
  <c r="F22" i="24"/>
  <c r="Z22" i="24" s="1"/>
  <c r="F27" i="24" l="1"/>
  <c r="Z27" i="24" s="1"/>
  <c r="F28" i="24"/>
  <c r="Z28" i="24" s="1"/>
  <c r="F31" i="24"/>
  <c r="Z31"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4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1" authorId="0" shapeId="0" xr:uid="{00000000-0006-0000-0700-000001000000}">
      <text>
        <r>
          <rPr>
            <b/>
            <sz val="8"/>
            <color indexed="81"/>
            <rFont val="Tahoma"/>
            <family val="2"/>
          </rPr>
          <t>Sacado del manual no escrito, no se sabe que son estos valores</t>
        </r>
      </text>
    </comment>
    <comment ref="D21"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900-000001000000}">
      <text>
        <r>
          <rPr>
            <sz val="8"/>
            <color indexed="81"/>
            <rFont val="Tahoma"/>
            <family val="2"/>
          </rPr>
          <t>Lid*Lid*Exp</t>
        </r>
      </text>
    </comment>
    <comment ref="H10" authorId="0" shapeId="0" xr:uid="{00000000-0006-0000-0900-000002000000}">
      <text>
        <r>
          <rPr>
            <b/>
            <sz val="8"/>
            <color indexed="81"/>
            <rFont val="Tahoma"/>
            <family val="2"/>
          </rPr>
          <t>Debe ser bajo, muy bajo</t>
        </r>
      </text>
    </comment>
    <comment ref="H12" authorId="0" shapeId="0" xr:uid="{00000000-0006-0000-0900-000003000000}">
      <text>
        <r>
          <rPr>
            <b/>
            <sz val="8"/>
            <color indexed="81"/>
            <rFont val="Tahoma"/>
            <family val="2"/>
          </rPr>
          <t>Debe ser bajo, muy bajo</t>
        </r>
      </text>
    </comment>
  </commentList>
</comments>
</file>

<file path=xl/sharedStrings.xml><?xml version="1.0" encoding="utf-8"?>
<sst xmlns="http://schemas.openxmlformats.org/spreadsheetml/2006/main" count="1750" uniqueCount="492">
  <si>
    <t>CAB</t>
  </si>
  <si>
    <t>Nfin</t>
  </si>
  <si>
    <t>POS</t>
  </si>
  <si>
    <t>Jugador</t>
  </si>
  <si>
    <t>Anys</t>
  </si>
  <si>
    <t>Dias</t>
  </si>
  <si>
    <t>PA</t>
  </si>
  <si>
    <t>Lid</t>
  </si>
  <si>
    <t>Exp</t>
  </si>
  <si>
    <t>Res</t>
  </si>
  <si>
    <t>m90</t>
  </si>
  <si>
    <t>For</t>
  </si>
  <si>
    <t>TSI</t>
  </si>
  <si>
    <t>Sou</t>
  </si>
  <si>
    <t>Hib</t>
  </si>
  <si>
    <t>Po</t>
  </si>
  <si>
    <t>De</t>
  </si>
  <si>
    <t>Cr</t>
  </si>
  <si>
    <t>Ex</t>
  </si>
  <si>
    <t>Ps</t>
  </si>
  <si>
    <t>An</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</si>
  <si>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</si>
  <si>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</si>
  <si>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</si>
  <si>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</si>
  <si>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</si>
  <si>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</si>
  <si>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</si>
  <si>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</si>
  <si>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</si>
  <si>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</si>
  <si>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</si>
  <si>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</si>
  <si>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</si>
  <si>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</si>
  <si>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</si>
  <si>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</si>
  <si>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</si>
  <si>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</si>
  <si>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</si>
  <si>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</si>
  <si>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</si>
  <si>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</si>
  <si>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</si>
  <si>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</si>
  <si>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</si>
  <si>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</si>
  <si>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</si>
  <si>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</si>
  <si>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</si>
  <si>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</si>
  <si>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</si>
  <si>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</si>
  <si>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</si>
  <si>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</si>
  <si>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</si>
  <si>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</si>
  <si>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</si>
  <si>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</si>
  <si>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</si>
  <si>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</si>
  <si>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</si>
  <si>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</si>
  <si>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</si>
  <si>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</si>
  <si>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</si>
  <si>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</si>
  <si>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</si>
  <si>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</si>
  <si>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</si>
  <si>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</si>
  <si>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</si>
  <si>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</si>
  <si>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</si>
  <si>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</si>
  <si>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</si>
  <si>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</si>
  <si>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</si>
  <si>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</si>
  <si>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</si>
  <si>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</si>
  <si>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</si>
  <si>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</si>
  <si>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</si>
  <si>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</si>
  <si>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</si>
  <si>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</si>
  <si>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</si>
  <si>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</si>
  <si>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</si>
  <si>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</si>
  <si>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</si>
  <si>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</si>
  <si>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</si>
  <si>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</si>
  <si>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</si>
  <si>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</si>
  <si>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</si>
  <si>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</si>
  <si>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</si>
  <si>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</si>
  <si>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</si>
  <si>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</si>
  <si>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</si>
  <si>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</si>
  <si>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</si>
  <si>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</si>
  <si>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</si>
  <si>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</si>
  <si>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</si>
  <si>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</si>
  <si>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</si>
  <si>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</si>
  <si>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</si>
  <si>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</si>
  <si>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</si>
  <si>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</si>
  <si>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</si>
  <si>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</si>
  <si>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</si>
  <si>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</si>
  <si>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</si>
  <si>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</si>
  <si>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</si>
  <si>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</si>
  <si>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</si>
  <si>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</si>
  <si>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</si>
  <si>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</si>
  <si>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</si>
  <si>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</si>
  <si>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</si>
  <si>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</si>
  <si>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</si>
  <si>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</si>
  <si>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</si>
  <si>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</si>
  <si>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</si>
  <si>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</si>
  <si>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</si>
  <si>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</si>
  <si>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</si>
  <si>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</si>
  <si>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</si>
  <si>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</si>
  <si>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</si>
  <si>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</si>
  <si>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</si>
  <si>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</si>
  <si>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</si>
  <si>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</si>
  <si>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</si>
  <si>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</si>
  <si>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</si>
  <si>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</si>
  <si>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</si>
  <si>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</si>
  <si>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</si>
  <si>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</si>
  <si>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</si>
  <si>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</si>
  <si>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</si>
  <si>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</si>
  <si>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</si>
  <si>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</si>
  <si>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</si>
  <si>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</si>
  <si>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</si>
  <si>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</si>
  <si>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</si>
  <si>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</si>
  <si>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</si>
  <si>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</si>
  <si>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</si>
  <si>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</si>
  <si>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</si>
  <si>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</si>
  <si>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</si>
  <si>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</si>
  <si>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</si>
  <si>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</si>
  <si>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</si>
  <si>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</si>
  <si>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</si>
  <si>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</si>
  <si>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</si>
  <si>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</si>
  <si>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</si>
  <si>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</si>
  <si>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</si>
  <si>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</si>
  <si>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</si>
  <si>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</si>
  <si>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</si>
  <si>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</si>
  <si>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</si>
  <si>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</si>
  <si>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</si>
  <si>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</si>
  <si>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</si>
  <si>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</si>
  <si>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</si>
  <si>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</si>
  <si>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</si>
  <si>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</si>
  <si>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</si>
  <si>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</si>
  <si>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</si>
  <si>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</si>
  <si>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</si>
  <si>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</si>
  <si>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</si>
  <si>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</si>
  <si>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</si>
  <si>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</si>
  <si>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</si>
  <si>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</si>
  <si>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</si>
  <si>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</si>
  <si>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</si>
  <si>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</si>
  <si>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</si>
  <si>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</si>
  <si>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</si>
  <si>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</si>
  <si>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</si>
  <si>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</si>
  <si>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</si>
  <si>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</si>
  <si>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</si>
  <si>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</si>
  <si>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</si>
  <si>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</si>
  <si>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</si>
  <si>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</si>
  <si>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</si>
  <si>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</si>
  <si>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</si>
  <si>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</si>
  <si>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</si>
  <si>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</si>
  <si>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</si>
  <si>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</si>
  <si>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</si>
  <si>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</si>
  <si>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</si>
  <si>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</si>
  <si>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</si>
  <si>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</si>
  <si>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</si>
  <si>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</si>
  <si>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</si>
  <si>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</si>
  <si>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</si>
  <si>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</si>
  <si>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</si>
  <si>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</si>
  <si>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</si>
  <si>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</si>
  <si>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</si>
  <si>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</si>
  <si>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</si>
  <si>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</si>
  <si>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</si>
  <si>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</si>
  <si>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</si>
  <si>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</si>
  <si>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</si>
  <si>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</si>
  <si>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</si>
  <si>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</si>
  <si>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</si>
  <si>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</si>
  <si>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</si>
  <si>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</si>
  <si>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</si>
  <si>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</si>
  <si>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</si>
  <si>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</si>
  <si>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</si>
  <si>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</si>
  <si>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</si>
  <si>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</si>
  <si>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</si>
  <si>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</si>
  <si>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</si>
  <si>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</si>
  <si>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</si>
  <si>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</si>
  <si>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</si>
  <si>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</si>
  <si>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</si>
  <si>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</si>
  <si>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</si>
  <si>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</si>
  <si>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</si>
  <si>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Eckardt Hägerling</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</si>
  <si>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</si>
  <si>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</si>
  <si>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</si>
  <si>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</si>
  <si>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</si>
  <si>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</si>
  <si>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</si>
  <si>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</si>
  <si>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</si>
  <si>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</si>
  <si>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</si>
  <si>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</si>
  <si>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</si>
  <si>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</si>
  <si>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</si>
  <si>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</si>
  <si>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</si>
  <si>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</si>
  <si>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</si>
  <si>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</si>
  <si>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</si>
  <si>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</si>
  <si>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</si>
  <si>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</si>
  <si>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</si>
  <si>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</si>
  <si>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</si>
  <si>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</si>
  <si>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</si>
  <si>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</si>
  <si>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</si>
  <si>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</si>
  <si>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</si>
  <si>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</si>
  <si>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</si>
  <si>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</si>
  <si>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</si>
  <si>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</si>
  <si>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</si>
  <si>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</si>
  <si>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</si>
  <si>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</si>
  <si>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</si>
  <si>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</si>
  <si>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</si>
  <si>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</si>
  <si>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</si>
  <si>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</si>
  <si>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</si>
  <si>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</si>
  <si>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</si>
  <si>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</si>
  <si>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</si>
  <si>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</si>
  <si>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</si>
  <si>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</si>
  <si>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#26</t>
  </si>
  <si>
    <t>CEN</t>
  </si>
  <si>
    <t>Ioannis Avramopoulos</t>
  </si>
  <si>
    <t>Paso1</t>
  </si>
  <si>
    <t>Paso2</t>
  </si>
  <si>
    <t>Ent</t>
  </si>
  <si>
    <t>Tem</t>
  </si>
  <si>
    <t>Paso3</t>
  </si>
  <si>
    <t>Paso4</t>
  </si>
  <si>
    <t>Paso5</t>
  </si>
  <si>
    <t>Paso6</t>
  </si>
  <si>
    <t>Paso7</t>
  </si>
  <si>
    <t>J. G. de Minaya</t>
  </si>
  <si>
    <t>INN</t>
  </si>
  <si>
    <t>J. G. Peñuela</t>
  </si>
  <si>
    <t>Alberto Ercilla</t>
  </si>
  <si>
    <t>Will Duffill</t>
  </si>
  <si>
    <t>Francesc Añigas</t>
  </si>
  <si>
    <t>Actualitzacio</t>
  </si>
  <si>
    <t>Millor partit</t>
  </si>
  <si>
    <t>CASA</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</si>
  <si>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</si>
  <si>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</si>
  <si>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</si>
  <si>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</si>
  <si>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</si>
  <si>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</si>
  <si>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</si>
  <si>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</si>
  <si>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</si>
  <si>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</si>
  <si>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</si>
  <si>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</si>
  <si>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</si>
  <si>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</si>
  <si>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</si>
  <si>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</si>
  <si>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</si>
  <si>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</si>
  <si>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</si>
  <si>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</si>
  <si>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</si>
  <si>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</si>
  <si>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</si>
  <si>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</si>
  <si>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</si>
  <si>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</si>
  <si>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</si>
  <si>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</si>
  <si>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</si>
  <si>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</si>
  <si>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</si>
  <si>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</si>
  <si>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</si>
  <si>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</si>
  <si>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</si>
  <si>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</si>
  <si>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</si>
  <si>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</si>
  <si>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</si>
  <si>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</si>
  <si>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</si>
  <si>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</si>
  <si>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</si>
  <si>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</si>
  <si>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</si>
  <si>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</si>
  <si>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</si>
  <si>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</si>
  <si>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</si>
  <si>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</si>
  <si>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</si>
  <si>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</si>
  <si>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</si>
  <si>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</si>
  <si>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</si>
  <si>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Horacy Dzienis</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</si>
  <si>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</si>
  <si>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</si>
  <si>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</si>
  <si>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</si>
  <si>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</si>
  <si>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</si>
  <si>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</si>
  <si>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</si>
  <si>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</si>
  <si>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</si>
  <si>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</si>
  <si>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</si>
  <si>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</si>
  <si>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</si>
  <si>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</si>
  <si>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</si>
  <si>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</si>
  <si>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</si>
  <si>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</si>
  <si>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</si>
  <si>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</si>
  <si>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</si>
  <si>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</si>
  <si>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</si>
  <si>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</si>
  <si>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</si>
  <si>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</si>
  <si>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</si>
  <si>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</si>
  <si>
    <t>Nicolae Hornet</t>
  </si>
  <si>
    <t>Pablo Goenaga</t>
  </si>
  <si>
    <t>#36</t>
  </si>
  <si>
    <t>W. Duffill</t>
  </si>
  <si>
    <t>F. Añigas</t>
  </si>
  <si>
    <t>IMP/RAP</t>
  </si>
  <si>
    <t>Filip Antonijevic</t>
  </si>
  <si>
    <t>Namazbek Baktygazyuly</t>
  </si>
  <si>
    <t>Juan Gabriel de Minaya</t>
  </si>
  <si>
    <t>#38</t>
  </si>
  <si>
    <t>Berto Abandero</t>
  </si>
  <si>
    <t>Miguel Fernández</t>
  </si>
  <si>
    <t>M. Fernandez</t>
  </si>
  <si>
    <t>B. Abandero</t>
  </si>
  <si>
    <t>#25</t>
  </si>
  <si>
    <t>Jurgen Muësen</t>
  </si>
  <si>
    <t>Iván Real Figueroa</t>
  </si>
  <si>
    <t>I. R. Figueroa</t>
  </si>
  <si>
    <t>Fabien Fabre</t>
  </si>
  <si>
    <t>Cornel Caraba</t>
  </si>
  <si>
    <t>Emilio Rojas</t>
  </si>
  <si>
    <t>Guillermo Pedrajas</t>
  </si>
  <si>
    <t>G. Pedrajas</t>
  </si>
  <si>
    <t>h32</t>
  </si>
  <si>
    <t>#19</t>
  </si>
  <si>
    <t>Cosme Fonteboa</t>
  </si>
  <si>
    <t>C. Fonteboa</t>
  </si>
  <si>
    <t>Miklós Gábriel</t>
  </si>
  <si>
    <t>Inners</t>
  </si>
  <si>
    <t>Juan Garcia Peñuela</t>
  </si>
  <si>
    <t>Wil Duffill</t>
  </si>
  <si>
    <t>Eckardt Hagerling</t>
  </si>
  <si>
    <t>Vader - Rayitos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</si>
</sst>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8"/>
      <color theme="9" tint="-0.249977111117893"/>
      <name val="Verdana"/>
      <family val="2"/>
    </font>
    <font>
      <i/>
      <sz val="11"/>
      <color theme="1"/>
      <name val="Calibri"/>
      <family val="2"/>
      <scheme val="minor"/>
    </font>
  </fonts>
  <fills count="36">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60">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0" fontId="45" fillId="0" borderId="1" xfId="0" applyFont="1" applyFill="1" applyBorder="1" applyAlignment="1">
      <alignment horizontal="left" vertical="center"/>
    </xf>
    <xf numFmtId="0" fontId="0" fillId="0" borderId="0" xfId="0" applyAlignment="1">
      <alignment horizontal="center"/>
    </xf>
    <xf numFmtId="0" fontId="16" fillId="26" borderId="0" xfId="0" applyFont="1" applyFill="1"/>
    <xf numFmtId="0" fontId="46" fillId="0" borderId="0" xfId="0" applyFont="1" applyAlignment="1">
      <alignment horizontal="right"/>
    </xf>
    <xf numFmtId="0" fontId="13" fillId="27" borderId="1" xfId="3" applyFont="1" applyFill="1" applyBorder="1" applyAlignment="1">
      <alignment horizontal="right"/>
    </xf>
    <xf numFmtId="0" fontId="0" fillId="0" borderId="0" xfId="0" applyAlignment="1">
      <alignment horizontal="center"/>
    </xf>
    <xf numFmtId="0" fontId="0" fillId="35" borderId="0" xfId="0" applyFill="1" applyAlignment="1">
      <alignment horizontal="right"/>
    </xf>
    <xf numFmtId="0" fontId="0" fillId="0" borderId="0" xfId="0" applyAlignment="1">
      <alignment horizontal="center"/>
    </xf>
    <xf numFmtId="0" fontId="0" fillId="0" borderId="0" xfId="0" applyAlignment="1">
      <alignment horizontal="center"/>
    </xf>
    <xf numFmtId="43" fontId="16" fillId="0" borderId="0" xfId="1" applyFont="1" applyAlignment="1">
      <alignment horizontal="center"/>
    </xf>
    <xf numFmtId="0" fontId="0" fillId="0" borderId="0" xfId="0" applyAlignment="1">
      <alignment horizontal="center"/>
    </xf>
    <xf numFmtId="0" fontId="0" fillId="0" borderId="0" xfId="0" applyAlignment="1">
      <alignment horizontal="center"/>
    </xf>
    <xf numFmtId="0" fontId="46" fillId="0" borderId="0" xfId="0" applyFont="1" applyFill="1" applyAlignment="1">
      <alignment horizontal="right"/>
    </xf>
    <xf numFmtId="0" fontId="0" fillId="35" borderId="0" xfId="0" applyFont="1" applyFill="1" applyAlignment="1">
      <alignment horizontal="right"/>
    </xf>
    <xf numFmtId="0" fontId="0" fillId="0" borderId="0" xfId="0" applyAlignment="1">
      <alignment horizontal="center"/>
    </xf>
    <xf numFmtId="0" fontId="16" fillId="26"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5" fillId="27" borderId="1" xfId="3" applyFont="1" applyFill="1" applyBorder="1" applyAlignment="1">
      <alignment horizontal="right"/>
    </xf>
    <xf numFmtId="0" fontId="13" fillId="35" borderId="1" xfId="3" applyFont="1" applyFill="1" applyBorder="1" applyAlignment="1">
      <alignment horizontal="right"/>
    </xf>
    <xf numFmtId="0" fontId="5" fillId="35" borderId="1" xfId="3"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8" fillId="13" borderId="1" xfId="0" applyFont="1" applyFill="1" applyBorder="1" applyAlignment="1">
      <alignment horizontal="center" vertical="center"/>
    </xf>
    <xf numFmtId="2" fontId="0" fillId="0" borderId="0" xfId="0" applyNumberFormat="1" applyAlignment="1">
      <alignment horizontal="right"/>
    </xf>
    <xf numFmtId="2" fontId="16" fillId="0" borderId="0" xfId="0" applyNumberFormat="1" applyFont="1" applyAlignment="1">
      <alignment horizontal="right"/>
    </xf>
    <xf numFmtId="164" fontId="16" fillId="0" borderId="0" xfId="0" applyNumberFormat="1" applyFont="1" applyAlignment="1">
      <alignment horizontal="center"/>
    </xf>
    <xf numFmtId="0" fontId="0" fillId="0" borderId="0" xfId="0" applyAlignment="1">
      <alignment horizontal="center"/>
    </xf>
    <xf numFmtId="0" fontId="0" fillId="0" borderId="0" xfId="0" applyFill="1" applyAlignment="1">
      <alignment horizontal="right"/>
    </xf>
    <xf numFmtId="0" fontId="46" fillId="35" borderId="0" xfId="0" applyFont="1" applyFill="1" applyAlignment="1">
      <alignment horizontal="right"/>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16" fillId="26" borderId="0" xfId="0" applyFont="1" applyFill="1" applyAlignment="1">
      <alignment horizontal="center"/>
    </xf>
    <xf numFmtId="0" fontId="0" fillId="0" borderId="0" xfId="0" applyAlignment="1">
      <alignment horizontal="center"/>
    </xf>
  </cellXfs>
  <cellStyles count="5">
    <cellStyle name="Excel Built-in Normal" xfId="3" xr:uid="{00000000-0005-0000-0000-000000000000}"/>
    <cellStyle name="Millares" xfId="1" builtinId="3"/>
    <cellStyle name="Moneda" xfId="4" builtinId="4"/>
    <cellStyle name="Normal" xfId="0" builtinId="0"/>
    <cellStyle name="Porcentaje" xfId="2" builtinId="5"/>
  </cellStyles>
  <dxfs count="1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6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6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6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6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6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6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6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6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6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6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6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6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6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6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6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6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6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6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6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6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6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6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6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6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6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6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6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6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6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6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6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6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6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6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6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6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6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6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6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6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6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6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6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6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6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6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6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6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6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6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6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6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6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6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6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6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6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6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6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6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6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6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6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6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6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6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6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6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6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6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6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6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6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6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6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6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6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6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6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6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6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6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6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6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6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6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6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6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6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6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6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6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6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6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6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6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6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6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6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6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6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6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6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6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6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6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6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6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6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6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6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6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6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6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6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6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6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6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6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6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6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6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6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6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6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6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6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6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6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6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6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6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6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6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6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6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6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6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6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6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6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6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6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6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6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6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6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6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6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6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6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6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6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6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6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6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6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6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6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6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6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6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6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6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6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6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6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6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6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6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6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6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6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6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6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6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6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6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6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6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6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6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6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6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6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6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6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6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6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6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6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6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6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6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6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6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6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6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6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6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6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6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6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6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6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6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6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6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6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6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6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6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6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6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6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6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6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6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6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6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6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6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6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6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6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6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6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6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6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6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6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6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6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6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6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6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6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6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6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6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6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6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6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6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6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6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6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6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6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6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6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6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6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6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6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6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6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6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6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6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6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6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6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6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6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6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6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6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6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6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6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6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6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6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6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6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6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6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6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6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6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6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6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6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6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6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6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6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6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6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6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6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6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6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6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6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6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6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6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6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6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6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6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6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6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6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6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6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6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6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6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6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6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6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6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6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6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6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6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6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6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6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6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6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6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6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6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6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6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6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6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6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6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6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6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6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6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6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6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6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6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6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6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6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6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6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6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6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6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6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6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6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6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6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6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6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6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6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6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6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6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6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6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6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6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6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6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6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6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6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6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6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6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6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6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6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6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6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6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6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6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6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6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6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6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6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6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6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6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6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6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6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6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6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6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6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6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6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6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6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6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6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6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6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6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6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6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6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6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6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6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6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6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6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6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6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6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6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6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6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6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6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6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6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6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6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6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6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6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6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6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6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6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6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6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6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6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6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6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6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6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6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6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6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6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6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6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6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6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6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6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6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6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6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6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6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6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6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6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6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6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6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6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6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6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6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6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6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6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6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6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6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6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6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6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6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6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6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6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6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6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6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6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6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6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6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6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6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6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6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6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6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6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6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6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6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6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6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6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6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6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6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6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6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6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6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6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6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6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6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6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6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6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6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6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6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6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6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6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6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6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6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6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6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6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6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6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6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6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6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6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6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6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6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6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6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6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6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6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6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6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6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6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6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6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6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6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6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6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6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6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6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6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6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6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6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6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6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6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6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6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6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6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6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6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6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6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6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6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6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6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6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6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6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6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6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6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6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6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6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6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6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6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6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6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6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6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6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6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6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6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6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6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6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6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6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6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6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6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6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6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6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6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6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6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6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6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6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6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6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6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6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6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6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6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6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6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6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6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6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6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6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6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6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6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6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6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6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6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6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6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6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600-00009B020000}"/>
            </a:ext>
          </a:extLst>
        </xdr:cNvPr>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6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600-00009D020000}"/>
            </a:ext>
          </a:extLst>
        </xdr:cNvPr>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600-00009E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600-00009F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6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600-0000A1020000}"/>
            </a:ext>
          </a:extLst>
        </xdr:cNvPr>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6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6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6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6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6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6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6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6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6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6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6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6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6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6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6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6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6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6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6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6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6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6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6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6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6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6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6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6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6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6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6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6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6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6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6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6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6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6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6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6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6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6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6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6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6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6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6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6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6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6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6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6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6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6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6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6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6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6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6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6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6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6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6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6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6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6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6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6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6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6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6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6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6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6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6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6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6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6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6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6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6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6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6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6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6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6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6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6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6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6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6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6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6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6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6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6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6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6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6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6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6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6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6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6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6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6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6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6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6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6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6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6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6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6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6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6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6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6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6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6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6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6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6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6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6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6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6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6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6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6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6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6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6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6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6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6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6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6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6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6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6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6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6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6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6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6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6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6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6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6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6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6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6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6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6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6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6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6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6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6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6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6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6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6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6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6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6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6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6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6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6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6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6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6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6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6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6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6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6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6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6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6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6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6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6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6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6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6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6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6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6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6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6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6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6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6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6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6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6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6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6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6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6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6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6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6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6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6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6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6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6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6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6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6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6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6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6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6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6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6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6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6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6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6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6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6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6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6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6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6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6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6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6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6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6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6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6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6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6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6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6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6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6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6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6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6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6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6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6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6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6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6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6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6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6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6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6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6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6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6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6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6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6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6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6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6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6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6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6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6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6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6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6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6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6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6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6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6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6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6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6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6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6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6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6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6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6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6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6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6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6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6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6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6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6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6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6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6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6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6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6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6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6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6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6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6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6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6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6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6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6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6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6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6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6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6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6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6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6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6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6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6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6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6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6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6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6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6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6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6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6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6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6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6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6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6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6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6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6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6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6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6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6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6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6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6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6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6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6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6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6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6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6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6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6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6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6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6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6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6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6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6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6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6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6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6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6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6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6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6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6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6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6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6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6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6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6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6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6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6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6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6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6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6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6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6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6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6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6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6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6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6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6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6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6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6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6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6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6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6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6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6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6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6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6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6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6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6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6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6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6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6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6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6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6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6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6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6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6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6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6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6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6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6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6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6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6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6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6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6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6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6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6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6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6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6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6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6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6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6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6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6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6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6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6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6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6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6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6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6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6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6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6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6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6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6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6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6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6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6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6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6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6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6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6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6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6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6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6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6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6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6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6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6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6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6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6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6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6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6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6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6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6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6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6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6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6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6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6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6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6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6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6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6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6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6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6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6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6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6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6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6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6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6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6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6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6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6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6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6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6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6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6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6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6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6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6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6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6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6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6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6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6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6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6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6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6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6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6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6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6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6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6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6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6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6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6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6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6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6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6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6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6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6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6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6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6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6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6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6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6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6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6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6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6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6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6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6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6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6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6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6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6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6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6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6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6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6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6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6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6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6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6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6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6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6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6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6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6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6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6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6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6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6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6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6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6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6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6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6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6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6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6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6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6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6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6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6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6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6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6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6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6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6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6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6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6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6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6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6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6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6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6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6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6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6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6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6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6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6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6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6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6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6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6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6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6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6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6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6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6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6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6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6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6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6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6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6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6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6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6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6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6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6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6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6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6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6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6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6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6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6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6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6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6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6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6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6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6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6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6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6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6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6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6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6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6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6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6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6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6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6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6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6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6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6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6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6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6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6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6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6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6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6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6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6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6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6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6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6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6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6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6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6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6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6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6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6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6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6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6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6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6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6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6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6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6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6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6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6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6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6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6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6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6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6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6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6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6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6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6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6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6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6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6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6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6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6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6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6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6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6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6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6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6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6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6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6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6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6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6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6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6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6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6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6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6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6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6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6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6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6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6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6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6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6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6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6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6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6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6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6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6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6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6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6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6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6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6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6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6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6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6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6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6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6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6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6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6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6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6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6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6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6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6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6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6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6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6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6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6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6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6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6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6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6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6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6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6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6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6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6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6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6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6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6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6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6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6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6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6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6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6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6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6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6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6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6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6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6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6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6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6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6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6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6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6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6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6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6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6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6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6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6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6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6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6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6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6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6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6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6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6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6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6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6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6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6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6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6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6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6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6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6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6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6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6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6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6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6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6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6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6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6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6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6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6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6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6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6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6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6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6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6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6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6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6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6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6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6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6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6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6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6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6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6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6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6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6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6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6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6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6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6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6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6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6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6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6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6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6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6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6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6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6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6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6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6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6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6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6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6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6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6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6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6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6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6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6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6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6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6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6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6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6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6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6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6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6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6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6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6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6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6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6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6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6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6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6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6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6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6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6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6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6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6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6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6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6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6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6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6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6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6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6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6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6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6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6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6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6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6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6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6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6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6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6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6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6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6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6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6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6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6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6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6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6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6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6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6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6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6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6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6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6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6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6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6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6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6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6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6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6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6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6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6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6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6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6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6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6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6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6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6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6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6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6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6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6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6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6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6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6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6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6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6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6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6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6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6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6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6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6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6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6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6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6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6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6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6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6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6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6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6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6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6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6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6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6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6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6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6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6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6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6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6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6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6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6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6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6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6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6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6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6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6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6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6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6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6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6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6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6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6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6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6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6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6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6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6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6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6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6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6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6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6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6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6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6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6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6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6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6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6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6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6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6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6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6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6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6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6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6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6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6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6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6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6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6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6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6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6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6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6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6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6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6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6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6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6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6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6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6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6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6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6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6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6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6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6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6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6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6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6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6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6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6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6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6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6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6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6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6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6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6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6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6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6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6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6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6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6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6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6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6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6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6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6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6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6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6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6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6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6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6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6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6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6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6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6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6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6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6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6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6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6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6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6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6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6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6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6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6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6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6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6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6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6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6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6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6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6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6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6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6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6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6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6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6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6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6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6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6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6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6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6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6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6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6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6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6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6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6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6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6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6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6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6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6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6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6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6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6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6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6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6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6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6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6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6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6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6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6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6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6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6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6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6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6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6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6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6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6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6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6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6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6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6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6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6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6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6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6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6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6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6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6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6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6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6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6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6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6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6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6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6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6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6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6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6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6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6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6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6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6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6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6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6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6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6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6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6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6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6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6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6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6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6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6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6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6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6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6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6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6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6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6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6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6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6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6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6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6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6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6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6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6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6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6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6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6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6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6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6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6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6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6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6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6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6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6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6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6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6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6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6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6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6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6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6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6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6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6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6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6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6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6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6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6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6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6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6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6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6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6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6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6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6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6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6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6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6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6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6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6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6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6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6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6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6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6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6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6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6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6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6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6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6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6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6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6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6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6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6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6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6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6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6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6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6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6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6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6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6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6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6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6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6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6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6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6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6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6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6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6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6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6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6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6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6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6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6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6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6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6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6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6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6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6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6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6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6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6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6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6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6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6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6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6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6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6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6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6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6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6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6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6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6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6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6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6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6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6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6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6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6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6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6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6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6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6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6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6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6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6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6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6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6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6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6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6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6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6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6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6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6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6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6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6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6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6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6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6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6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6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6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6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6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6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6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6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6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6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6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6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6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6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6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6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6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6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6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6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6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6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6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6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6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6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6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6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6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6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6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6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6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6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6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6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6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6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6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6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6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6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6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6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6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6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6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6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6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6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6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6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6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6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6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6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6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6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6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6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6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6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6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6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6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6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6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6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6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6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6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6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6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6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6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6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6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6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6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6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6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6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6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6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6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6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6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6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6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6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6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6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6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6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6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6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6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6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6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6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6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6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6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6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6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6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6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6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6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6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6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6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6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6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6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6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6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6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6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6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6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6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6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6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6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6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6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6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6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6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6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6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6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6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6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6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6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6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6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6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6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6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6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6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6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6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6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6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6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6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6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6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6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6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6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6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6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6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6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6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6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6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6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6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6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6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6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6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6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6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6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6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6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6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6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6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6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6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6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6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6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6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6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6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6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6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6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6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6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6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6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6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6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6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6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6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6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6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6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6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6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6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6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6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6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6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6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6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6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6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6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6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6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6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6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6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6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6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6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6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6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6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6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6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6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6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6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6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6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6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6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6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6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6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6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6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6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6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6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6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6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6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6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6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6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6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6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6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6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6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6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6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6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6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6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6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6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6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6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6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6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6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6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6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6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6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6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6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6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6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6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6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6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6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6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6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6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6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6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6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6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6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6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6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6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6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6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6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6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6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6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6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6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6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6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6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6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6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6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6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6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6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6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6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6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6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6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6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6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6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6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6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6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6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6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6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6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6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6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6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6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6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6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6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6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6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6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6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6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6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6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6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6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6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6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6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6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6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6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6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6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6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6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6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6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6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6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6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6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6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6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6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6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6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6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6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6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6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6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6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6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6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6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6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6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6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6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6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6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6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6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6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6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6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6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6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6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6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6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6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6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6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6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6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6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6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6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6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6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6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6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6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6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6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6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6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6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6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6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6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6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6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6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6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6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6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6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6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6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6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6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6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6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6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6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6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6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6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6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6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6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6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6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6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6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6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6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6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6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6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6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6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6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6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6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6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6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6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6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6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6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6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6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6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6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6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6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6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6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6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6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6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6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6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6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6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6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6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6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6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6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6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6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6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6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6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6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6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6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6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6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6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6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6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6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6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6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6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6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6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6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6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6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6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6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6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6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6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6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6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6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6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6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6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6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6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6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6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6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6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6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6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6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6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6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6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6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6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6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6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6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6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6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6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6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6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6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6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6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6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6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6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6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6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6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6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6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6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6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6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6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6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6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6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6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6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6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6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6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6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6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6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6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6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6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6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6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6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6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6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6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6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6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6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6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6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6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6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6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6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6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6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6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6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6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6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6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6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6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6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6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6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6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6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6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6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6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6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6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6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6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6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6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6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6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6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6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6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6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6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6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6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6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6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6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6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6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6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6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6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6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6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6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6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6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6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6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6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6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6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6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6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6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6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6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6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6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6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6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6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6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6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6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6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6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6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6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6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6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6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6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6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6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6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6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6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6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6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6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6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6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6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6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6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6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6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6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6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6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6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6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6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6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6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6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6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6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6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6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6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6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6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6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6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6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6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6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6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6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6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6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6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6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6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6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6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6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6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6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6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6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6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6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6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6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6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6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6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6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6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6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6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6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6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6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6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6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6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6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6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6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6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6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6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6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6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6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6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6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6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6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6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6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6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6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6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6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6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6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6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6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6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6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6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6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6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6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6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6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6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6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6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6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6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6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6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6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6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6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6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6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6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6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6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6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6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6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6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6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6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6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6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6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6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6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6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6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6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6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6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6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6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6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6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6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6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6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6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6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6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6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6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6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6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6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6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6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6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6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6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6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6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6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6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6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6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6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6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6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6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6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6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6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6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6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6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6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6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6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6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6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6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6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6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6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6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6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6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6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6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6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6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6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6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6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6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6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6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6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6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6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6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6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6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6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6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6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6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6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6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6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6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6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6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6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6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6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6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6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6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6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6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6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6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6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6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6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6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6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6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6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6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6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6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6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6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6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6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6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6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6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6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6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6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6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6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6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6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6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6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6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6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6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6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6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6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6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6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6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6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6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6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6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6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6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6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6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6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6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6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6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6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6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6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6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6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6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6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6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6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6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6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6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6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6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6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6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6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6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6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6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6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6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6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6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6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6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6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6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6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6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6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6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6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6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6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6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6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6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6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6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6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6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6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6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6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6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6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6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6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6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6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6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6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6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6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6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6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6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6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6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6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6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6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6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6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6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6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6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6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6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6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6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6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6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6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6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6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6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6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6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6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6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6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6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6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6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6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6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6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6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6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6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6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6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6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6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6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6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6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6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6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6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6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6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6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6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6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6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6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6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6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6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6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6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6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6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6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6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6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6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6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6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6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6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6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6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6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6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6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6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6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6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6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6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6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6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6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6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6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6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6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6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6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6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6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6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6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6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6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6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6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6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6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6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6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6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6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6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6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6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6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6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6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6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6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6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6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6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6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6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6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6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6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6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6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6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6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6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6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6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6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6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6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6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6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6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6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6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6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6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6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6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6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6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6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6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6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6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6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6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6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6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6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6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6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6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6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6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6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6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6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6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6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6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6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6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6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6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6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6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6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6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6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6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6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6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6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6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6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6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6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6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6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6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6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6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6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6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6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6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6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6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6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6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6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6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6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6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6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6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6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6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6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6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6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6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6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6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6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6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6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6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6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6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6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6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6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6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6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6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6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6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6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6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6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6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6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6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6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6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6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6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6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6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6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6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6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6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6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6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6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6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6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6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6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6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6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6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6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6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6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6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6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6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6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6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6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6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6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6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6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6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6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6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6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6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6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6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6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6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6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6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6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6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6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6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6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6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6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6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6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6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6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6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6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6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6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6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6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6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6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6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6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6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6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6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6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6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6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6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6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6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6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6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6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6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6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6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6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6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6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6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6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6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6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6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6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6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6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6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6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6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6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6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6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6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6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6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6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6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6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6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6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6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6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6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6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6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6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6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6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6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6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6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6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6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6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6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6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6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6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6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6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6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6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6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6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6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6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6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6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6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6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6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6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6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6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6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6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6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6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6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6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6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6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6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6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6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6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6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6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6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6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6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6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6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6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6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6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6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6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6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6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6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6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6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6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6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6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6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6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6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6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6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6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6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6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6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6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a:extLst>
            <a:ext uri="{FF2B5EF4-FFF2-40B4-BE49-F238E27FC236}">
              <a16:creationId xmlns:a16="http://schemas.microsoft.com/office/drawing/2014/main" id="{00000000-0008-0000-0600-00009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a:extLst>
            <a:ext uri="{FF2B5EF4-FFF2-40B4-BE49-F238E27FC236}">
              <a16:creationId xmlns:a16="http://schemas.microsoft.com/office/drawing/2014/main" id="{00000000-0008-0000-0600-00009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a:extLst>
            <a:ext uri="{FF2B5EF4-FFF2-40B4-BE49-F238E27FC236}">
              <a16:creationId xmlns:a16="http://schemas.microsoft.com/office/drawing/2014/main" id="{00000000-0008-0000-0600-00009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a:extLst>
            <a:ext uri="{FF2B5EF4-FFF2-40B4-BE49-F238E27FC236}">
              <a16:creationId xmlns:a16="http://schemas.microsoft.com/office/drawing/2014/main" id="{00000000-0008-0000-0600-00009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a:extLst>
            <a:ext uri="{FF2B5EF4-FFF2-40B4-BE49-F238E27FC236}">
              <a16:creationId xmlns:a16="http://schemas.microsoft.com/office/drawing/2014/main" id="{00000000-0008-0000-0600-00009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a:extLst>
            <a:ext uri="{FF2B5EF4-FFF2-40B4-BE49-F238E27FC236}">
              <a16:creationId xmlns:a16="http://schemas.microsoft.com/office/drawing/2014/main" id="{00000000-0008-0000-0600-00009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a:extLst>
            <a:ext uri="{FF2B5EF4-FFF2-40B4-BE49-F238E27FC236}">
              <a16:creationId xmlns:a16="http://schemas.microsoft.com/office/drawing/2014/main" id="{00000000-0008-0000-0600-00009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a:extLst>
            <a:ext uri="{FF2B5EF4-FFF2-40B4-BE49-F238E27FC236}">
              <a16:creationId xmlns:a16="http://schemas.microsoft.com/office/drawing/2014/main" id="{00000000-0008-0000-0600-00009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a:extLst>
            <a:ext uri="{FF2B5EF4-FFF2-40B4-BE49-F238E27FC236}">
              <a16:creationId xmlns:a16="http://schemas.microsoft.com/office/drawing/2014/main" id="{00000000-0008-0000-0600-00009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a:extLst>
            <a:ext uri="{FF2B5EF4-FFF2-40B4-BE49-F238E27FC236}">
              <a16:creationId xmlns:a16="http://schemas.microsoft.com/office/drawing/2014/main" id="{00000000-0008-0000-0600-00009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a:extLst>
            <a:ext uri="{FF2B5EF4-FFF2-40B4-BE49-F238E27FC236}">
              <a16:creationId xmlns:a16="http://schemas.microsoft.com/office/drawing/2014/main" id="{00000000-0008-0000-0600-00009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a:extLst>
            <a:ext uri="{FF2B5EF4-FFF2-40B4-BE49-F238E27FC236}">
              <a16:creationId xmlns:a16="http://schemas.microsoft.com/office/drawing/2014/main" id="{00000000-0008-0000-0600-0000A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a:extLst>
            <a:ext uri="{FF2B5EF4-FFF2-40B4-BE49-F238E27FC236}">
              <a16:creationId xmlns:a16="http://schemas.microsoft.com/office/drawing/2014/main" id="{00000000-0008-0000-0600-0000A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a:extLst>
            <a:ext uri="{FF2B5EF4-FFF2-40B4-BE49-F238E27FC236}">
              <a16:creationId xmlns:a16="http://schemas.microsoft.com/office/drawing/2014/main" id="{00000000-0008-0000-0600-0000A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a:extLst>
            <a:ext uri="{FF2B5EF4-FFF2-40B4-BE49-F238E27FC236}">
              <a16:creationId xmlns:a16="http://schemas.microsoft.com/office/drawing/2014/main" id="{00000000-0008-0000-0600-0000A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a:extLst>
            <a:ext uri="{FF2B5EF4-FFF2-40B4-BE49-F238E27FC236}">
              <a16:creationId xmlns:a16="http://schemas.microsoft.com/office/drawing/2014/main" id="{00000000-0008-0000-0600-0000A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a:extLst>
            <a:ext uri="{FF2B5EF4-FFF2-40B4-BE49-F238E27FC236}">
              <a16:creationId xmlns:a16="http://schemas.microsoft.com/office/drawing/2014/main" id="{00000000-0008-0000-0600-0000A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a:extLst>
            <a:ext uri="{FF2B5EF4-FFF2-40B4-BE49-F238E27FC236}">
              <a16:creationId xmlns:a16="http://schemas.microsoft.com/office/drawing/2014/main" id="{00000000-0008-0000-0600-0000A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a:extLst>
            <a:ext uri="{FF2B5EF4-FFF2-40B4-BE49-F238E27FC236}">
              <a16:creationId xmlns:a16="http://schemas.microsoft.com/office/drawing/2014/main" id="{00000000-0008-0000-0600-0000A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a:extLst>
            <a:ext uri="{FF2B5EF4-FFF2-40B4-BE49-F238E27FC236}">
              <a16:creationId xmlns:a16="http://schemas.microsoft.com/office/drawing/2014/main" id="{00000000-0008-0000-0600-0000A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a:extLst>
            <a:ext uri="{FF2B5EF4-FFF2-40B4-BE49-F238E27FC236}">
              <a16:creationId xmlns:a16="http://schemas.microsoft.com/office/drawing/2014/main" id="{00000000-0008-0000-0600-0000A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a:extLst>
            <a:ext uri="{FF2B5EF4-FFF2-40B4-BE49-F238E27FC236}">
              <a16:creationId xmlns:a16="http://schemas.microsoft.com/office/drawing/2014/main" id="{00000000-0008-0000-0600-0000A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a:extLst>
            <a:ext uri="{FF2B5EF4-FFF2-40B4-BE49-F238E27FC236}">
              <a16:creationId xmlns:a16="http://schemas.microsoft.com/office/drawing/2014/main" id="{00000000-0008-0000-0600-0000A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a:extLst>
            <a:ext uri="{FF2B5EF4-FFF2-40B4-BE49-F238E27FC236}">
              <a16:creationId xmlns:a16="http://schemas.microsoft.com/office/drawing/2014/main" id="{00000000-0008-0000-0600-0000A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a:extLst>
            <a:ext uri="{FF2B5EF4-FFF2-40B4-BE49-F238E27FC236}">
              <a16:creationId xmlns:a16="http://schemas.microsoft.com/office/drawing/2014/main" id="{00000000-0008-0000-0600-0000A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a:extLst>
            <a:ext uri="{FF2B5EF4-FFF2-40B4-BE49-F238E27FC236}">
              <a16:creationId xmlns:a16="http://schemas.microsoft.com/office/drawing/2014/main" id="{00000000-0008-0000-0600-0000A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a:extLst>
            <a:ext uri="{FF2B5EF4-FFF2-40B4-BE49-F238E27FC236}">
              <a16:creationId xmlns:a16="http://schemas.microsoft.com/office/drawing/2014/main" id="{00000000-0008-0000-0600-0000A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a:extLst>
            <a:ext uri="{FF2B5EF4-FFF2-40B4-BE49-F238E27FC236}">
              <a16:creationId xmlns:a16="http://schemas.microsoft.com/office/drawing/2014/main" id="{00000000-0008-0000-0600-0000B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a:extLst>
            <a:ext uri="{FF2B5EF4-FFF2-40B4-BE49-F238E27FC236}">
              <a16:creationId xmlns:a16="http://schemas.microsoft.com/office/drawing/2014/main" id="{00000000-0008-0000-0600-0000B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a:extLst>
            <a:ext uri="{FF2B5EF4-FFF2-40B4-BE49-F238E27FC236}">
              <a16:creationId xmlns:a16="http://schemas.microsoft.com/office/drawing/2014/main" id="{00000000-0008-0000-0600-0000B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a:extLst>
            <a:ext uri="{FF2B5EF4-FFF2-40B4-BE49-F238E27FC236}">
              <a16:creationId xmlns:a16="http://schemas.microsoft.com/office/drawing/2014/main" id="{00000000-0008-0000-0600-0000B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a:extLst>
            <a:ext uri="{FF2B5EF4-FFF2-40B4-BE49-F238E27FC236}">
              <a16:creationId xmlns:a16="http://schemas.microsoft.com/office/drawing/2014/main" id="{00000000-0008-0000-0600-0000B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a:extLst>
            <a:ext uri="{FF2B5EF4-FFF2-40B4-BE49-F238E27FC236}">
              <a16:creationId xmlns:a16="http://schemas.microsoft.com/office/drawing/2014/main" id="{00000000-0008-0000-0600-0000B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a:extLst>
            <a:ext uri="{FF2B5EF4-FFF2-40B4-BE49-F238E27FC236}">
              <a16:creationId xmlns:a16="http://schemas.microsoft.com/office/drawing/2014/main" id="{00000000-0008-0000-0600-0000B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a:extLst>
            <a:ext uri="{FF2B5EF4-FFF2-40B4-BE49-F238E27FC236}">
              <a16:creationId xmlns:a16="http://schemas.microsoft.com/office/drawing/2014/main" id="{00000000-0008-0000-0600-0000B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a:extLst>
            <a:ext uri="{FF2B5EF4-FFF2-40B4-BE49-F238E27FC236}">
              <a16:creationId xmlns:a16="http://schemas.microsoft.com/office/drawing/2014/main" id="{00000000-0008-0000-0600-0000B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a:extLst>
            <a:ext uri="{FF2B5EF4-FFF2-40B4-BE49-F238E27FC236}">
              <a16:creationId xmlns:a16="http://schemas.microsoft.com/office/drawing/2014/main" id="{00000000-0008-0000-0600-0000B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a:extLst>
            <a:ext uri="{FF2B5EF4-FFF2-40B4-BE49-F238E27FC236}">
              <a16:creationId xmlns:a16="http://schemas.microsoft.com/office/drawing/2014/main" id="{00000000-0008-0000-0600-0000B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a:extLst>
            <a:ext uri="{FF2B5EF4-FFF2-40B4-BE49-F238E27FC236}">
              <a16:creationId xmlns:a16="http://schemas.microsoft.com/office/drawing/2014/main" id="{00000000-0008-0000-0600-0000B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a:extLst>
            <a:ext uri="{FF2B5EF4-FFF2-40B4-BE49-F238E27FC236}">
              <a16:creationId xmlns:a16="http://schemas.microsoft.com/office/drawing/2014/main" id="{00000000-0008-0000-0600-0000B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a:extLst>
            <a:ext uri="{FF2B5EF4-FFF2-40B4-BE49-F238E27FC236}">
              <a16:creationId xmlns:a16="http://schemas.microsoft.com/office/drawing/2014/main" id="{00000000-0008-0000-0600-0000B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a:extLst>
            <a:ext uri="{FF2B5EF4-FFF2-40B4-BE49-F238E27FC236}">
              <a16:creationId xmlns:a16="http://schemas.microsoft.com/office/drawing/2014/main" id="{00000000-0008-0000-0600-0000B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T145"/>
  <sheetViews>
    <sheetView zoomScale="80" zoomScaleNormal="80" workbookViewId="0">
      <selection activeCell="I8" sqref="I8"/>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119</v>
      </c>
      <c r="B1" s="71"/>
      <c r="C1" s="71"/>
      <c r="D1" s="71"/>
      <c r="E1" s="71"/>
      <c r="F1" s="71"/>
      <c r="G1" s="71"/>
      <c r="H1" s="72"/>
      <c r="I1" s="71"/>
      <c r="J1" s="71"/>
      <c r="K1" s="71"/>
      <c r="L1" s="71"/>
      <c r="M1" s="71"/>
      <c r="N1" s="71"/>
      <c r="O1" s="71"/>
      <c r="P1" s="71"/>
      <c r="Q1" s="71"/>
      <c r="R1" s="71"/>
      <c r="S1" s="71"/>
      <c r="T1" s="71"/>
      <c r="U1" s="71"/>
      <c r="V1" s="71"/>
      <c r="W1" s="71"/>
      <c r="X1" s="73"/>
      <c r="Y1" s="74" t="s">
        <v>120</v>
      </c>
      <c r="Z1" s="74"/>
    </row>
    <row r="2" spans="1:46" ht="15.75" x14ac:dyDescent="0.25">
      <c r="A2" s="75" t="s">
        <v>121</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124</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122</v>
      </c>
      <c r="Z4" s="78" t="s">
        <v>160</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123</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125</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126</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127</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128</v>
      </c>
      <c r="B56" s="91"/>
      <c r="C56" s="91"/>
      <c r="D56" s="91"/>
      <c r="E56" s="91"/>
      <c r="F56" s="91"/>
      <c r="H56" s="92"/>
      <c r="X56" s="89"/>
    </row>
    <row r="57" spans="1:24" ht="15.75" x14ac:dyDescent="0.25">
      <c r="A57" s="91"/>
      <c r="B57" s="91"/>
      <c r="C57" s="91"/>
      <c r="D57" s="91"/>
      <c r="E57" s="91"/>
      <c r="F57" s="91"/>
      <c r="H57" s="92"/>
      <c r="X57" s="89"/>
    </row>
    <row r="58" spans="1:24" ht="15.75" x14ac:dyDescent="0.25">
      <c r="A58" s="94" t="s">
        <v>129</v>
      </c>
      <c r="B58" s="94" t="s">
        <v>130</v>
      </c>
      <c r="C58" s="94" t="s">
        <v>131</v>
      </c>
      <c r="D58" s="94" t="s">
        <v>132</v>
      </c>
      <c r="E58" s="94" t="s">
        <v>133</v>
      </c>
      <c r="F58" s="94" t="s">
        <v>134</v>
      </c>
      <c r="H58" s="92" t="s">
        <v>135</v>
      </c>
      <c r="X58" s="89"/>
    </row>
    <row r="59" spans="1:24" ht="15.75" x14ac:dyDescent="0.25">
      <c r="A59" s="95">
        <v>17</v>
      </c>
      <c r="B59" s="249" t="s">
        <v>105</v>
      </c>
      <c r="C59" s="96" t="s">
        <v>104</v>
      </c>
      <c r="D59" s="250" t="s">
        <v>136</v>
      </c>
      <c r="E59" s="250" t="s">
        <v>136</v>
      </c>
      <c r="F59" s="97" t="s">
        <v>102</v>
      </c>
      <c r="H59" s="98" t="s">
        <v>137</v>
      </c>
      <c r="X59" s="89"/>
    </row>
    <row r="60" spans="1:24" ht="15.75" x14ac:dyDescent="0.25">
      <c r="A60" s="99">
        <v>18</v>
      </c>
      <c r="B60" s="249"/>
      <c r="C60" s="96" t="s">
        <v>138</v>
      </c>
      <c r="D60" s="250"/>
      <c r="E60" s="250"/>
      <c r="F60" s="97" t="s">
        <v>139</v>
      </c>
      <c r="H60" s="92" t="s">
        <v>140</v>
      </c>
      <c r="X60" s="89"/>
    </row>
    <row r="61" spans="1:24" ht="15.75" x14ac:dyDescent="0.25">
      <c r="A61" s="95">
        <v>19</v>
      </c>
      <c r="B61" s="249"/>
      <c r="C61" s="100"/>
      <c r="D61" s="250"/>
      <c r="E61" s="250"/>
      <c r="F61" s="101"/>
      <c r="H61" s="92" t="s">
        <v>141</v>
      </c>
      <c r="I61" s="91"/>
      <c r="X61" s="89"/>
    </row>
    <row r="62" spans="1:24" ht="15.75" x14ac:dyDescent="0.25">
      <c r="A62" s="99">
        <v>20</v>
      </c>
      <c r="B62" s="249"/>
      <c r="C62" s="97" t="s">
        <v>136</v>
      </c>
      <c r="D62" s="251" t="s">
        <v>102</v>
      </c>
      <c r="E62" s="97" t="s">
        <v>102</v>
      </c>
      <c r="F62" s="101"/>
      <c r="H62" s="92" t="s">
        <v>142</v>
      </c>
      <c r="X62" s="89"/>
    </row>
    <row r="63" spans="1:24" ht="15.75" x14ac:dyDescent="0.25">
      <c r="A63" s="95">
        <v>21</v>
      </c>
      <c r="B63" s="252" t="s">
        <v>104</v>
      </c>
      <c r="C63" s="97" t="s">
        <v>143</v>
      </c>
      <c r="D63" s="251"/>
      <c r="E63" s="97" t="s">
        <v>139</v>
      </c>
      <c r="F63" s="101"/>
      <c r="H63" s="92" t="s">
        <v>144</v>
      </c>
      <c r="X63" s="89"/>
    </row>
    <row r="64" spans="1:24" ht="15.75" x14ac:dyDescent="0.25">
      <c r="A64" s="99">
        <v>22</v>
      </c>
      <c r="B64" s="252"/>
      <c r="C64" s="101"/>
      <c r="D64" s="251"/>
      <c r="E64" s="101"/>
      <c r="F64" s="101"/>
      <c r="H64" s="92" t="s">
        <v>145</v>
      </c>
      <c r="X64" s="89"/>
    </row>
    <row r="65" spans="1:24" ht="15.75" x14ac:dyDescent="0.25">
      <c r="A65" s="95">
        <v>23</v>
      </c>
      <c r="B65" s="252"/>
      <c r="C65" s="101"/>
      <c r="D65" s="251"/>
      <c r="E65" s="101"/>
      <c r="F65" s="101"/>
      <c r="H65" s="92"/>
      <c r="X65" s="89"/>
    </row>
    <row r="66" spans="1:24" ht="15.75" x14ac:dyDescent="0.25">
      <c r="A66" s="99">
        <v>24</v>
      </c>
      <c r="B66" s="252"/>
      <c r="C66" s="101"/>
      <c r="D66" s="251"/>
      <c r="E66" s="101"/>
      <c r="F66" s="101"/>
      <c r="H66" s="92" t="s">
        <v>146</v>
      </c>
      <c r="X66" s="89"/>
    </row>
    <row r="67" spans="1:24" ht="15.75" x14ac:dyDescent="0.25">
      <c r="A67" s="95">
        <v>25</v>
      </c>
      <c r="B67" s="252"/>
      <c r="C67" s="101"/>
      <c r="D67" s="250" t="s">
        <v>136</v>
      </c>
      <c r="E67" s="101"/>
      <c r="F67" s="101"/>
      <c r="H67" s="92" t="s">
        <v>147</v>
      </c>
      <c r="X67" s="89"/>
    </row>
    <row r="68" spans="1:24" ht="15.75" x14ac:dyDescent="0.25">
      <c r="A68" s="99">
        <v>26</v>
      </c>
      <c r="B68" s="252"/>
      <c r="C68" s="250" t="s">
        <v>136</v>
      </c>
      <c r="D68" s="250"/>
      <c r="E68" s="101"/>
      <c r="F68" s="101"/>
      <c r="H68" s="92"/>
      <c r="X68" s="89"/>
    </row>
    <row r="69" spans="1:24" ht="15.75" x14ac:dyDescent="0.25">
      <c r="A69" s="95">
        <v>27</v>
      </c>
      <c r="B69" s="249" t="s">
        <v>105</v>
      </c>
      <c r="C69" s="250"/>
      <c r="D69" s="250"/>
      <c r="E69" s="101"/>
      <c r="F69" s="101"/>
      <c r="H69" s="92"/>
      <c r="X69" s="89"/>
    </row>
    <row r="70" spans="1:24" ht="15.75" x14ac:dyDescent="0.25">
      <c r="A70" s="99">
        <v>28</v>
      </c>
      <c r="B70" s="249"/>
      <c r="C70" s="252" t="s">
        <v>104</v>
      </c>
      <c r="D70" s="250"/>
      <c r="E70" s="101"/>
      <c r="F70" s="101"/>
      <c r="H70" s="92" t="s">
        <v>148</v>
      </c>
      <c r="X70" s="89"/>
    </row>
    <row r="71" spans="1:24" ht="15.75" x14ac:dyDescent="0.25">
      <c r="A71" s="95">
        <v>29</v>
      </c>
      <c r="B71" s="249"/>
      <c r="C71" s="252"/>
      <c r="D71" s="250"/>
      <c r="E71" s="101"/>
      <c r="F71" s="101"/>
      <c r="H71" s="92"/>
      <c r="X71" s="89"/>
    </row>
    <row r="72" spans="1:24" ht="15.75" x14ac:dyDescent="0.25">
      <c r="A72" s="99">
        <v>30</v>
      </c>
      <c r="B72" s="249"/>
      <c r="C72" s="252"/>
      <c r="D72" s="252" t="s">
        <v>104</v>
      </c>
      <c r="E72" s="101"/>
      <c r="F72" s="101"/>
      <c r="H72" s="92" t="s">
        <v>149</v>
      </c>
      <c r="X72" s="89"/>
    </row>
    <row r="73" spans="1:24" ht="15.75" x14ac:dyDescent="0.25">
      <c r="A73" s="95">
        <v>31</v>
      </c>
      <c r="B73" s="249"/>
      <c r="C73" s="252"/>
      <c r="D73" s="252"/>
      <c r="E73" s="97" t="s">
        <v>136</v>
      </c>
      <c r="F73" s="101"/>
      <c r="H73" s="92"/>
      <c r="X73" s="89"/>
    </row>
    <row r="74" spans="1:24" ht="15.75" x14ac:dyDescent="0.25">
      <c r="A74" s="99">
        <v>32</v>
      </c>
      <c r="B74" s="249"/>
      <c r="C74" s="252"/>
      <c r="D74" s="252"/>
      <c r="E74" s="97" t="s">
        <v>143</v>
      </c>
      <c r="F74" s="101"/>
      <c r="H74" s="92" t="s">
        <v>150</v>
      </c>
      <c r="X74" s="89"/>
    </row>
    <row r="75" spans="1:24" ht="15.75" x14ac:dyDescent="0.25">
      <c r="A75" s="95">
        <v>33</v>
      </c>
      <c r="B75" s="249"/>
      <c r="C75" s="249" t="s">
        <v>105</v>
      </c>
      <c r="D75" s="252"/>
      <c r="E75" s="96" t="s">
        <v>104</v>
      </c>
      <c r="F75" s="96" t="s">
        <v>104</v>
      </c>
      <c r="H75" s="92"/>
      <c r="X75" s="89"/>
    </row>
    <row r="76" spans="1:24" ht="15.75" x14ac:dyDescent="0.25">
      <c r="A76" s="99">
        <v>34</v>
      </c>
      <c r="B76" s="254" t="s">
        <v>151</v>
      </c>
      <c r="C76" s="249"/>
      <c r="D76" s="252"/>
      <c r="E76" s="96" t="s">
        <v>138</v>
      </c>
      <c r="F76" s="96" t="s">
        <v>138</v>
      </c>
      <c r="H76" s="92" t="s">
        <v>152</v>
      </c>
      <c r="X76" s="89"/>
    </row>
    <row r="77" spans="1:24" ht="15.75" x14ac:dyDescent="0.25">
      <c r="A77" s="95">
        <v>35</v>
      </c>
      <c r="B77" s="254"/>
      <c r="C77" s="254" t="s">
        <v>151</v>
      </c>
      <c r="D77" s="249" t="s">
        <v>105</v>
      </c>
      <c r="E77" s="249" t="s">
        <v>105</v>
      </c>
      <c r="F77" s="100"/>
      <c r="H77" s="92"/>
      <c r="X77" s="89"/>
    </row>
    <row r="78" spans="1:24" ht="15.75" x14ac:dyDescent="0.25">
      <c r="A78" s="99">
        <v>36</v>
      </c>
      <c r="B78" s="254"/>
      <c r="C78" s="254"/>
      <c r="D78" s="249"/>
      <c r="E78" s="249"/>
      <c r="F78" s="102" t="s">
        <v>105</v>
      </c>
      <c r="H78" s="92" t="s">
        <v>153</v>
      </c>
      <c r="X78" s="89"/>
    </row>
    <row r="79" spans="1:24" ht="15.75" x14ac:dyDescent="0.25">
      <c r="A79" s="253" t="s">
        <v>154</v>
      </c>
      <c r="B79" s="253"/>
      <c r="C79" s="253"/>
      <c r="D79" s="253"/>
      <c r="E79" s="253"/>
      <c r="F79" s="253"/>
      <c r="H79" s="92"/>
      <c r="X79" s="89"/>
    </row>
    <row r="80" spans="1:24" ht="15.75" x14ac:dyDescent="0.25">
      <c r="A80" s="91"/>
      <c r="B80" s="91"/>
      <c r="C80" s="91"/>
      <c r="D80" s="91"/>
      <c r="E80" s="91"/>
      <c r="F80" s="91"/>
      <c r="H80" s="92" t="s">
        <v>155</v>
      </c>
      <c r="X80" s="89"/>
    </row>
    <row r="81" spans="1:24" ht="15.75" x14ac:dyDescent="0.25">
      <c r="A81" s="91"/>
      <c r="B81" s="91"/>
      <c r="C81" s="91"/>
      <c r="D81" s="91"/>
      <c r="E81" s="91"/>
      <c r="F81" s="91"/>
      <c r="H81" s="92"/>
      <c r="X81" s="89"/>
    </row>
    <row r="82" spans="1:24" ht="15.75" x14ac:dyDescent="0.25">
      <c r="A82" s="91"/>
      <c r="B82" s="91"/>
      <c r="C82" s="91"/>
      <c r="D82" s="91"/>
      <c r="E82" s="91"/>
      <c r="F82" s="91"/>
      <c r="H82" s="92" t="s">
        <v>156</v>
      </c>
      <c r="X82" s="89"/>
    </row>
    <row r="83" spans="1:24" ht="15.75" x14ac:dyDescent="0.25">
      <c r="A83" s="91"/>
      <c r="B83" s="91"/>
      <c r="C83" s="91"/>
      <c r="D83" s="91"/>
      <c r="E83" s="91"/>
      <c r="F83" s="91"/>
      <c r="H83" s="92"/>
      <c r="X83" s="89"/>
    </row>
    <row r="84" spans="1:24" ht="15.75" x14ac:dyDescent="0.25">
      <c r="A84" t="s">
        <v>157</v>
      </c>
      <c r="B84" s="91"/>
      <c r="C84" s="91"/>
      <c r="D84" s="91"/>
      <c r="E84" s="91"/>
      <c r="F84" s="91"/>
      <c r="H84" s="92"/>
      <c r="X84" s="89"/>
    </row>
    <row r="85" spans="1:24" ht="15.75" x14ac:dyDescent="0.25">
      <c r="A85" t="s">
        <v>158</v>
      </c>
      <c r="B85" s="91"/>
      <c r="C85" s="91"/>
      <c r="D85" s="91"/>
      <c r="E85" s="91"/>
      <c r="F85" s="91"/>
      <c r="H85" s="92"/>
      <c r="X85" s="89"/>
    </row>
    <row r="86" spans="1:24" ht="15.75" x14ac:dyDescent="0.25">
      <c r="A86" s="91" t="s">
        <v>159</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18" priority="4" operator="lessThan">
      <formula>6</formula>
    </cfRule>
    <cfRule type="cellIs" dxfId="17" priority="5" operator="greaterThan">
      <formula>7</formula>
    </cfRule>
  </conditionalFormatting>
  <conditionalFormatting sqref="B23:W23">
    <cfRule type="cellIs" dxfId="16" priority="1" operator="lessThan">
      <formula>6</formula>
    </cfRule>
    <cfRule type="cellIs" dxfId="1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sheetPr>
  <dimension ref="A1:S31"/>
  <sheetViews>
    <sheetView zoomScale="90" zoomScaleNormal="90" workbookViewId="0">
      <selection activeCell="J10" sqref="J1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199" t="s">
        <v>327</v>
      </c>
      <c r="F1" s="200" t="s">
        <v>328</v>
      </c>
      <c r="G1" s="201"/>
      <c r="H1" s="201"/>
      <c r="I1" s="202" t="s">
        <v>327</v>
      </c>
      <c r="J1" s="203" t="s">
        <v>328</v>
      </c>
      <c r="K1" s="89"/>
      <c r="P1" s="199" t="s">
        <v>327</v>
      </c>
      <c r="Q1" s="200" t="s">
        <v>328</v>
      </c>
      <c r="R1" s="199"/>
      <c r="S1" s="200"/>
    </row>
    <row r="2" spans="1:19" x14ac:dyDescent="0.25">
      <c r="A2" s="204" t="s">
        <v>3</v>
      </c>
      <c r="B2" s="204" t="s">
        <v>329</v>
      </c>
      <c r="C2" s="204" t="s">
        <v>330</v>
      </c>
      <c r="D2" s="204" t="s">
        <v>18</v>
      </c>
      <c r="E2" s="199" t="s">
        <v>8</v>
      </c>
      <c r="F2" s="200" t="s">
        <v>8</v>
      </c>
      <c r="G2" s="201" t="s">
        <v>7</v>
      </c>
      <c r="H2" s="201" t="s">
        <v>7</v>
      </c>
      <c r="I2" s="202" t="s">
        <v>331</v>
      </c>
      <c r="J2" s="203" t="s">
        <v>331</v>
      </c>
      <c r="K2" s="89"/>
      <c r="P2" s="199" t="s">
        <v>8</v>
      </c>
      <c r="Q2" s="200" t="s">
        <v>8</v>
      </c>
      <c r="R2" s="199" t="s">
        <v>7</v>
      </c>
      <c r="S2" s="200" t="s">
        <v>7</v>
      </c>
    </row>
    <row r="3" spans="1:19" x14ac:dyDescent="0.25">
      <c r="A3" s="205" t="str">
        <f>PLANTILLA!D5</f>
        <v>Nicolae Hornet</v>
      </c>
      <c r="B3" s="206">
        <f>PLANTILLA!E5</f>
        <v>21</v>
      </c>
      <c r="C3" s="206">
        <f>PLANTILLA!H5</f>
        <v>5</v>
      </c>
      <c r="D3" s="207">
        <f>PLANTILLA!I5</f>
        <v>1.4</v>
      </c>
      <c r="E3" s="208">
        <f>D3</f>
        <v>1.4</v>
      </c>
      <c r="F3" s="208">
        <f>E3+0.1</f>
        <v>1.5</v>
      </c>
      <c r="G3" s="208">
        <f>C3</f>
        <v>5</v>
      </c>
      <c r="H3" s="208">
        <f>G3+0.99</f>
        <v>5.99</v>
      </c>
      <c r="I3" s="209">
        <f>G3*G3*E3</f>
        <v>35</v>
      </c>
      <c r="J3" s="209">
        <f>H3*H3*F3</f>
        <v>53.820150000000012</v>
      </c>
      <c r="K3" s="210"/>
      <c r="N3" s="52" t="s">
        <v>331</v>
      </c>
      <c r="O3" t="str">
        <f>A4</f>
        <v>Cosme Fonteboa</v>
      </c>
      <c r="P3" s="211">
        <f>E4</f>
        <v>3.9</v>
      </c>
      <c r="Q3" s="211">
        <f t="shared" ref="Q3:S3" si="0">F4</f>
        <v>4</v>
      </c>
      <c r="R3" s="211">
        <f t="shared" si="0"/>
        <v>4</v>
      </c>
      <c r="S3" s="211">
        <f t="shared" si="0"/>
        <v>4.99</v>
      </c>
    </row>
    <row r="4" spans="1:19" x14ac:dyDescent="0.25">
      <c r="A4" s="205" t="str">
        <f>PLANTILLA!D4</f>
        <v>Cosme Fonteboa</v>
      </c>
      <c r="B4" s="206">
        <f>PLANTILLA!E4</f>
        <v>21</v>
      </c>
      <c r="C4" s="206">
        <f>PLANTILLA!H4</f>
        <v>4</v>
      </c>
      <c r="D4" s="207">
        <f>PLANTILLA!I4</f>
        <v>3.9</v>
      </c>
      <c r="E4" s="208">
        <f t="shared" ref="E4:E31" si="1">D4</f>
        <v>3.9</v>
      </c>
      <c r="F4" s="208">
        <f t="shared" ref="F4:F31" si="2">E4+0.1</f>
        <v>4</v>
      </c>
      <c r="G4" s="208">
        <f t="shared" ref="G4:G31" si="3">C4</f>
        <v>4</v>
      </c>
      <c r="H4" s="208">
        <f t="shared" ref="H4:H31" si="4">G4+0.99</f>
        <v>4.99</v>
      </c>
      <c r="I4" s="209">
        <f t="shared" ref="I4:I31" si="5">G4*G4*E4</f>
        <v>62.4</v>
      </c>
      <c r="J4" s="209">
        <f t="shared" ref="J4:J31" si="6">H4*H4*F4</f>
        <v>99.600400000000008</v>
      </c>
      <c r="K4" s="210"/>
      <c r="O4" t="str">
        <f>A5</f>
        <v>Guillermo Pedrajas</v>
      </c>
      <c r="P4" s="211">
        <f>E5</f>
        <v>3.9</v>
      </c>
      <c r="Q4" s="211">
        <f>F5</f>
        <v>4</v>
      </c>
      <c r="R4" s="211">
        <f>G5</f>
        <v>4</v>
      </c>
      <c r="S4" s="211">
        <f>H5</f>
        <v>4.99</v>
      </c>
    </row>
    <row r="5" spans="1:19" x14ac:dyDescent="0.25">
      <c r="A5" s="205" t="str">
        <f>PLANTILLA!D9</f>
        <v>Guillermo Pedrajas</v>
      </c>
      <c r="B5" s="206">
        <f>PLANTILLA!E9</f>
        <v>21</v>
      </c>
      <c r="C5" s="206">
        <f>PLANTILLA!H9</f>
        <v>4</v>
      </c>
      <c r="D5" s="207">
        <f>PLANTILLA!I9</f>
        <v>3.9</v>
      </c>
      <c r="E5" s="208">
        <f t="shared" si="1"/>
        <v>3.9</v>
      </c>
      <c r="F5" s="208">
        <f t="shared" si="2"/>
        <v>4</v>
      </c>
      <c r="G5" s="208">
        <f t="shared" si="3"/>
        <v>4</v>
      </c>
      <c r="H5" s="208">
        <f t="shared" si="4"/>
        <v>4.99</v>
      </c>
      <c r="I5" s="209">
        <f t="shared" si="5"/>
        <v>62.4</v>
      </c>
      <c r="J5" s="209">
        <f t="shared" si="6"/>
        <v>99.600400000000008</v>
      </c>
      <c r="K5" s="210"/>
      <c r="L5" s="139"/>
      <c r="O5" t="e">
        <f>A8</f>
        <v>#REF!</v>
      </c>
      <c r="P5" s="211" t="e">
        <f>E8</f>
        <v>#REF!</v>
      </c>
      <c r="Q5" s="211" t="e">
        <f>F8</f>
        <v>#REF!</v>
      </c>
      <c r="R5" s="211" t="e">
        <f>G8</f>
        <v>#REF!</v>
      </c>
      <c r="S5" s="211" t="e">
        <f>H8</f>
        <v>#REF!</v>
      </c>
    </row>
    <row r="6" spans="1:19" x14ac:dyDescent="0.25">
      <c r="A6" s="205" t="str">
        <f>PLANTILLA!D20</f>
        <v>Emilio Rojas</v>
      </c>
      <c r="B6" s="206">
        <f>PLANTILLA!E20</f>
        <v>30</v>
      </c>
      <c r="C6" s="206">
        <f>PLANTILLA!H20</f>
        <v>4</v>
      </c>
      <c r="D6" s="207">
        <f>PLANTILLA!I20</f>
        <v>5.8</v>
      </c>
      <c r="E6" s="208">
        <f t="shared" si="1"/>
        <v>5.8</v>
      </c>
      <c r="F6" s="208">
        <f t="shared" si="2"/>
        <v>5.8999999999999995</v>
      </c>
      <c r="G6" s="208">
        <f t="shared" si="3"/>
        <v>4</v>
      </c>
      <c r="H6" s="208">
        <f t="shared" si="4"/>
        <v>4.99</v>
      </c>
      <c r="I6" s="209">
        <f t="shared" si="5"/>
        <v>92.8</v>
      </c>
      <c r="J6" s="209">
        <f t="shared" si="6"/>
        <v>146.91058999999998</v>
      </c>
      <c r="K6" s="210"/>
      <c r="O6" t="str">
        <f>A11</f>
        <v>Valeri Gomis</v>
      </c>
      <c r="P6" s="211">
        <f>E11</f>
        <v>3.7</v>
      </c>
      <c r="Q6" s="211">
        <f t="shared" ref="Q6:S6" si="7">F11</f>
        <v>3.8000000000000003</v>
      </c>
      <c r="R6" s="211">
        <f t="shared" si="7"/>
        <v>6</v>
      </c>
      <c r="S6" s="211">
        <f t="shared" si="7"/>
        <v>6.99</v>
      </c>
    </row>
    <row r="7" spans="1:19" x14ac:dyDescent="0.25">
      <c r="A7" s="205" t="str">
        <f>PLANTILLA!D19</f>
        <v>Miklós Gábriel</v>
      </c>
      <c r="B7" s="206">
        <f>PLANTILLA!E19</f>
        <v>30</v>
      </c>
      <c r="C7" s="206">
        <f>PLANTILLA!H19</f>
        <v>2</v>
      </c>
      <c r="D7" s="207">
        <f>PLANTILLA!I19</f>
        <v>6.2</v>
      </c>
      <c r="E7" s="208">
        <f t="shared" si="1"/>
        <v>6.2</v>
      </c>
      <c r="F7" s="208">
        <f t="shared" si="2"/>
        <v>6.3</v>
      </c>
      <c r="G7" s="208">
        <f t="shared" si="3"/>
        <v>2</v>
      </c>
      <c r="H7" s="208">
        <f t="shared" si="4"/>
        <v>2.99</v>
      </c>
      <c r="I7" s="209">
        <f t="shared" si="5"/>
        <v>24.8</v>
      </c>
      <c r="J7" s="209">
        <f t="shared" si="6"/>
        <v>56.322630000000004</v>
      </c>
      <c r="K7" s="210"/>
      <c r="O7" t="str">
        <f>A3</f>
        <v>Nicolae Hornet</v>
      </c>
      <c r="P7" s="211">
        <f>E3</f>
        <v>1.4</v>
      </c>
      <c r="Q7" s="211">
        <f>F3</f>
        <v>1.5</v>
      </c>
      <c r="R7" s="211">
        <f>G3</f>
        <v>5</v>
      </c>
      <c r="S7" s="211">
        <f>H3</f>
        <v>5.99</v>
      </c>
    </row>
    <row r="8" spans="1:19" x14ac:dyDescent="0.25">
      <c r="A8" s="205" t="e">
        <f>PLANTILLA!#REF!</f>
        <v>#REF!</v>
      </c>
      <c r="B8" s="206" t="e">
        <f>PLANTILLA!#REF!</f>
        <v>#REF!</v>
      </c>
      <c r="C8" s="206" t="e">
        <f>PLANTILLA!#REF!</f>
        <v>#REF!</v>
      </c>
      <c r="D8" s="207" t="e">
        <f>PLANTILLA!#REF!</f>
        <v>#REF!</v>
      </c>
      <c r="E8" s="208" t="e">
        <f t="shared" si="1"/>
        <v>#REF!</v>
      </c>
      <c r="F8" s="208" t="e">
        <f t="shared" si="2"/>
        <v>#REF!</v>
      </c>
      <c r="G8" s="208" t="e">
        <f t="shared" si="3"/>
        <v>#REF!</v>
      </c>
      <c r="H8" s="208" t="e">
        <f t="shared" si="4"/>
        <v>#REF!</v>
      </c>
      <c r="I8" s="209" t="e">
        <f t="shared" si="5"/>
        <v>#REF!</v>
      </c>
      <c r="J8" s="209" t="e">
        <f t="shared" si="6"/>
        <v>#REF!</v>
      </c>
      <c r="K8" s="210"/>
      <c r="O8" t="e">
        <f>A13</f>
        <v>#REF!</v>
      </c>
      <c r="P8" s="211" t="e">
        <f>E13</f>
        <v>#REF!</v>
      </c>
      <c r="Q8" s="211" t="e">
        <f>F13</f>
        <v>#REF!</v>
      </c>
      <c r="R8" s="211" t="e">
        <f>G13</f>
        <v>#REF!</v>
      </c>
      <c r="S8" s="211" t="e">
        <f>H13</f>
        <v>#REF!</v>
      </c>
    </row>
    <row r="9" spans="1:19" x14ac:dyDescent="0.25">
      <c r="A9" s="205" t="str">
        <f>PLANTILLA!D10</f>
        <v>Francesc Añigas</v>
      </c>
      <c r="B9" s="206">
        <f>PLANTILLA!E10</f>
        <v>21</v>
      </c>
      <c r="C9" s="206">
        <f>PLANTILLA!H10</f>
        <v>5</v>
      </c>
      <c r="D9" s="207">
        <f>PLANTILLA!I10</f>
        <v>3.5</v>
      </c>
      <c r="E9" s="208">
        <f t="shared" si="1"/>
        <v>3.5</v>
      </c>
      <c r="F9" s="208">
        <f t="shared" si="2"/>
        <v>3.6</v>
      </c>
      <c r="G9" s="208">
        <f t="shared" si="3"/>
        <v>5</v>
      </c>
      <c r="H9" s="208">
        <f t="shared" si="4"/>
        <v>5.99</v>
      </c>
      <c r="I9" s="209">
        <f t="shared" si="5"/>
        <v>87.5</v>
      </c>
      <c r="J9" s="209">
        <f t="shared" si="6"/>
        <v>129.16836000000004</v>
      </c>
      <c r="K9" s="210"/>
      <c r="O9" t="str">
        <f>A16</f>
        <v>Jurgen Muësen</v>
      </c>
      <c r="P9" s="211">
        <f>E16</f>
        <v>5.5</v>
      </c>
      <c r="Q9" s="211">
        <f>F16</f>
        <v>5.6</v>
      </c>
      <c r="R9" s="211">
        <f>G16</f>
        <v>3</v>
      </c>
      <c r="S9" s="211">
        <f>H16</f>
        <v>3.99</v>
      </c>
    </row>
    <row r="10" spans="1:19" x14ac:dyDescent="0.25">
      <c r="A10" s="205" t="str">
        <f>PLANTILLA!D11</f>
        <v>Will Duffill</v>
      </c>
      <c r="B10" s="206">
        <f>PLANTILLA!E11</f>
        <v>21</v>
      </c>
      <c r="C10" s="206">
        <f>PLANTILLA!H11</f>
        <v>3</v>
      </c>
      <c r="D10" s="207">
        <f>PLANTILLA!I11</f>
        <v>3.7</v>
      </c>
      <c r="E10" s="208">
        <f t="shared" si="1"/>
        <v>3.7</v>
      </c>
      <c r="F10" s="208">
        <f t="shared" si="2"/>
        <v>3.8000000000000003</v>
      </c>
      <c r="G10" s="208">
        <f t="shared" si="3"/>
        <v>3</v>
      </c>
      <c r="H10" s="208">
        <f t="shared" si="4"/>
        <v>3.99</v>
      </c>
      <c r="I10" s="209">
        <f t="shared" si="5"/>
        <v>33.300000000000004</v>
      </c>
      <c r="J10" s="209">
        <f t="shared" si="6"/>
        <v>60.496380000000009</v>
      </c>
      <c r="K10" s="210"/>
      <c r="O10" t="str">
        <f>A14</f>
        <v>Eckardt Hägerling</v>
      </c>
      <c r="P10" s="211">
        <f>E14</f>
        <v>2.2000000000000002</v>
      </c>
      <c r="Q10" s="211">
        <f>F14</f>
        <v>2.3000000000000003</v>
      </c>
      <c r="R10" s="211">
        <f>G14</f>
        <v>3</v>
      </c>
      <c r="S10" s="211">
        <f>H14</f>
        <v>3.99</v>
      </c>
    </row>
    <row r="11" spans="1:19" x14ac:dyDescent="0.25">
      <c r="A11" s="205" t="str">
        <f>PLANTILLA!D12</f>
        <v>Valeri Gomis</v>
      </c>
      <c r="B11" s="206">
        <f>PLANTILLA!E12</f>
        <v>21</v>
      </c>
      <c r="C11" s="206">
        <f>PLANTILLA!H12</f>
        <v>6</v>
      </c>
      <c r="D11" s="207">
        <f>PLANTILLA!I12</f>
        <v>3.7</v>
      </c>
      <c r="E11" s="208">
        <f t="shared" si="1"/>
        <v>3.7</v>
      </c>
      <c r="F11" s="208">
        <f t="shared" si="2"/>
        <v>3.8000000000000003</v>
      </c>
      <c r="G11" s="208">
        <f t="shared" si="3"/>
        <v>6</v>
      </c>
      <c r="H11" s="208">
        <f t="shared" si="4"/>
        <v>6.99</v>
      </c>
      <c r="I11" s="209">
        <f t="shared" si="5"/>
        <v>133.20000000000002</v>
      </c>
      <c r="J11" s="209">
        <f t="shared" si="6"/>
        <v>185.66838000000001</v>
      </c>
      <c r="K11" s="210"/>
      <c r="O11" t="str">
        <f>A10</f>
        <v>Will Duffill</v>
      </c>
      <c r="P11" s="211">
        <f>E10</f>
        <v>3.7</v>
      </c>
      <c r="Q11" s="211">
        <f>F10</f>
        <v>3.8000000000000003</v>
      </c>
      <c r="R11" s="211">
        <f>G10</f>
        <v>3</v>
      </c>
      <c r="S11" s="211">
        <f>H10</f>
        <v>3.99</v>
      </c>
    </row>
    <row r="12" spans="1:19" x14ac:dyDescent="0.25">
      <c r="A12" s="205" t="e">
        <f>PLANTILLA!#REF!</f>
        <v>#REF!</v>
      </c>
      <c r="B12" s="206" t="e">
        <f>PLANTILLA!#REF!</f>
        <v>#REF!</v>
      </c>
      <c r="C12" s="206" t="e">
        <f>PLANTILLA!#REF!</f>
        <v>#REF!</v>
      </c>
      <c r="D12" s="207" t="e">
        <f>PLANTILLA!#REF!</f>
        <v>#REF!</v>
      </c>
      <c r="E12" s="208" t="e">
        <f t="shared" si="1"/>
        <v>#REF!</v>
      </c>
      <c r="F12" s="208" t="e">
        <f t="shared" si="2"/>
        <v>#REF!</v>
      </c>
      <c r="G12" s="208" t="e">
        <f t="shared" si="3"/>
        <v>#REF!</v>
      </c>
      <c r="H12" s="208" t="e">
        <f t="shared" si="4"/>
        <v>#REF!</v>
      </c>
      <c r="I12" s="209" t="e">
        <f t="shared" si="5"/>
        <v>#REF!</v>
      </c>
      <c r="J12" s="209" t="e">
        <f t="shared" si="6"/>
        <v>#REF!</v>
      </c>
      <c r="K12" s="210"/>
      <c r="O12" t="str">
        <f>A7</f>
        <v>Miklós Gábriel</v>
      </c>
      <c r="P12" s="211">
        <f>E7</f>
        <v>6.2</v>
      </c>
      <c r="Q12" s="211">
        <f t="shared" ref="Q12:S12" si="8">F7</f>
        <v>6.3</v>
      </c>
      <c r="R12" s="211">
        <f t="shared" si="8"/>
        <v>2</v>
      </c>
      <c r="S12" s="211">
        <f t="shared" si="8"/>
        <v>2.99</v>
      </c>
    </row>
    <row r="13" spans="1:19" x14ac:dyDescent="0.25">
      <c r="A13" s="205" t="e">
        <f>PLANTILLA!#REF!</f>
        <v>#REF!</v>
      </c>
      <c r="B13" s="206" t="e">
        <f>PLANTILLA!#REF!</f>
        <v>#REF!</v>
      </c>
      <c r="C13" s="206" t="e">
        <f>PLANTILLA!#REF!</f>
        <v>#REF!</v>
      </c>
      <c r="D13" s="207" t="e">
        <f>PLANTILLA!#REF!</f>
        <v>#REF!</v>
      </c>
      <c r="E13" s="208" t="e">
        <f t="shared" si="1"/>
        <v>#REF!</v>
      </c>
      <c r="F13" s="208" t="e">
        <f t="shared" si="2"/>
        <v>#REF!</v>
      </c>
      <c r="G13" s="208" t="e">
        <f t="shared" si="3"/>
        <v>#REF!</v>
      </c>
      <c r="H13" s="208" t="e">
        <f t="shared" si="4"/>
        <v>#REF!</v>
      </c>
      <c r="I13" s="209" t="e">
        <f t="shared" si="5"/>
        <v>#REF!</v>
      </c>
      <c r="J13" s="209" t="e">
        <f t="shared" si="6"/>
        <v>#REF!</v>
      </c>
      <c r="K13" s="210"/>
      <c r="O13" t="e">
        <f>A12</f>
        <v>#REF!</v>
      </c>
      <c r="P13" s="211" t="e">
        <f>E12</f>
        <v>#REF!</v>
      </c>
      <c r="Q13" s="211" t="e">
        <f>F12</f>
        <v>#REF!</v>
      </c>
      <c r="R13" s="211" t="e">
        <f>G12</f>
        <v>#REF!</v>
      </c>
      <c r="S13" s="211" t="e">
        <f>H12</f>
        <v>#REF!</v>
      </c>
    </row>
    <row r="14" spans="1:19" x14ac:dyDescent="0.25">
      <c r="A14" s="205" t="str">
        <f>PLANTILLA!D13</f>
        <v>Eckardt Hägerling</v>
      </c>
      <c r="B14" s="206">
        <f>PLANTILLA!E13</f>
        <v>21</v>
      </c>
      <c r="C14" s="206">
        <f>PLANTILLA!H13</f>
        <v>3</v>
      </c>
      <c r="D14" s="207">
        <f>PLANTILLA!I13</f>
        <v>2.2000000000000002</v>
      </c>
      <c r="E14" s="208">
        <f t="shared" si="1"/>
        <v>2.2000000000000002</v>
      </c>
      <c r="F14" s="208">
        <f t="shared" si="2"/>
        <v>2.3000000000000003</v>
      </c>
      <c r="G14" s="208">
        <f t="shared" si="3"/>
        <v>3</v>
      </c>
      <c r="H14" s="208">
        <f t="shared" si="4"/>
        <v>3.99</v>
      </c>
      <c r="I14" s="209">
        <f t="shared" si="5"/>
        <v>19.8</v>
      </c>
      <c r="J14" s="209">
        <f t="shared" si="6"/>
        <v>36.616230000000009</v>
      </c>
      <c r="K14" s="210"/>
      <c r="P14" s="37" t="e">
        <f>SUM(P4:P13)/10</f>
        <v>#REF!</v>
      </c>
      <c r="Q14" s="37" t="e">
        <f>SUM(Q4:Q13)/10</f>
        <v>#REF!</v>
      </c>
      <c r="R14" s="37"/>
      <c r="S14" s="37"/>
    </row>
    <row r="15" spans="1:19" x14ac:dyDescent="0.25">
      <c r="A15" s="205" t="str">
        <f>PLANTILLA!D16</f>
        <v>Fernando Gazón</v>
      </c>
      <c r="B15" s="206">
        <f>PLANTILLA!E16</f>
        <v>21</v>
      </c>
      <c r="C15" s="206">
        <f>PLANTILLA!H16</f>
        <v>3</v>
      </c>
      <c r="D15" s="207">
        <f>PLANTILLA!I16</f>
        <v>2.5</v>
      </c>
      <c r="E15" s="208">
        <f t="shared" si="1"/>
        <v>2.5</v>
      </c>
      <c r="F15" s="208">
        <f t="shared" si="2"/>
        <v>2.6</v>
      </c>
      <c r="G15" s="208">
        <f t="shared" si="3"/>
        <v>3</v>
      </c>
      <c r="H15" s="208">
        <f t="shared" si="4"/>
        <v>3.99</v>
      </c>
      <c r="I15" s="209">
        <f t="shared" si="5"/>
        <v>22.5</v>
      </c>
      <c r="J15" s="209">
        <f t="shared" si="6"/>
        <v>41.392260000000007</v>
      </c>
      <c r="K15" s="210"/>
    </row>
    <row r="16" spans="1:19" x14ac:dyDescent="0.25">
      <c r="A16" s="205" t="str">
        <f>PLANTILLA!D14</f>
        <v>Jurgen Muësen</v>
      </c>
      <c r="B16" s="206">
        <f>PLANTILLA!E14</f>
        <v>28</v>
      </c>
      <c r="C16" s="206">
        <f>PLANTILLA!H14</f>
        <v>3</v>
      </c>
      <c r="D16" s="207">
        <f>PLANTILLA!I14</f>
        <v>5.5</v>
      </c>
      <c r="E16" s="208">
        <f t="shared" si="1"/>
        <v>5.5</v>
      </c>
      <c r="F16" s="208">
        <f t="shared" si="2"/>
        <v>5.6</v>
      </c>
      <c r="G16" s="208">
        <f t="shared" si="3"/>
        <v>3</v>
      </c>
      <c r="H16" s="208">
        <f t="shared" si="4"/>
        <v>3.99</v>
      </c>
      <c r="I16" s="209">
        <f t="shared" si="5"/>
        <v>49.5</v>
      </c>
      <c r="J16" s="209">
        <f t="shared" si="6"/>
        <v>89.152560000000008</v>
      </c>
      <c r="K16" s="210"/>
      <c r="L16" s="71" t="s">
        <v>332</v>
      </c>
      <c r="O16" t="s">
        <v>333</v>
      </c>
      <c r="P16" s="32" t="e">
        <f>SUM(P3:P13)</f>
        <v>#REF!</v>
      </c>
      <c r="Q16" s="32" t="e">
        <f>SUM(Q3:Q13)</f>
        <v>#REF!</v>
      </c>
      <c r="R16" s="32"/>
    </row>
    <row r="17" spans="1:18" x14ac:dyDescent="0.25">
      <c r="A17" s="205" t="e">
        <f>PLANTILLA!#REF!</f>
        <v>#REF!</v>
      </c>
      <c r="B17" s="206" t="e">
        <f>PLANTILLA!#REF!</f>
        <v>#REF!</v>
      </c>
      <c r="C17" s="206" t="e">
        <f>PLANTILLA!#REF!</f>
        <v>#REF!</v>
      </c>
      <c r="D17" s="207" t="e">
        <f>PLANTILLA!#REF!</f>
        <v>#REF!</v>
      </c>
      <c r="E17" s="208" t="e">
        <f t="shared" si="1"/>
        <v>#REF!</v>
      </c>
      <c r="F17" s="208" t="e">
        <f t="shared" si="2"/>
        <v>#REF!</v>
      </c>
      <c r="G17" s="208" t="e">
        <f t="shared" si="3"/>
        <v>#REF!</v>
      </c>
      <c r="H17" s="208" t="e">
        <f t="shared" si="4"/>
        <v>#REF!</v>
      </c>
      <c r="I17" s="209" t="e">
        <f t="shared" si="5"/>
        <v>#REF!</v>
      </c>
      <c r="J17" s="209" t="e">
        <f t="shared" si="6"/>
        <v>#REF!</v>
      </c>
      <c r="K17" s="210"/>
      <c r="O17" t="s">
        <v>334</v>
      </c>
      <c r="P17" s="37" t="e">
        <f>P16/17</f>
        <v>#REF!</v>
      </c>
      <c r="Q17" s="37" t="e">
        <f>Q16/17</f>
        <v>#REF!</v>
      </c>
      <c r="R17" s="37"/>
    </row>
    <row r="18" spans="1:18" x14ac:dyDescent="0.25">
      <c r="A18" s="205" t="str">
        <f>PLANTILLA!D15</f>
        <v>Fabien Fabre</v>
      </c>
      <c r="B18" s="206">
        <f>PLANTILLA!E15</f>
        <v>30</v>
      </c>
      <c r="C18" s="206">
        <f>PLANTILLA!H15</f>
        <v>5</v>
      </c>
      <c r="D18" s="207">
        <f>PLANTILLA!I15</f>
        <v>4.8</v>
      </c>
      <c r="E18" s="208">
        <f t="shared" si="1"/>
        <v>4.8</v>
      </c>
      <c r="F18" s="208">
        <f t="shared" si="2"/>
        <v>4.8999999999999995</v>
      </c>
      <c r="G18" s="208">
        <f t="shared" si="3"/>
        <v>5</v>
      </c>
      <c r="H18" s="208">
        <f t="shared" si="4"/>
        <v>5.99</v>
      </c>
      <c r="I18" s="209">
        <f t="shared" si="5"/>
        <v>120</v>
      </c>
      <c r="J18" s="209">
        <f t="shared" si="6"/>
        <v>175.81249</v>
      </c>
      <c r="K18" s="210"/>
      <c r="L18" s="71" t="s">
        <v>335</v>
      </c>
      <c r="O18" t="s">
        <v>336</v>
      </c>
      <c r="P18" s="32">
        <f>R3^2</f>
        <v>16</v>
      </c>
      <c r="Q18" s="32">
        <f>S3^2</f>
        <v>24.900100000000002</v>
      </c>
      <c r="R18" s="32"/>
    </row>
    <row r="19" spans="1:18" x14ac:dyDescent="0.25">
      <c r="A19" s="205" t="str">
        <f>PLANTILLA!D17</f>
        <v>Enrique Cubas</v>
      </c>
      <c r="B19" s="206">
        <f>PLANTILLA!E17</f>
        <v>21</v>
      </c>
      <c r="C19" s="206">
        <f>PLANTILLA!H17</f>
        <v>1</v>
      </c>
      <c r="D19" s="207">
        <f>PLANTILLA!I17</f>
        <v>3.9</v>
      </c>
      <c r="E19" s="208">
        <f t="shared" si="1"/>
        <v>3.9</v>
      </c>
      <c r="F19" s="208">
        <f t="shared" si="2"/>
        <v>4</v>
      </c>
      <c r="G19" s="208">
        <f t="shared" si="3"/>
        <v>1</v>
      </c>
      <c r="H19" s="208">
        <f t="shared" si="4"/>
        <v>1.99</v>
      </c>
      <c r="I19" s="209">
        <f t="shared" si="5"/>
        <v>3.9</v>
      </c>
      <c r="J19" s="209">
        <f t="shared" si="6"/>
        <v>15.840400000000001</v>
      </c>
      <c r="K19" s="210"/>
      <c r="L19" s="71" t="s">
        <v>337</v>
      </c>
      <c r="O19" t="s">
        <v>338</v>
      </c>
      <c r="P19" s="32">
        <f>P18*P3</f>
        <v>62.4</v>
      </c>
      <c r="Q19" s="32">
        <f>Q18*Q3</f>
        <v>99.600400000000008</v>
      </c>
      <c r="R19" s="32"/>
    </row>
    <row r="20" spans="1:18" x14ac:dyDescent="0.25">
      <c r="A20" s="205" t="str">
        <f>PLANTILLA!D18</f>
        <v>J. G. Peñuela</v>
      </c>
      <c r="B20" s="206">
        <f>PLANTILLA!E18</f>
        <v>21</v>
      </c>
      <c r="C20" s="206">
        <f>PLANTILLA!H18</f>
        <v>6</v>
      </c>
      <c r="D20" s="207">
        <f>PLANTILLA!I18</f>
        <v>3.5</v>
      </c>
      <c r="E20" s="208">
        <f t="shared" si="1"/>
        <v>3.5</v>
      </c>
      <c r="F20" s="208">
        <f t="shared" si="2"/>
        <v>3.6</v>
      </c>
      <c r="G20" s="208">
        <f t="shared" si="3"/>
        <v>6</v>
      </c>
      <c r="H20" s="208">
        <f t="shared" si="4"/>
        <v>6.99</v>
      </c>
      <c r="I20" s="209">
        <f t="shared" si="5"/>
        <v>126</v>
      </c>
      <c r="J20" s="209">
        <f t="shared" si="6"/>
        <v>175.89636000000002</v>
      </c>
      <c r="K20" s="210"/>
      <c r="L20" s="71" t="s">
        <v>339</v>
      </c>
      <c r="O20" t="s">
        <v>340</v>
      </c>
      <c r="P20" s="37">
        <f>(P19^(2/3))/30</f>
        <v>0.52440698978153799</v>
      </c>
      <c r="Q20" s="37">
        <f>(Q19^(2/3))/30</f>
        <v>0.71623048225445618</v>
      </c>
      <c r="R20" s="37"/>
    </row>
    <row r="21" spans="1:18" x14ac:dyDescent="0.25">
      <c r="A21" s="205" t="e">
        <f>PLANTILLA!#REF!</f>
        <v>#REF!</v>
      </c>
      <c r="B21" s="206" t="e">
        <f>PLANTILLA!#REF!</f>
        <v>#REF!</v>
      </c>
      <c r="C21" s="206" t="e">
        <f>PLANTILLA!#REF!</f>
        <v>#REF!</v>
      </c>
      <c r="D21" s="207" t="e">
        <f>PLANTILLA!#REF!</f>
        <v>#REF!</v>
      </c>
      <c r="E21" s="208" t="e">
        <f t="shared" si="1"/>
        <v>#REF!</v>
      </c>
      <c r="F21" s="208" t="e">
        <f t="shared" si="2"/>
        <v>#REF!</v>
      </c>
      <c r="G21" s="208" t="e">
        <f t="shared" si="3"/>
        <v>#REF!</v>
      </c>
      <c r="H21" s="208" t="e">
        <f t="shared" si="4"/>
        <v>#REF!</v>
      </c>
      <c r="I21" s="209" t="e">
        <f t="shared" si="5"/>
        <v>#REF!</v>
      </c>
      <c r="J21" s="209" t="e">
        <f t="shared" si="6"/>
        <v>#REF!</v>
      </c>
      <c r="K21" s="210"/>
      <c r="L21" s="71" t="s">
        <v>341</v>
      </c>
      <c r="O21" s="110" t="s">
        <v>168</v>
      </c>
      <c r="P21" s="157" t="e">
        <f>P17+P20</f>
        <v>#REF!</v>
      </c>
      <c r="Q21" s="157" t="e">
        <f>Q17+Q20</f>
        <v>#REF!</v>
      </c>
    </row>
    <row r="22" spans="1:18" x14ac:dyDescent="0.25">
      <c r="A22" s="205" t="str">
        <f>PLANTILLA!D22</f>
        <v>A. Ilisie</v>
      </c>
      <c r="B22" s="206">
        <f>PLANTILLA!E22</f>
        <v>0</v>
      </c>
      <c r="C22" s="206">
        <f>PLANTILLA!H22</f>
        <v>0</v>
      </c>
      <c r="D22" s="207">
        <f>PLANTILLA!I22</f>
        <v>0</v>
      </c>
      <c r="E22" s="208">
        <f t="shared" si="1"/>
        <v>0</v>
      </c>
      <c r="F22" s="208">
        <f t="shared" si="2"/>
        <v>0.1</v>
      </c>
      <c r="G22" s="208">
        <f t="shared" si="3"/>
        <v>0</v>
      </c>
      <c r="H22" s="208">
        <f t="shared" si="4"/>
        <v>0.99</v>
      </c>
      <c r="I22" s="209">
        <f t="shared" si="5"/>
        <v>0</v>
      </c>
      <c r="J22" s="209">
        <f t="shared" si="6"/>
        <v>9.801E-2</v>
      </c>
      <c r="K22" s="210"/>
      <c r="L22" t="s">
        <v>342</v>
      </c>
    </row>
    <row r="23" spans="1:18" x14ac:dyDescent="0.25">
      <c r="A23" s="205">
        <f>PLANTILLA!D23</f>
        <v>0</v>
      </c>
      <c r="B23" s="206">
        <f>PLANTILLA!E23</f>
        <v>0</v>
      </c>
      <c r="C23" s="206">
        <f>PLANTILLA!H23</f>
        <v>0</v>
      </c>
      <c r="D23" s="207">
        <f>PLANTILLA!I23</f>
        <v>0</v>
      </c>
      <c r="E23" s="208">
        <f t="shared" si="1"/>
        <v>0</v>
      </c>
      <c r="F23" s="208">
        <f t="shared" si="2"/>
        <v>0.1</v>
      </c>
      <c r="G23" s="208">
        <f t="shared" si="3"/>
        <v>0</v>
      </c>
      <c r="H23" s="208">
        <f t="shared" si="4"/>
        <v>0.99</v>
      </c>
      <c r="I23" s="209">
        <f t="shared" si="5"/>
        <v>0</v>
      </c>
      <c r="J23" s="209">
        <f t="shared" si="6"/>
        <v>9.801E-2</v>
      </c>
      <c r="K23" s="210"/>
      <c r="O23" s="30"/>
    </row>
    <row r="24" spans="1:18" x14ac:dyDescent="0.25">
      <c r="A24" s="205">
        <f>PLANTILLA!D24</f>
        <v>0</v>
      </c>
      <c r="B24" s="206">
        <f>PLANTILLA!E24</f>
        <v>0</v>
      </c>
      <c r="C24" s="206">
        <f>PLANTILLA!H24</f>
        <v>0</v>
      </c>
      <c r="D24" s="207">
        <f>PLANTILLA!I24</f>
        <v>0</v>
      </c>
      <c r="E24" s="208">
        <f t="shared" si="1"/>
        <v>0</v>
      </c>
      <c r="F24" s="208">
        <f t="shared" si="2"/>
        <v>0.1</v>
      </c>
      <c r="G24" s="208">
        <f t="shared" si="3"/>
        <v>0</v>
      </c>
      <c r="H24" s="208">
        <f t="shared" si="4"/>
        <v>0.99</v>
      </c>
      <c r="I24" s="209">
        <f t="shared" si="5"/>
        <v>0</v>
      </c>
      <c r="J24" s="209">
        <f t="shared" si="6"/>
        <v>9.801E-2</v>
      </c>
    </row>
    <row r="25" spans="1:18" x14ac:dyDescent="0.25">
      <c r="A25" s="205">
        <f>PLANTILLA!D25</f>
        <v>0</v>
      </c>
      <c r="B25" s="206">
        <f>PLANTILLA!E25</f>
        <v>0</v>
      </c>
      <c r="C25" s="206">
        <f>PLANTILLA!H25</f>
        <v>0</v>
      </c>
      <c r="D25" s="207">
        <f>PLANTILLA!I25</f>
        <v>0</v>
      </c>
      <c r="E25" s="208">
        <f t="shared" si="1"/>
        <v>0</v>
      </c>
      <c r="F25" s="208">
        <f t="shared" si="2"/>
        <v>0.1</v>
      </c>
      <c r="G25" s="208">
        <f t="shared" si="3"/>
        <v>0</v>
      </c>
      <c r="H25" s="208">
        <f t="shared" si="4"/>
        <v>0.99</v>
      </c>
      <c r="I25" s="209">
        <f t="shared" si="5"/>
        <v>0</v>
      </c>
      <c r="J25" s="209">
        <f t="shared" si="6"/>
        <v>9.801E-2</v>
      </c>
    </row>
    <row r="26" spans="1:18" x14ac:dyDescent="0.25">
      <c r="A26" s="205">
        <f>PLANTILLA!D26</f>
        <v>0</v>
      </c>
      <c r="B26" s="206">
        <f>PLANTILLA!E26</f>
        <v>0</v>
      </c>
      <c r="C26" s="206">
        <f>PLANTILLA!H26</f>
        <v>0</v>
      </c>
      <c r="D26" s="207">
        <f>PLANTILLA!I26</f>
        <v>0</v>
      </c>
      <c r="E26" s="208">
        <f t="shared" si="1"/>
        <v>0</v>
      </c>
      <c r="F26" s="208">
        <f t="shared" si="2"/>
        <v>0.1</v>
      </c>
      <c r="G26" s="208">
        <f t="shared" si="3"/>
        <v>0</v>
      </c>
      <c r="H26" s="208">
        <f t="shared" si="4"/>
        <v>0.99</v>
      </c>
      <c r="I26" s="209">
        <f t="shared" si="5"/>
        <v>0</v>
      </c>
      <c r="J26" s="209">
        <f t="shared" si="6"/>
        <v>9.801E-2</v>
      </c>
    </row>
    <row r="27" spans="1:18" x14ac:dyDescent="0.25">
      <c r="A27" s="205">
        <f>PLANTILLA!D27</f>
        <v>0</v>
      </c>
      <c r="B27" s="206">
        <f>PLANTILLA!E27</f>
        <v>0</v>
      </c>
      <c r="C27" s="206">
        <f>PLANTILLA!H27</f>
        <v>0</v>
      </c>
      <c r="D27" s="207">
        <f>PLANTILLA!I27</f>
        <v>0</v>
      </c>
      <c r="E27" s="208">
        <f t="shared" si="1"/>
        <v>0</v>
      </c>
      <c r="F27" s="208">
        <f t="shared" si="2"/>
        <v>0.1</v>
      </c>
      <c r="G27" s="208">
        <f t="shared" si="3"/>
        <v>0</v>
      </c>
      <c r="H27" s="208">
        <f t="shared" si="4"/>
        <v>0.99</v>
      </c>
      <c r="I27" s="209">
        <f t="shared" si="5"/>
        <v>0</v>
      </c>
      <c r="J27" s="209">
        <f t="shared" si="6"/>
        <v>9.801E-2</v>
      </c>
    </row>
    <row r="28" spans="1:18" x14ac:dyDescent="0.25">
      <c r="A28" s="205">
        <f>PLANTILLA!D28</f>
        <v>0</v>
      </c>
      <c r="B28" s="206">
        <f>PLANTILLA!E28</f>
        <v>0</v>
      </c>
      <c r="C28" s="206">
        <f>PLANTILLA!H28</f>
        <v>0</v>
      </c>
      <c r="D28" s="207">
        <f>PLANTILLA!I28</f>
        <v>0</v>
      </c>
      <c r="E28" s="208">
        <f t="shared" si="1"/>
        <v>0</v>
      </c>
      <c r="F28" s="208">
        <f t="shared" si="2"/>
        <v>0.1</v>
      </c>
      <c r="G28" s="208">
        <f t="shared" si="3"/>
        <v>0</v>
      </c>
      <c r="H28" s="208">
        <f t="shared" si="4"/>
        <v>0.99</v>
      </c>
      <c r="I28" s="209">
        <f t="shared" si="5"/>
        <v>0</v>
      </c>
      <c r="J28" s="209">
        <f t="shared" si="6"/>
        <v>9.801E-2</v>
      </c>
    </row>
    <row r="29" spans="1:18" x14ac:dyDescent="0.25">
      <c r="A29" s="205">
        <f>PLANTILLA!D29</f>
        <v>0</v>
      </c>
      <c r="B29" s="206">
        <f>PLANTILLA!E29</f>
        <v>0</v>
      </c>
      <c r="C29" s="206">
        <f>PLANTILLA!H29</f>
        <v>0</v>
      </c>
      <c r="D29" s="207">
        <f>PLANTILLA!I29</f>
        <v>0</v>
      </c>
      <c r="E29" s="208">
        <f t="shared" si="1"/>
        <v>0</v>
      </c>
      <c r="F29" s="208">
        <f t="shared" si="2"/>
        <v>0.1</v>
      </c>
      <c r="G29" s="208">
        <f t="shared" si="3"/>
        <v>0</v>
      </c>
      <c r="H29" s="208">
        <f t="shared" si="4"/>
        <v>0.99</v>
      </c>
      <c r="I29" s="209">
        <f t="shared" si="5"/>
        <v>0</v>
      </c>
      <c r="J29" s="209">
        <f t="shared" si="6"/>
        <v>9.801E-2</v>
      </c>
    </row>
    <row r="30" spans="1:18" x14ac:dyDescent="0.25">
      <c r="A30" s="205">
        <f>PLANTILLA!D30</f>
        <v>0</v>
      </c>
      <c r="B30" s="206">
        <f>PLANTILLA!E30</f>
        <v>0</v>
      </c>
      <c r="C30" s="206">
        <f>PLANTILLA!H30</f>
        <v>0</v>
      </c>
      <c r="D30" s="207">
        <f>PLANTILLA!I30</f>
        <v>0</v>
      </c>
      <c r="E30" s="208">
        <f t="shared" si="1"/>
        <v>0</v>
      </c>
      <c r="F30" s="208">
        <f t="shared" si="2"/>
        <v>0.1</v>
      </c>
      <c r="G30" s="208">
        <f t="shared" si="3"/>
        <v>0</v>
      </c>
      <c r="H30" s="208">
        <f t="shared" si="4"/>
        <v>0.99</v>
      </c>
      <c r="I30" s="209">
        <f t="shared" si="5"/>
        <v>0</v>
      </c>
      <c r="J30" s="209">
        <f t="shared" si="6"/>
        <v>9.801E-2</v>
      </c>
    </row>
    <row r="31" spans="1:18" x14ac:dyDescent="0.25">
      <c r="A31" s="205">
        <f>PLANTILLA!D31</f>
        <v>0</v>
      </c>
      <c r="B31" s="206">
        <f>PLANTILLA!E31</f>
        <v>0</v>
      </c>
      <c r="C31" s="206">
        <f>PLANTILLA!H31</f>
        <v>0</v>
      </c>
      <c r="D31" s="207">
        <f>PLANTILLA!I31</f>
        <v>0</v>
      </c>
      <c r="E31" s="208">
        <f t="shared" si="1"/>
        <v>0</v>
      </c>
      <c r="F31" s="208">
        <f t="shared" si="2"/>
        <v>0.1</v>
      </c>
      <c r="G31" s="208">
        <f t="shared" si="3"/>
        <v>0</v>
      </c>
      <c r="H31" s="208">
        <f t="shared" si="4"/>
        <v>0.99</v>
      </c>
      <c r="I31" s="209">
        <f t="shared" si="5"/>
        <v>0</v>
      </c>
      <c r="J31" s="209">
        <f t="shared" si="6"/>
        <v>9.801E-2</v>
      </c>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3">
    <tabColor rgb="FF00B0F0"/>
  </sheetPr>
  <dimension ref="A1:CE28"/>
  <sheetViews>
    <sheetView workbookViewId="0">
      <pane xSplit="9" ySplit="2" topLeftCell="J3" activePane="bottomRight" state="frozen"/>
      <selection pane="topRight" activeCell="J1" sqref="J1"/>
      <selection pane="bottomLeft" activeCell="A3" sqref="A3"/>
      <selection pane="bottomRight" activeCell="A18" sqref="A18"/>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71</v>
      </c>
      <c r="Z1" t="s">
        <v>72</v>
      </c>
      <c r="AD1" t="s">
        <v>73</v>
      </c>
      <c r="AH1" t="s">
        <v>74</v>
      </c>
      <c r="AL1" t="s">
        <v>75</v>
      </c>
      <c r="AP1" t="s">
        <v>76</v>
      </c>
      <c r="AW1" t="s">
        <v>77</v>
      </c>
      <c r="BD1" t="s">
        <v>47</v>
      </c>
      <c r="BI1" t="s">
        <v>78</v>
      </c>
      <c r="BN1" t="s">
        <v>79</v>
      </c>
      <c r="BS1" t="s">
        <v>80</v>
      </c>
      <c r="BX1" t="s">
        <v>81</v>
      </c>
      <c r="CB1" t="s">
        <v>43</v>
      </c>
    </row>
    <row r="2" spans="1:83" x14ac:dyDescent="0.25">
      <c r="A2" s="41" t="s">
        <v>3</v>
      </c>
      <c r="B2" s="41" t="s">
        <v>82</v>
      </c>
      <c r="C2" s="41" t="s">
        <v>5</v>
      </c>
      <c r="D2" s="107" t="s">
        <v>83</v>
      </c>
      <c r="E2" s="41" t="s">
        <v>84</v>
      </c>
      <c r="F2" s="49" t="s">
        <v>85</v>
      </c>
      <c r="G2" s="49" t="s">
        <v>97</v>
      </c>
      <c r="H2" s="49" t="s">
        <v>98</v>
      </c>
      <c r="I2" s="50" t="s">
        <v>99</v>
      </c>
      <c r="J2" s="42" t="s">
        <v>86</v>
      </c>
      <c r="K2" s="42" t="s">
        <v>27</v>
      </c>
      <c r="L2" s="42" t="s">
        <v>29</v>
      </c>
      <c r="M2" s="42" t="s">
        <v>87</v>
      </c>
      <c r="N2" s="42" t="s">
        <v>70</v>
      </c>
      <c r="O2" s="42" t="s">
        <v>88</v>
      </c>
      <c r="P2" s="42" t="s">
        <v>89</v>
      </c>
      <c r="Q2" s="42" t="s">
        <v>46</v>
      </c>
      <c r="R2" s="43" t="s">
        <v>21</v>
      </c>
      <c r="S2" s="43" t="s">
        <v>90</v>
      </c>
      <c r="T2" s="43" t="s">
        <v>91</v>
      </c>
      <c r="U2" s="43" t="s">
        <v>25</v>
      </c>
      <c r="V2" s="43" t="s">
        <v>26</v>
      </c>
      <c r="W2" s="44" t="s">
        <v>92</v>
      </c>
      <c r="X2" s="44" t="s">
        <v>93</v>
      </c>
      <c r="Y2" s="44" t="s">
        <v>92</v>
      </c>
      <c r="Z2" s="45" t="s">
        <v>92</v>
      </c>
      <c r="AA2" s="45" t="s">
        <v>93</v>
      </c>
      <c r="AB2" s="45" t="s">
        <v>92</v>
      </c>
      <c r="AC2" s="45" t="s">
        <v>94</v>
      </c>
      <c r="AD2" s="45" t="s">
        <v>92</v>
      </c>
      <c r="AE2" s="45" t="s">
        <v>93</v>
      </c>
      <c r="AF2" s="45" t="s">
        <v>92</v>
      </c>
      <c r="AG2" s="45" t="s">
        <v>94</v>
      </c>
      <c r="AH2" s="44" t="s">
        <v>92</v>
      </c>
      <c r="AI2" s="44" t="s">
        <v>93</v>
      </c>
      <c r="AJ2" s="44" t="s">
        <v>94</v>
      </c>
      <c r="AK2" s="44" t="s">
        <v>95</v>
      </c>
      <c r="AL2" s="44" t="s">
        <v>92</v>
      </c>
      <c r="AM2" s="44" t="s">
        <v>93</v>
      </c>
      <c r="AN2" s="44" t="s">
        <v>94</v>
      </c>
      <c r="AO2" s="44" t="s">
        <v>95</v>
      </c>
      <c r="AP2" s="44" t="s">
        <v>92</v>
      </c>
      <c r="AQ2" s="44" t="s">
        <v>93</v>
      </c>
      <c r="AR2" s="44" t="s">
        <v>92</v>
      </c>
      <c r="AS2" s="44" t="s">
        <v>94</v>
      </c>
      <c r="AT2" s="44" t="s">
        <v>95</v>
      </c>
      <c r="AU2" s="44" t="s">
        <v>96</v>
      </c>
      <c r="AV2" s="44" t="s">
        <v>95</v>
      </c>
      <c r="AW2" s="44" t="s">
        <v>92</v>
      </c>
      <c r="AX2" s="44" t="s">
        <v>93</v>
      </c>
      <c r="AY2" s="44" t="s">
        <v>92</v>
      </c>
      <c r="AZ2" s="44" t="s">
        <v>94</v>
      </c>
      <c r="BA2" s="44" t="s">
        <v>95</v>
      </c>
      <c r="BB2" s="44" t="s">
        <v>96</v>
      </c>
      <c r="BC2" s="44" t="s">
        <v>95</v>
      </c>
      <c r="BD2" s="45" t="s">
        <v>92</v>
      </c>
      <c r="BE2" s="45" t="s">
        <v>93</v>
      </c>
      <c r="BF2" s="45" t="s">
        <v>94</v>
      </c>
      <c r="BG2" s="45" t="s">
        <v>95</v>
      </c>
      <c r="BH2" s="45" t="s">
        <v>96</v>
      </c>
      <c r="BI2" s="45" t="s">
        <v>92</v>
      </c>
      <c r="BJ2" s="45" t="s">
        <v>93</v>
      </c>
      <c r="BK2" s="45" t="s">
        <v>94</v>
      </c>
      <c r="BL2" s="45" t="s">
        <v>95</v>
      </c>
      <c r="BM2" s="45" t="s">
        <v>96</v>
      </c>
      <c r="BN2" s="44" t="s">
        <v>92</v>
      </c>
      <c r="BO2" s="44" t="s">
        <v>93</v>
      </c>
      <c r="BP2" s="44" t="s">
        <v>94</v>
      </c>
      <c r="BQ2" s="44" t="s">
        <v>95</v>
      </c>
      <c r="BR2" s="44" t="s">
        <v>96</v>
      </c>
      <c r="BS2" s="44" t="s">
        <v>92</v>
      </c>
      <c r="BT2" s="44" t="s">
        <v>93</v>
      </c>
      <c r="BU2" s="44" t="s">
        <v>94</v>
      </c>
      <c r="BV2" s="44" t="s">
        <v>95</v>
      </c>
      <c r="BW2" s="44" t="s">
        <v>96</v>
      </c>
      <c r="BX2" s="45" t="s">
        <v>94</v>
      </c>
      <c r="BY2" s="45" t="s">
        <v>95</v>
      </c>
      <c r="BZ2" s="45" t="s">
        <v>96</v>
      </c>
      <c r="CA2" s="45" t="s">
        <v>95</v>
      </c>
      <c r="CB2" s="44" t="s">
        <v>95</v>
      </c>
      <c r="CC2" s="44" t="s">
        <v>96</v>
      </c>
      <c r="CD2" s="44" t="s">
        <v>95</v>
      </c>
      <c r="CE2" s="44" t="s">
        <v>94</v>
      </c>
    </row>
    <row r="3" spans="1:83" x14ac:dyDescent="0.25">
      <c r="A3" t="str">
        <f>PLANTILLA!D5</f>
        <v>Nicolae Hornet</v>
      </c>
      <c r="B3">
        <f>PLANTILLA!E5</f>
        <v>21</v>
      </c>
      <c r="C3" s="33">
        <f ca="1">PLANTILLA!F5</f>
        <v>87</v>
      </c>
      <c r="D3" s="226"/>
      <c r="E3" s="30">
        <f>PLANTILLA!M5</f>
        <v>43190</v>
      </c>
      <c r="F3" s="47">
        <f>PLANTILLA!Q5</f>
        <v>7</v>
      </c>
      <c r="G3" s="48">
        <f t="shared" ref="G3:G4" si="0">(F3/7)^0.5</f>
        <v>1</v>
      </c>
      <c r="H3" s="48">
        <f t="shared" ref="H3:H4" si="1">IF(F3=7,1,((F3+0.99)/7)^0.5)</f>
        <v>1</v>
      </c>
      <c r="I3" s="51">
        <f t="shared" ref="I3" ca="1" si="2">IF(TODAY()-E3&gt;335,1,((TODAY()-E3)^0.5)/336^0.5)</f>
        <v>1</v>
      </c>
      <c r="J3" s="39">
        <f>PLANTILLA!I5</f>
        <v>1.4</v>
      </c>
      <c r="K3" s="46">
        <f>PLANTILLA!X5</f>
        <v>6</v>
      </c>
      <c r="L3" s="46">
        <f>PLANTILLA!Y5</f>
        <v>3</v>
      </c>
      <c r="M3" s="46">
        <f>PLANTILLA!Z5</f>
        <v>0</v>
      </c>
      <c r="N3" s="46">
        <f>PLANTILLA!AA5</f>
        <v>3</v>
      </c>
      <c r="O3" s="46">
        <f>PLANTILLA!AB5</f>
        <v>0</v>
      </c>
      <c r="P3" s="46">
        <f>PLANTILLA!AC5</f>
        <v>1</v>
      </c>
      <c r="Q3" s="46">
        <f>PLANTILLA!AD5</f>
        <v>1</v>
      </c>
      <c r="R3" s="46">
        <f t="shared" ref="R3:R4" si="3">((2*(O3+1))+(L3+1))/8</f>
        <v>0.75</v>
      </c>
      <c r="S3" s="46">
        <f t="shared" ref="S3:S4" si="4">(0.5*P3+ 0.3*Q3)/10</f>
        <v>0.08</v>
      </c>
      <c r="T3" s="46">
        <f t="shared" ref="T3:T4" si="5">(0.4*L3+0.3*Q3)/10</f>
        <v>0.15000000000000002</v>
      </c>
      <c r="U3" s="46">
        <f t="shared" ref="U3:U4" ca="1" si="6">(Q3+I3+(LOG(J3)*4/3))*(F3/7)^0.5</f>
        <v>2.1948373809043176</v>
      </c>
      <c r="V3" s="46">
        <f t="shared" ref="V3:V4" ca="1" si="7">IF(F3=7,U3,(Q3+I3+(LOG(J3)*4/3))*((F3+0.99)/7)^0.5)</f>
        <v>2.1948373809043176</v>
      </c>
      <c r="W3" s="37">
        <f t="shared" ref="W3:W4" ca="1" si="8">((K3+I3+(LOG(J3)*4/3))*0.597)+((L3+I3+(LOG(J3)*4/3))*0.276)</f>
        <v>5.4530930335294698</v>
      </c>
      <c r="X3" s="37">
        <f t="shared" ref="X3:X4" ca="1" si="9">((K3+I3+(LOG(J3)*4/3))*0.866)+((L3+I3+(LOG(J3)*4/3))*0.425)</f>
        <v>8.0135350587474736</v>
      </c>
      <c r="Y3" s="37">
        <f t="shared" ref="Y3:Y4" ca="1" si="10">W3</f>
        <v>5.4530930335294698</v>
      </c>
      <c r="Z3" s="37">
        <f ca="1">((L3+I3+(LOG(J3)*4/3))*0.516)</f>
        <v>2.1645360885466278</v>
      </c>
      <c r="AA3" s="37">
        <f ca="1">((L3+I3+(LOG(J3)*4/3))*1)</f>
        <v>4.1948373809043176</v>
      </c>
      <c r="AB3" s="37">
        <f t="shared" ref="AB3:AB4" ca="1" si="11">Z3/2</f>
        <v>1.0822680442733139</v>
      </c>
      <c r="AC3" s="37">
        <f ca="1">((M3+I3+(LOG(J3)*4/3))*0.238)</f>
        <v>0.28437129665522753</v>
      </c>
      <c r="AD3" s="37">
        <f ca="1">((L3+I3+(LOG(J3)*4/3))*0.378)</f>
        <v>1.5856485299818321</v>
      </c>
      <c r="AE3" s="37">
        <f ca="1">((L3+I3+(LOG(J3)*4/3))*0.723)</f>
        <v>3.0328674263938216</v>
      </c>
      <c r="AF3" s="37">
        <f t="shared" ref="AF3:AF4" ca="1" si="12">AD3/2</f>
        <v>0.79282426499091607</v>
      </c>
      <c r="AG3" s="37">
        <f ca="1">((M3+I3+(LOG(J3)*4/3))*0.385)</f>
        <v>0.46001239164816221</v>
      </c>
      <c r="AH3" s="37">
        <f ca="1">((L3+I3+(LOG(J3)*4/3))*0.92)</f>
        <v>3.8592503904319724</v>
      </c>
      <c r="AI3" s="37">
        <f ca="1">((L3+I3+(LOG(J3)*4/3))*0.414)</f>
        <v>1.7366626756943875</v>
      </c>
      <c r="AJ3" s="37">
        <f ca="1">((M3+I3+(LOG(J3)*4/3))*0.167)</f>
        <v>0.199537842611021</v>
      </c>
      <c r="AK3" s="37">
        <f ca="1">((N3+I3+(LOG(J3)*4/3))*0.588)</f>
        <v>2.4665643799717385</v>
      </c>
      <c r="AL3" s="37">
        <f ca="1">((L3+I3+(LOG(J3)*4/3))*0.754)</f>
        <v>3.1629073852018554</v>
      </c>
      <c r="AM3" s="37">
        <f ca="1">((L3+I3+(LOG(J3)*4/3))*0.708)</f>
        <v>2.9699448656802567</v>
      </c>
      <c r="AN3" s="37">
        <f ca="1">((Q3+I3+(LOG(J3)*4/3))*0.167)</f>
        <v>0.36653784261102107</v>
      </c>
      <c r="AO3" s="37">
        <f ca="1">((R3+I3+(LOG(J3)*4/3))*0.288)</f>
        <v>0.56011316570044334</v>
      </c>
      <c r="AP3" s="37">
        <f ca="1">((L3+I3+(LOG(J3)*4/3))*0.27)</f>
        <v>1.1326060928441659</v>
      </c>
      <c r="AQ3" s="37">
        <f ca="1">((L3+I3+(LOG(J3)*4/3))*0.594)</f>
        <v>2.4917334042571646</v>
      </c>
      <c r="AR3" s="37">
        <f t="shared" ref="AR3:AR4" ca="1" si="13">AP3/2</f>
        <v>0.56630304642208296</v>
      </c>
      <c r="AS3" s="37">
        <f ca="1">((M3+I3+(LOG(J3)*4/3))*0.944)</f>
        <v>1.1279264875736754</v>
      </c>
      <c r="AT3" s="37">
        <f ca="1">((O3+I3+(LOG(J3)*4/3))*0.13)</f>
        <v>0.15532885951756126</v>
      </c>
      <c r="AU3" s="37">
        <f ca="1">((P3+I3+(LOG(J3)*4/3))*0.173)+((O3+I3+(LOG(J3)*4/3))*0.12)</f>
        <v>0.52308735260496497</v>
      </c>
      <c r="AV3" s="37">
        <f t="shared" ref="AV3:AV4" ca="1" si="14">AT3/2</f>
        <v>7.7664429758780629E-2</v>
      </c>
      <c r="AW3" s="37">
        <f ca="1">((L3+I3+(LOG(J3)*4/3))*0.189)</f>
        <v>0.79282426499091607</v>
      </c>
      <c r="AX3" s="37">
        <f ca="1">((L3+I3+(LOG(J3)*4/3))*0.4)</f>
        <v>1.6779349523617271</v>
      </c>
      <c r="AY3" s="37">
        <f t="shared" ref="AY3:AY4" ca="1" si="15">AW3/2</f>
        <v>0.39641213249545804</v>
      </c>
      <c r="AZ3" s="37">
        <f ca="1">((M3+I3+(LOG(J3)*4/3))*1)</f>
        <v>1.1948373809043173</v>
      </c>
      <c r="BA3" s="37">
        <f ca="1">((O3+I3+(LOG(J3)*4/3))*0.253)</f>
        <v>0.30229385736879227</v>
      </c>
      <c r="BB3" s="37">
        <f ca="1">((P3+I3+(LOG(J3)*4/3))*0.21)+((O3+I3+(LOG(J3)*4/3))*0.341)</f>
        <v>0.8683553968782789</v>
      </c>
      <c r="BC3" s="37">
        <f t="shared" ref="BC3:BC4" ca="1" si="16">BA3/2</f>
        <v>0.15114692868439614</v>
      </c>
      <c r="BD3" s="37">
        <f ca="1">((L3+I3+(LOG(J3)*4/3))*0.291)</f>
        <v>1.2206976778431564</v>
      </c>
      <c r="BE3" s="37">
        <f ca="1">((L3+I3+(LOG(J3)*4/3))*0.348)</f>
        <v>1.4598034085547025</v>
      </c>
      <c r="BF3" s="37">
        <f ca="1">((M3+I3+(LOG(J3)*4/3))*0.881)</f>
        <v>1.0526517325767035</v>
      </c>
      <c r="BG3" s="37">
        <f ca="1">((N3+I3+(LOG(J3)*4/3))*0.574)+((O3+I3+(LOG(J3)*4/3))*0.315)</f>
        <v>2.7842104316239382</v>
      </c>
      <c r="BH3" s="37">
        <f ca="1">((O3+I3+(LOG(J3)*4/3))*0.241)</f>
        <v>0.28795580879794047</v>
      </c>
      <c r="BI3" s="37">
        <f ca="1">((L3+I3+(LOG(J3)*4/3))*0.485)</f>
        <v>2.034496129738594</v>
      </c>
      <c r="BJ3" s="37">
        <f ca="1">((L3+I3+(LOG(J3)*4/3))*0.264)</f>
        <v>1.1074370685587398</v>
      </c>
      <c r="BK3" s="37">
        <f ca="1">((M3+I3+(LOG(J3)*4/3))*0.381)</f>
        <v>0.45523304212454491</v>
      </c>
      <c r="BL3" s="37">
        <f ca="1">((N3+I3+(LOG(J3)*4/3))*0.673)+((O3+I3+(LOG(J3)*4/3))*0.201)</f>
        <v>3.0632878709103739</v>
      </c>
      <c r="BM3" s="37">
        <f ca="1">((O3+I3+(LOG(J3)*4/3))*0.052)</f>
        <v>6.21315438070245E-2</v>
      </c>
      <c r="BN3" s="37">
        <f ca="1">((L3+I3+(LOG(J3)*4/3))*0.18)</f>
        <v>0.75507072856277713</v>
      </c>
      <c r="BO3" s="37">
        <f ca="1">((L3+I3+(LOG(J3)*4/3))*0.068)</f>
        <v>0.28524894190149364</v>
      </c>
      <c r="BP3" s="37">
        <f ca="1">((M3+I3+(LOG(J3)*4/3))*0.305)</f>
        <v>0.36442540117581679</v>
      </c>
      <c r="BQ3" s="37">
        <f ca="1">((N3+I3+(LOG(J3)*4/3))*1)+((O3+I3+(LOG(J3)*4/3))*0.286)</f>
        <v>4.5365608718429522</v>
      </c>
      <c r="BR3" s="37">
        <f ca="1">((O3+I3+(LOG(J3)*4/3))*0.135)</f>
        <v>0.16130304642208285</v>
      </c>
      <c r="BS3" s="37">
        <f ca="1">((L3+I3+(LOG(J3)*4/3))*0.284)</f>
        <v>1.1913338161768261</v>
      </c>
      <c r="BT3" s="37">
        <f ca="1">((L3+I3+(LOG(J3)*4/3))*0.244)</f>
        <v>1.0235403209406535</v>
      </c>
      <c r="BU3" s="37">
        <f ca="1">((M3+I3+(LOG(J3)*4/3))*0.631)</f>
        <v>0.75394238735062424</v>
      </c>
      <c r="BV3" s="37">
        <f ca="1">((N3+I3+(LOG(J3)*4/3))*0.702)+((O3+I3+(LOG(J3)*4/3))*0.193)</f>
        <v>3.175379455909364</v>
      </c>
      <c r="BW3" s="37">
        <f ca="1">((O3+I3+(LOG(J3)*4/3))*0.148)</f>
        <v>0.17683593237383896</v>
      </c>
      <c r="BX3" s="37">
        <f ca="1">((M3+I3+(LOG(J3)*4/3))*0.406)</f>
        <v>0.48510397664715288</v>
      </c>
      <c r="BY3" s="37">
        <f ca="1">IF(D3="TEC",((N3+I3+(LOG(J3)*4/3))*0.15)+((O3+I3+(LOG(J3)*4/3))*0.324)+((P3+I3+(LOG(J3)*4/3))*0.127),((N3+I3+(LOG(J3)*4/3))*0.144)+((O3+I3+(LOG(J3)*4/3))*0.25)+((P3+I3+(LOG(J3)*4/3))*0.127))</f>
        <v>1.1815102754511493</v>
      </c>
      <c r="BZ3" s="37">
        <f ca="1">IF(D3="TEC",((O3+I3+(LOG(J3)*4/3))*0.543)+((P3+I3+(LOG(J3)*4/3))*0.583),((O3+I3+(LOG(J3)*4/3))*0.543)+((P3+I3+(LOG(J3)*4/3))*0.583))</f>
        <v>1.9283868908982615</v>
      </c>
      <c r="CA3" s="37">
        <f t="shared" ref="CA3:CA4" ca="1" si="17">BY3</f>
        <v>1.1815102754511493</v>
      </c>
      <c r="CB3" s="37">
        <f ca="1">((P3+I3+(LOG(J3)*4/3))*0.26)+((N3+I3+(LOG(J3)*4/3))*0.221)+((O3+I3+(LOG(J3)*4/3))*0.142)</f>
        <v>1.6673836883033897</v>
      </c>
      <c r="CC3" s="37">
        <f ca="1">((P3+I3+(LOG(J3)*4/3))*1)+((O3+I3+(LOG(J3)*4/3))*0.369)</f>
        <v>2.6357323744580108</v>
      </c>
      <c r="CD3" s="37">
        <f t="shared" ref="CD3:CD4" ca="1" si="18">CB3</f>
        <v>1.6673836883033897</v>
      </c>
      <c r="CE3" s="37">
        <f ca="1">((M3+I3+(LOG(J3)*4/3))*0.25)</f>
        <v>0.29870934522607934</v>
      </c>
    </row>
    <row r="4" spans="1:83" x14ac:dyDescent="0.25">
      <c r="A4" t="str">
        <f>PLANTILLA!D4</f>
        <v>Cosme Fonteboa</v>
      </c>
      <c r="B4">
        <f>PLANTILLA!E4</f>
        <v>21</v>
      </c>
      <c r="C4" s="33">
        <f ca="1">PLANTILLA!F4</f>
        <v>62</v>
      </c>
      <c r="D4" s="226"/>
      <c r="E4" s="30">
        <f>PLANTILLA!M4</f>
        <v>43415</v>
      </c>
      <c r="F4" s="47">
        <f>PLANTILLA!Q4</f>
        <v>6</v>
      </c>
      <c r="G4" s="48">
        <f t="shared" si="0"/>
        <v>0.92582009977255142</v>
      </c>
      <c r="H4" s="48">
        <f t="shared" si="1"/>
        <v>0.99928545900129484</v>
      </c>
      <c r="I4" s="228">
        <v>1.5</v>
      </c>
      <c r="J4" s="39">
        <f>PLANTILLA!I4</f>
        <v>3.9</v>
      </c>
      <c r="K4" s="46">
        <f>PLANTILLA!X4</f>
        <v>15</v>
      </c>
      <c r="L4" s="46">
        <f>PLANTILLA!Y4</f>
        <v>8.1999999999999993</v>
      </c>
      <c r="M4" s="46">
        <f>PLANTILLA!Z4</f>
        <v>0</v>
      </c>
      <c r="N4" s="46">
        <f>PLANTILLA!AA4</f>
        <v>0</v>
      </c>
      <c r="O4" s="46">
        <f>PLANTILLA!AB4</f>
        <v>0</v>
      </c>
      <c r="P4" s="46">
        <f>PLANTILLA!AC4</f>
        <v>1</v>
      </c>
      <c r="Q4" s="46">
        <f>PLANTILLA!AD4</f>
        <v>1</v>
      </c>
      <c r="R4" s="46">
        <f t="shared" si="3"/>
        <v>1.4</v>
      </c>
      <c r="S4" s="46">
        <f t="shared" si="4"/>
        <v>0.08</v>
      </c>
      <c r="T4" s="46">
        <f t="shared" si="5"/>
        <v>0.35799999999999998</v>
      </c>
      <c r="U4" s="46">
        <f t="shared" si="6"/>
        <v>3.0441762406971082</v>
      </c>
      <c r="V4" s="46">
        <f t="shared" si="7"/>
        <v>3.2857366703457642</v>
      </c>
      <c r="W4" s="37">
        <f t="shared" si="8"/>
        <v>13.215699202578847</v>
      </c>
      <c r="X4" s="37">
        <f t="shared" si="9"/>
        <v>19.42891921022828</v>
      </c>
      <c r="Y4" s="37">
        <f t="shared" si="10"/>
        <v>13.215699202578847</v>
      </c>
      <c r="Z4" s="37">
        <f t="shared" ref="Z4:Z18" si="19">((L4+I4+(LOG(J4)*4/3))*0.516)</f>
        <v>5.4118524496342317</v>
      </c>
      <c r="AA4" s="37">
        <f t="shared" ref="AA4:AA18" si="20">((L4+I4+(LOG(J4)*4/3))*1)</f>
        <v>10.488086142701999</v>
      </c>
      <c r="AB4" s="37">
        <f t="shared" si="11"/>
        <v>2.7059262248171159</v>
      </c>
      <c r="AC4" s="37">
        <f t="shared" ref="AC4:AC18" si="21">((M4+I4+(LOG(J4)*4/3))*0.238)</f>
        <v>0.54456450196307571</v>
      </c>
      <c r="AD4" s="37">
        <f t="shared" ref="AD4:AD18" si="22">((L4+I4+(LOG(J4)*4/3))*0.378)</f>
        <v>3.9644965619413557</v>
      </c>
      <c r="AE4" s="37">
        <f t="shared" ref="AE4:AE18" si="23">((L4+I4+(LOG(J4)*4/3))*0.723)</f>
        <v>7.5828862811735451</v>
      </c>
      <c r="AF4" s="37">
        <f t="shared" si="12"/>
        <v>1.9822482809706778</v>
      </c>
      <c r="AG4" s="37">
        <f t="shared" ref="AG4:AG18" si="24">((M4+I4+(LOG(J4)*4/3))*0.385)</f>
        <v>0.88091316494026961</v>
      </c>
      <c r="AH4" s="37">
        <f t="shared" ref="AH4:AH18" si="25">((L4+I4+(LOG(J4)*4/3))*0.92)</f>
        <v>9.6490392512858385</v>
      </c>
      <c r="AI4" s="37">
        <f t="shared" ref="AI4:AI18" si="26">((L4+I4+(LOG(J4)*4/3))*0.414)</f>
        <v>4.3420676630786268</v>
      </c>
      <c r="AJ4" s="37">
        <f t="shared" ref="AJ4:AJ18" si="27">((M4+I4+(LOG(J4)*4/3))*0.167)</f>
        <v>0.38211038583123386</v>
      </c>
      <c r="AK4" s="37">
        <f t="shared" ref="AK4:AK18" si="28">((N4+I4+(LOG(J4)*4/3))*0.588)</f>
        <v>1.3453946519087754</v>
      </c>
      <c r="AL4" s="37">
        <f t="shared" ref="AL4:AL18" si="29">((L4+I4+(LOG(J4)*4/3))*0.754)</f>
        <v>7.9080169515973067</v>
      </c>
      <c r="AM4" s="37">
        <f t="shared" ref="AM4:AM18" si="30">((L4+I4+(LOG(J4)*4/3))*0.708)</f>
        <v>7.4255649890330151</v>
      </c>
      <c r="AN4" s="37">
        <f t="shared" ref="AN4:AN18" si="31">((Q4+I4+(LOG(J4)*4/3))*0.167)</f>
        <v>0.54911038583123384</v>
      </c>
      <c r="AO4" s="37">
        <f t="shared" ref="AO4:AO18" si="32">((R4+I4+(LOG(J4)*4/3))*0.288)</f>
        <v>1.0621688090981756</v>
      </c>
      <c r="AP4" s="37">
        <f t="shared" ref="AP4:AP18" si="33">((L4+I4+(LOG(J4)*4/3))*0.27)</f>
        <v>2.8317832585295397</v>
      </c>
      <c r="AQ4" s="37">
        <f t="shared" ref="AQ4:AQ18" si="34">((L4+I4+(LOG(J4)*4/3))*0.594)</f>
        <v>6.2299231687649872</v>
      </c>
      <c r="AR4" s="37">
        <f t="shared" si="13"/>
        <v>1.4158916292647699</v>
      </c>
      <c r="AS4" s="37">
        <f t="shared" ref="AS4:AS18" si="35">((M4+I4+(LOG(J4)*4/3))*0.944)</f>
        <v>2.159953318710687</v>
      </c>
      <c r="AT4" s="37">
        <f t="shared" ref="AT4:AT18" si="36">((O4+I4+(LOG(J4)*4/3))*0.13)</f>
        <v>0.2974511985512599</v>
      </c>
      <c r="AU4" s="37">
        <f t="shared" ref="AU4:AU18" si="37">((P4+I4+(LOG(J4)*4/3))*0.173)+((O4+I4+(LOG(J4)*4/3))*0.12)</f>
        <v>0.84340923981168558</v>
      </c>
      <c r="AV4" s="37">
        <f t="shared" si="14"/>
        <v>0.14872559927562995</v>
      </c>
      <c r="AW4" s="37">
        <f t="shared" ref="AW4:AW18" si="38">((L4+I4+(LOG(J4)*4/3))*0.189)</f>
        <v>1.9822482809706778</v>
      </c>
      <c r="AX4" s="37">
        <f t="shared" ref="AX4:AX18" si="39">((L4+I4+(LOG(J4)*4/3))*0.4)</f>
        <v>4.1952344570808</v>
      </c>
      <c r="AY4" s="37">
        <f t="shared" si="15"/>
        <v>0.99112414048533892</v>
      </c>
      <c r="AZ4" s="37">
        <f t="shared" ref="AZ4:AZ18" si="40">((M4+I4+(LOG(J4)*4/3))*1)</f>
        <v>2.2880861427019989</v>
      </c>
      <c r="BA4" s="37">
        <f t="shared" ref="BA4:BA18" si="41">((O4+I4+(LOG(J4)*4/3))*0.253)</f>
        <v>0.57888579410360574</v>
      </c>
      <c r="BB4" s="37">
        <f t="shared" ref="BB4:BB18" si="42">((P4+I4+(LOG(J4)*4/3))*0.21)+((O4+I4+(LOG(J4)*4/3))*0.341)</f>
        <v>1.4707354646288016</v>
      </c>
      <c r="BC4" s="37">
        <f t="shared" si="16"/>
        <v>0.28944289705180287</v>
      </c>
      <c r="BD4" s="37">
        <f t="shared" ref="BD4:BD18" si="43">((L4+I4+(LOG(J4)*4/3))*0.291)</f>
        <v>3.0520330675262812</v>
      </c>
      <c r="BE4" s="37">
        <f t="shared" ref="BE4:BE18" si="44">((L4+I4+(LOG(J4)*4/3))*0.348)</f>
        <v>3.6498539776602952</v>
      </c>
      <c r="BF4" s="37">
        <f t="shared" ref="BF4:BF18" si="45">((M4+I4+(LOG(J4)*4/3))*0.881)</f>
        <v>2.015803891720461</v>
      </c>
      <c r="BG4" s="37">
        <f t="shared" ref="BG4:BG18" si="46">((N4+I4+(LOG(J4)*4/3))*0.574)+((O4+I4+(LOG(J4)*4/3))*0.315)</f>
        <v>2.0341085808620769</v>
      </c>
      <c r="BH4" s="37">
        <f t="shared" ref="BH4:BH18" si="47">((O4+I4+(LOG(J4)*4/3))*0.241)</f>
        <v>0.55142876039118172</v>
      </c>
      <c r="BI4" s="37">
        <f t="shared" ref="BI4:BI18" si="48">((L4+I4+(LOG(J4)*4/3))*0.485)</f>
        <v>5.0867217792104693</v>
      </c>
      <c r="BJ4" s="37">
        <f t="shared" ref="BJ4:BJ18" si="49">((L4+I4+(LOG(J4)*4/3))*0.264)</f>
        <v>2.7688547416733278</v>
      </c>
      <c r="BK4" s="37">
        <f t="shared" ref="BK4:BK18" si="50">((M4+I4+(LOG(J4)*4/3))*0.381)</f>
        <v>0.87176082036946156</v>
      </c>
      <c r="BL4" s="37">
        <f t="shared" ref="BL4:BL18" si="51">((N4+I4+(LOG(J4)*4/3))*0.673)+((O4+I4+(LOG(J4)*4/3))*0.201)</f>
        <v>1.9997872887215471</v>
      </c>
      <c r="BM4" s="37">
        <f t="shared" ref="BM4:BM18" si="52">((O4+I4+(LOG(J4)*4/3))*0.052)</f>
        <v>0.11898047942050394</v>
      </c>
      <c r="BN4" s="37">
        <f t="shared" ref="BN4:BN18" si="53">((L4+I4+(LOG(J4)*4/3))*0.18)</f>
        <v>1.8878555056863597</v>
      </c>
      <c r="BO4" s="37">
        <f t="shared" ref="BO4:BO18" si="54">((L4+I4+(LOG(J4)*4/3))*0.068)</f>
        <v>0.713189857703736</v>
      </c>
      <c r="BP4" s="37">
        <f t="shared" ref="BP4:BP18" si="55">((M4+I4+(LOG(J4)*4/3))*0.305)</f>
        <v>0.69786627352410968</v>
      </c>
      <c r="BQ4" s="37">
        <f t="shared" ref="BQ4:BQ18" si="56">((N4+I4+(LOG(J4)*4/3))*1)+((O4+I4+(LOG(J4)*4/3))*0.286)</f>
        <v>2.9424787795147704</v>
      </c>
      <c r="BR4" s="37">
        <f t="shared" ref="BR4:BR18" si="57">((O4+I4+(LOG(J4)*4/3))*0.135)</f>
        <v>0.30889162926476987</v>
      </c>
      <c r="BS4" s="37">
        <f t="shared" ref="BS4:BS18" si="58">((L4+I4+(LOG(J4)*4/3))*0.284)</f>
        <v>2.9786164645273674</v>
      </c>
      <c r="BT4" s="37">
        <f t="shared" ref="BT4:BT18" si="59">((L4+I4+(LOG(J4)*4/3))*0.244)</f>
        <v>2.5590930188192877</v>
      </c>
      <c r="BU4" s="37">
        <f t="shared" ref="BU4:BU18" si="60">((M4+I4+(LOG(J4)*4/3))*0.631)</f>
        <v>1.4437823560449614</v>
      </c>
      <c r="BV4" s="37">
        <f t="shared" ref="BV4:BV18" si="61">((N4+I4+(LOG(J4)*4/3))*0.702)+((O4+I4+(LOG(J4)*4/3))*0.193)</f>
        <v>2.0478370977182889</v>
      </c>
      <c r="BW4" s="37">
        <f t="shared" ref="BW4:BW18" si="62">((O4+I4+(LOG(J4)*4/3))*0.148)</f>
        <v>0.33863674911989583</v>
      </c>
      <c r="BX4" s="37">
        <f t="shared" ref="BX4:BX18" si="63">((M4+I4+(LOG(J4)*4/3))*0.406)</f>
        <v>0.92896297393701166</v>
      </c>
      <c r="BY4" s="37">
        <f t="shared" ref="BY4:BY18" si="64">IF(D4="TEC",((N4+I4+(LOG(J4)*4/3))*0.15)+((O4+I4+(LOG(J4)*4/3))*0.324)+((P4+I4+(LOG(J4)*4/3))*0.127),((N4+I4+(LOG(J4)*4/3))*0.144)+((O4+I4+(LOG(J4)*4/3))*0.25)+((P4+I4+(LOG(J4)*4/3))*0.127))</f>
        <v>1.3190928803477413</v>
      </c>
      <c r="BZ4" s="37">
        <f t="shared" ref="BZ4:BZ18" si="65">IF(D4="TEC",((O4+I4+(LOG(J4)*4/3))*0.543)+((P4+I4+(LOG(J4)*4/3))*0.583),((O4+I4+(LOG(J4)*4/3))*0.543)+((P4+I4+(LOG(J4)*4/3))*0.583))</f>
        <v>3.1593849966824505</v>
      </c>
      <c r="CA4" s="37">
        <f t="shared" si="17"/>
        <v>1.3190928803477413</v>
      </c>
      <c r="CB4" s="37">
        <f t="shared" ref="CB4:CB18" si="66">((P4+I4+(LOG(J4)*4/3))*0.26)+((N4+I4+(LOG(J4)*4/3))*0.221)+((O4+I4+(LOG(J4)*4/3))*0.142)</f>
        <v>1.6854776669033453</v>
      </c>
      <c r="CC4" s="37">
        <f t="shared" ref="CC4:CC18" si="67">((P4+I4+(LOG(J4)*4/3))*1)+((O4+I4+(LOG(J4)*4/3))*0.369)</f>
        <v>4.1323899293590367</v>
      </c>
      <c r="CD4" s="37">
        <f t="shared" si="18"/>
        <v>1.6854776669033453</v>
      </c>
      <c r="CE4" s="37">
        <f t="shared" ref="CE4:CE18" si="68">((M4+I4+(LOG(J4)*4/3))*0.25)</f>
        <v>0.57202153567549974</v>
      </c>
    </row>
    <row r="5" spans="1:83" x14ac:dyDescent="0.25">
      <c r="A5" t="str">
        <f>PLANTILLA!D9</f>
        <v>Guillermo Pedrajas</v>
      </c>
      <c r="B5">
        <f>PLANTILLA!E9</f>
        <v>21</v>
      </c>
      <c r="C5" s="33">
        <f ca="1">PLANTILLA!F9</f>
        <v>75</v>
      </c>
      <c r="D5" s="218"/>
      <c r="E5" s="30">
        <f>PLANTILLA!M9</f>
        <v>43419</v>
      </c>
      <c r="F5" s="47">
        <f>PLANTILLA!Q9</f>
        <v>6</v>
      </c>
      <c r="G5" s="48">
        <f>(F5/7)^0.5</f>
        <v>0.92582009977255142</v>
      </c>
      <c r="H5" s="48">
        <f>IF(F5=7,1,((F5+0.99)/7)^0.5)</f>
        <v>0.99928545900129484</v>
      </c>
      <c r="I5" s="51">
        <f ca="1">IF(TODAY()-E5&gt;335,1,((TODAY()-E5)^0.5)/336^0.5)</f>
        <v>0.59761430466719689</v>
      </c>
      <c r="J5" s="39">
        <f>PLANTILLA!I9</f>
        <v>3.9</v>
      </c>
      <c r="K5" s="46">
        <f>PLANTILLA!X9</f>
        <v>0</v>
      </c>
      <c r="L5" s="46">
        <f>PLANTILLA!Y9</f>
        <v>8.1999999999999993</v>
      </c>
      <c r="M5" s="46">
        <f>PLANTILLA!Z9</f>
        <v>11</v>
      </c>
      <c r="N5" s="46">
        <f>PLANTILLA!AA9</f>
        <v>4</v>
      </c>
      <c r="O5" s="46">
        <f>PLANTILLA!AB9</f>
        <v>9</v>
      </c>
      <c r="P5" s="46">
        <f>PLANTILLA!AC9</f>
        <v>4</v>
      </c>
      <c r="Q5" s="46">
        <f>PLANTILLA!AD9</f>
        <v>1</v>
      </c>
      <c r="R5" s="46">
        <f t="shared" ref="R5" si="69">((2*(O5+1))+(L5+1))/8</f>
        <v>3.65</v>
      </c>
      <c r="S5" s="46">
        <f t="shared" ref="S5" si="70">(0.5*P5+ 0.3*Q5)/10</f>
        <v>0.22999999999999998</v>
      </c>
      <c r="T5" s="46">
        <f t="shared" ref="T5" si="71">(0.4*L5+0.3*Q5)/10</f>
        <v>0.35799999999999998</v>
      </c>
      <c r="U5" s="46">
        <f ca="1">(Q5+I5+(LOG(J5)*4/3))*(F5/7)^0.5</f>
        <v>2.2087294262107693</v>
      </c>
      <c r="V5" s="46">
        <f ca="1">IF(F5=7,U5,(Q5+I5+(LOG(J5)*4/3))*((F5+0.99)/7)^0.5)</f>
        <v>2.3839957665889213</v>
      </c>
      <c r="W5" s="37">
        <f ca="1">((K5+I5+(LOG(J5)*4/3))*0.597)+((L5+I5+(LOG(J5)*4/3))*0.276)</f>
        <v>3.4729164905533079</v>
      </c>
      <c r="X5" s="37">
        <f ca="1">((K5+I5+(LOG(J5)*4/3))*0.866)+((L5+I5+(LOG(J5)*4/3))*0.425)</f>
        <v>5.2739392775536311</v>
      </c>
      <c r="Y5" s="37">
        <f t="shared" ref="Y5" ca="1" si="72">W5</f>
        <v>3.4729164905533079</v>
      </c>
      <c r="Z5" s="37">
        <f t="shared" ca="1" si="19"/>
        <v>4.9462214308425052</v>
      </c>
      <c r="AA5" s="37">
        <f t="shared" ca="1" si="20"/>
        <v>9.5857004473691951</v>
      </c>
      <c r="AB5" s="37">
        <f t="shared" ref="AB5" ca="1" si="73">Z5/2</f>
        <v>2.4731107154212526</v>
      </c>
      <c r="AC5" s="37">
        <f t="shared" ca="1" si="21"/>
        <v>2.9477967064738686</v>
      </c>
      <c r="AD5" s="37">
        <f t="shared" ca="1" si="22"/>
        <v>3.6233947691055559</v>
      </c>
      <c r="AE5" s="37">
        <f t="shared" ca="1" si="23"/>
        <v>6.9304614234479276</v>
      </c>
      <c r="AF5" s="37">
        <f t="shared" ref="AF5" ca="1" si="74">AD5/2</f>
        <v>1.811697384552778</v>
      </c>
      <c r="AG5" s="37">
        <f t="shared" ca="1" si="24"/>
        <v>4.7684946722371402</v>
      </c>
      <c r="AH5" s="37">
        <f t="shared" ca="1" si="25"/>
        <v>8.8188444115796596</v>
      </c>
      <c r="AI5" s="37">
        <f t="shared" ca="1" si="26"/>
        <v>3.9684799852108466</v>
      </c>
      <c r="AJ5" s="37">
        <f t="shared" ca="1" si="27"/>
        <v>2.068411974710656</v>
      </c>
      <c r="AK5" s="37">
        <f t="shared" ca="1" si="28"/>
        <v>3.1667918630530871</v>
      </c>
      <c r="AL5" s="37">
        <f t="shared" ca="1" si="29"/>
        <v>7.227618137316373</v>
      </c>
      <c r="AM5" s="37">
        <f t="shared" ca="1" si="30"/>
        <v>6.7866759167373898</v>
      </c>
      <c r="AN5" s="37">
        <f t="shared" ca="1" si="31"/>
        <v>0.3984119747106557</v>
      </c>
      <c r="AO5" s="37">
        <f t="shared" ca="1" si="32"/>
        <v>1.4502817288423284</v>
      </c>
      <c r="AP5" s="37">
        <f t="shared" ca="1" si="33"/>
        <v>2.5881391207896827</v>
      </c>
      <c r="AQ5" s="37">
        <f t="shared" ca="1" si="34"/>
        <v>5.693906065737302</v>
      </c>
      <c r="AR5" s="37">
        <f t="shared" ref="AR5" ca="1" si="75">AP5/2</f>
        <v>1.2940695603948413</v>
      </c>
      <c r="AS5" s="37">
        <f t="shared" ca="1" si="35"/>
        <v>11.69210122231652</v>
      </c>
      <c r="AT5" s="37">
        <f t="shared" ca="1" si="36"/>
        <v>1.3501410581579956</v>
      </c>
      <c r="AU5" s="37">
        <f t="shared" ca="1" si="37"/>
        <v>2.178010231079174</v>
      </c>
      <c r="AV5" s="37">
        <f t="shared" ref="AV5" ca="1" si="76">AT5/2</f>
        <v>0.67507052907899778</v>
      </c>
      <c r="AW5" s="37">
        <f t="shared" ca="1" si="38"/>
        <v>1.811697384552778</v>
      </c>
      <c r="AX5" s="37">
        <f t="shared" ca="1" si="39"/>
        <v>3.8342801789476781</v>
      </c>
      <c r="AY5" s="37">
        <f t="shared" ref="AY5" ca="1" si="77">AW5/2</f>
        <v>0.90584869227638898</v>
      </c>
      <c r="AZ5" s="37">
        <f t="shared" ca="1" si="40"/>
        <v>12.385700447369196</v>
      </c>
      <c r="BA5" s="37">
        <f t="shared" ca="1" si="41"/>
        <v>2.6275822131844064</v>
      </c>
      <c r="BB5" s="37">
        <f t="shared" ca="1" si="42"/>
        <v>4.6725209465004269</v>
      </c>
      <c r="BC5" s="37">
        <f t="shared" ref="BC5" ca="1" si="78">BA5/2</f>
        <v>1.3137911065922032</v>
      </c>
      <c r="BD5" s="37">
        <f t="shared" ca="1" si="43"/>
        <v>2.7894388301844355</v>
      </c>
      <c r="BE5" s="37">
        <f t="shared" ca="1" si="44"/>
        <v>3.3358237556844799</v>
      </c>
      <c r="BF5" s="37">
        <f t="shared" ca="1" si="45"/>
        <v>10.911802094132261</v>
      </c>
      <c r="BG5" s="37">
        <f t="shared" ca="1" si="46"/>
        <v>6.3628876977112148</v>
      </c>
      <c r="BH5" s="37">
        <f t="shared" ca="1" si="47"/>
        <v>2.5029538078159761</v>
      </c>
      <c r="BI5" s="37">
        <f t="shared" ca="1" si="48"/>
        <v>4.6490647169740598</v>
      </c>
      <c r="BJ5" s="37">
        <f t="shared" ca="1" si="49"/>
        <v>2.5306249181054676</v>
      </c>
      <c r="BK5" s="37">
        <f t="shared" ca="1" si="50"/>
        <v>4.7189518704476638</v>
      </c>
      <c r="BL5" s="37">
        <f t="shared" ca="1" si="51"/>
        <v>5.7121021910006773</v>
      </c>
      <c r="BM5" s="37">
        <f t="shared" ca="1" si="52"/>
        <v>0.54005642326319814</v>
      </c>
      <c r="BN5" s="37">
        <f t="shared" ca="1" si="53"/>
        <v>1.725426080526455</v>
      </c>
      <c r="BO5" s="37">
        <f t="shared" ca="1" si="54"/>
        <v>0.65182763042110536</v>
      </c>
      <c r="BP5" s="37">
        <f t="shared" ca="1" si="55"/>
        <v>3.7776386364476044</v>
      </c>
      <c r="BQ5" s="37">
        <f t="shared" ca="1" si="56"/>
        <v>8.3560107753167863</v>
      </c>
      <c r="BR5" s="37">
        <f t="shared" ca="1" si="57"/>
        <v>1.4020695603948414</v>
      </c>
      <c r="BS5" s="37">
        <f t="shared" ca="1" si="58"/>
        <v>2.7223389270528511</v>
      </c>
      <c r="BT5" s="37">
        <f t="shared" ca="1" si="59"/>
        <v>2.3389109091580838</v>
      </c>
      <c r="BU5" s="37">
        <f t="shared" ca="1" si="60"/>
        <v>7.8153769822899628</v>
      </c>
      <c r="BV5" s="37">
        <f t="shared" ca="1" si="61"/>
        <v>5.78520190039543</v>
      </c>
      <c r="BW5" s="37">
        <f t="shared" ca="1" si="62"/>
        <v>1.5370836662106409</v>
      </c>
      <c r="BX5" s="37">
        <f t="shared" ca="1" si="63"/>
        <v>5.0285943816318941</v>
      </c>
      <c r="BY5" s="37">
        <f t="shared" ca="1" si="64"/>
        <v>4.0559499330793507</v>
      </c>
      <c r="BZ5" s="37">
        <f t="shared" ca="1" si="65"/>
        <v>8.7792987037377159</v>
      </c>
      <c r="CA5" s="37">
        <f t="shared" ref="CA5" ca="1" si="79">BY5</f>
        <v>4.0559499330793507</v>
      </c>
      <c r="CB5" s="37">
        <f t="shared" ca="1" si="66"/>
        <v>4.0652913787110085</v>
      </c>
      <c r="CC5" s="37">
        <f t="shared" ca="1" si="67"/>
        <v>9.2180239124484284</v>
      </c>
      <c r="CD5" s="37">
        <f t="shared" ref="CD5" ca="1" si="80">CB5</f>
        <v>4.0652913787110085</v>
      </c>
      <c r="CE5" s="37">
        <f t="shared" ca="1" si="68"/>
        <v>3.096425111842299</v>
      </c>
    </row>
    <row r="6" spans="1:83" x14ac:dyDescent="0.25">
      <c r="A6" t="str">
        <f>PLANTILLA!D20</f>
        <v>Emilio Rojas</v>
      </c>
      <c r="B6">
        <f>PLANTILLA!E20</f>
        <v>30</v>
      </c>
      <c r="C6" s="33">
        <f ca="1">PLANTILLA!F20</f>
        <v>55</v>
      </c>
      <c r="D6" s="226"/>
      <c r="E6" s="30">
        <f>PLANTILLA!M20</f>
        <v>43417</v>
      </c>
      <c r="F6" s="47">
        <f>PLANTILLA!Q20</f>
        <v>6</v>
      </c>
      <c r="G6" s="48">
        <f t="shared" ref="G6:G18" si="81">(F6/7)^0.5</f>
        <v>0.92582009977255142</v>
      </c>
      <c r="H6" s="48">
        <f t="shared" ref="H6:H18" si="82">IF(F6=7,1,((F6+0.99)/7)^0.5)</f>
        <v>0.99928545900129484</v>
      </c>
      <c r="I6" s="51">
        <f t="shared" ref="I6:I18" ca="1" si="83">IF(TODAY()-E6&gt;335,1,((TODAY()-E6)^0.5)/336^0.5)</f>
        <v>0.60257384451636975</v>
      </c>
      <c r="J6" s="39">
        <f>PLANTILLA!I20</f>
        <v>5.8</v>
      </c>
      <c r="K6" s="46">
        <f>PLANTILLA!X20</f>
        <v>0</v>
      </c>
      <c r="L6" s="46">
        <f>PLANTILLA!Y20</f>
        <v>5</v>
      </c>
      <c r="M6" s="46">
        <f>PLANTILLA!Z20</f>
        <v>2</v>
      </c>
      <c r="N6" s="46">
        <f>PLANTILLA!AA20</f>
        <v>6</v>
      </c>
      <c r="O6" s="46">
        <f>PLANTILLA!AB20</f>
        <v>9</v>
      </c>
      <c r="P6" s="46">
        <f>PLANTILLA!AC20</f>
        <v>9</v>
      </c>
      <c r="Q6" s="46">
        <f>PLANTILLA!AD20</f>
        <v>13</v>
      </c>
      <c r="R6" s="46">
        <f t="shared" ref="R6:R18" si="84">((2*(O6+1))+(L6+1))/8</f>
        <v>3.25</v>
      </c>
      <c r="S6" s="46">
        <f t="shared" ref="S6:S18" si="85">(0.5*P6+ 0.3*Q6)/10</f>
        <v>0.84000000000000008</v>
      </c>
      <c r="T6" s="46">
        <f t="shared" ref="T6:T18" si="86">(0.4*L6+0.3*Q6)/10</f>
        <v>0.59000000000000008</v>
      </c>
      <c r="U6" s="46">
        <f t="shared" ref="U6:U18" ca="1" si="87">(Q6+I6+(LOG(J6)*4/3))*(F6/7)^0.5</f>
        <v>13.535932248786439</v>
      </c>
      <c r="V6" s="46">
        <f t="shared" ref="V6:V18" ca="1" si="88">IF(F6=7,U6,(Q6+I6+(LOG(J6)*4/3))*((F6+0.99)/7)^0.5)</f>
        <v>14.610030905099183</v>
      </c>
      <c r="W6" s="37">
        <f t="shared" ref="W6:W18" ca="1" si="89">((K6+I6+(LOG(J6)*4/3))*0.597)+((L6+I6+(LOG(J6)*4/3))*0.276)</f>
        <v>2.7946771507700499</v>
      </c>
      <c r="X6" s="37">
        <f t="shared" ref="X6:X18" ca="1" si="90">((K6+I6+(LOG(J6)*4/3))*0.866)+((L6+I6+(LOG(J6)*4/3))*0.425)</f>
        <v>4.2170368861903018</v>
      </c>
      <c r="Y6" s="37">
        <f t="shared" ref="Y6:Y18" ca="1" si="91">W6</f>
        <v>2.7946771507700499</v>
      </c>
      <c r="Z6" s="37">
        <f t="shared" ca="1" si="19"/>
        <v>3.4161665633417471</v>
      </c>
      <c r="AA6" s="37">
        <f t="shared" ca="1" si="20"/>
        <v>6.6204778359336185</v>
      </c>
      <c r="AB6" s="37">
        <f t="shared" ref="AB6:AB18" ca="1" si="92">Z6/2</f>
        <v>1.7080832816708735</v>
      </c>
      <c r="AC6" s="37">
        <f t="shared" ca="1" si="21"/>
        <v>0.8616737249522014</v>
      </c>
      <c r="AD6" s="37">
        <f t="shared" ca="1" si="22"/>
        <v>2.5025406219829076</v>
      </c>
      <c r="AE6" s="37">
        <f t="shared" ca="1" si="23"/>
        <v>4.7866054753800062</v>
      </c>
      <c r="AF6" s="37">
        <f t="shared" ref="AF6:AF18" ca="1" si="93">AD6/2</f>
        <v>1.2512703109914538</v>
      </c>
      <c r="AG6" s="37">
        <f t="shared" ca="1" si="24"/>
        <v>1.3938839668344436</v>
      </c>
      <c r="AH6" s="37">
        <f t="shared" ca="1" si="25"/>
        <v>6.0908396090589294</v>
      </c>
      <c r="AI6" s="37">
        <f t="shared" ca="1" si="26"/>
        <v>2.7408778240765179</v>
      </c>
      <c r="AJ6" s="37">
        <f t="shared" ca="1" si="27"/>
        <v>0.60461979860091453</v>
      </c>
      <c r="AK6" s="37">
        <f t="shared" ca="1" si="28"/>
        <v>4.4808409675289678</v>
      </c>
      <c r="AL6" s="37">
        <f t="shared" ca="1" si="29"/>
        <v>4.9918402882939485</v>
      </c>
      <c r="AM6" s="37">
        <f t="shared" ca="1" si="30"/>
        <v>4.6872983078410018</v>
      </c>
      <c r="AN6" s="37">
        <f t="shared" ca="1" si="31"/>
        <v>2.4416197986009145</v>
      </c>
      <c r="AO6" s="37">
        <f t="shared" ca="1" si="32"/>
        <v>1.4026976167488823</v>
      </c>
      <c r="AP6" s="37">
        <f t="shared" ca="1" si="33"/>
        <v>1.7875290157020771</v>
      </c>
      <c r="AQ6" s="37">
        <f t="shared" ca="1" si="34"/>
        <v>3.932563834544569</v>
      </c>
      <c r="AR6" s="37">
        <f t="shared" ref="AR6:AR18" ca="1" si="94">AP6/2</f>
        <v>0.89376450785103856</v>
      </c>
      <c r="AS6" s="37">
        <f t="shared" ca="1" si="35"/>
        <v>3.4177310771213367</v>
      </c>
      <c r="AT6" s="37">
        <f t="shared" ca="1" si="36"/>
        <v>1.3806621186713703</v>
      </c>
      <c r="AU6" s="37">
        <f t="shared" ca="1" si="37"/>
        <v>3.1118000059285502</v>
      </c>
      <c r="AV6" s="37">
        <f t="shared" ref="AV6:AV18" ca="1" si="95">AT6/2</f>
        <v>0.69033105933568517</v>
      </c>
      <c r="AW6" s="37">
        <f t="shared" ca="1" si="38"/>
        <v>1.2512703109914538</v>
      </c>
      <c r="AX6" s="37">
        <f t="shared" ca="1" si="39"/>
        <v>2.6481911343734477</v>
      </c>
      <c r="AY6" s="37">
        <f t="shared" ref="AY6:AY18" ca="1" si="96">AW6/2</f>
        <v>0.6256351554957269</v>
      </c>
      <c r="AZ6" s="37">
        <f t="shared" ca="1" si="40"/>
        <v>3.6204778359336194</v>
      </c>
      <c r="BA6" s="37">
        <f t="shared" ca="1" si="41"/>
        <v>2.6869808924912055</v>
      </c>
      <c r="BB6" s="37">
        <f t="shared" ca="1" si="42"/>
        <v>5.8518832875994242</v>
      </c>
      <c r="BC6" s="37">
        <f t="shared" ref="BC6:BC18" ca="1" si="97">BA6/2</f>
        <v>1.3434904462456028</v>
      </c>
      <c r="BD6" s="37">
        <f t="shared" ca="1" si="43"/>
        <v>1.9265590502566829</v>
      </c>
      <c r="BE6" s="37">
        <f t="shared" ca="1" si="44"/>
        <v>2.3039262869048991</v>
      </c>
      <c r="BF6" s="37">
        <f t="shared" ca="1" si="45"/>
        <v>3.1896409734575188</v>
      </c>
      <c r="BG6" s="37">
        <f t="shared" ca="1" si="46"/>
        <v>7.7196047961449867</v>
      </c>
      <c r="BH6" s="37">
        <f t="shared" ca="1" si="47"/>
        <v>2.5595351584600019</v>
      </c>
      <c r="BI6" s="37">
        <f t="shared" ca="1" si="48"/>
        <v>3.2109317504278048</v>
      </c>
      <c r="BJ6" s="37">
        <f t="shared" ca="1" si="49"/>
        <v>1.7478061486864753</v>
      </c>
      <c r="BK6" s="37">
        <f t="shared" ca="1" si="50"/>
        <v>1.3794020554907089</v>
      </c>
      <c r="BL6" s="37">
        <f t="shared" ca="1" si="51"/>
        <v>7.2632976286059829</v>
      </c>
      <c r="BM6" s="37">
        <f t="shared" ca="1" si="52"/>
        <v>0.55226484746854809</v>
      </c>
      <c r="BN6" s="37">
        <f t="shared" ca="1" si="53"/>
        <v>1.1916860104680513</v>
      </c>
      <c r="BO6" s="37">
        <f t="shared" ca="1" si="54"/>
        <v>0.45019249284348611</v>
      </c>
      <c r="BP6" s="37">
        <f t="shared" ca="1" si="55"/>
        <v>1.1042457399597538</v>
      </c>
      <c r="BQ6" s="37">
        <f t="shared" ca="1" si="56"/>
        <v>10.657934497010633</v>
      </c>
      <c r="BR6" s="37">
        <f t="shared" ca="1" si="57"/>
        <v>1.4337645078510386</v>
      </c>
      <c r="BS6" s="37">
        <f t="shared" ca="1" si="58"/>
        <v>1.8802157054051474</v>
      </c>
      <c r="BT6" s="37">
        <f t="shared" ca="1" si="59"/>
        <v>1.6153965919678028</v>
      </c>
      <c r="BU6" s="37">
        <f t="shared" ca="1" si="60"/>
        <v>2.2845215144741138</v>
      </c>
      <c r="BV6" s="37">
        <f t="shared" ca="1" si="61"/>
        <v>7.3993276631605882</v>
      </c>
      <c r="BW6" s="37">
        <f t="shared" ca="1" si="62"/>
        <v>1.5718307197181756</v>
      </c>
      <c r="BX6" s="37">
        <f t="shared" ca="1" si="63"/>
        <v>1.4699140013890495</v>
      </c>
      <c r="BY6" s="37">
        <f t="shared" ca="1" si="64"/>
        <v>5.1012689525214157</v>
      </c>
      <c r="BZ6" s="37">
        <f t="shared" ca="1" si="65"/>
        <v>11.958658043261254</v>
      </c>
      <c r="CA6" s="37">
        <f t="shared" ref="CA6:CA18" ca="1" si="98">BY6</f>
        <v>5.1012689525214157</v>
      </c>
      <c r="CB6" s="37">
        <f t="shared" ca="1" si="66"/>
        <v>5.953557691786644</v>
      </c>
      <c r="CC6" s="37">
        <f t="shared" ca="1" si="67"/>
        <v>14.539434157393124</v>
      </c>
      <c r="CD6" s="37">
        <f t="shared" ref="CD6:CD18" ca="1" si="99">CB6</f>
        <v>5.953557691786644</v>
      </c>
      <c r="CE6" s="37">
        <f t="shared" ca="1" si="68"/>
        <v>0.90511945898340485</v>
      </c>
    </row>
    <row r="7" spans="1:83" x14ac:dyDescent="0.25">
      <c r="A7" t="str">
        <f>PLANTILLA!D19</f>
        <v>Miklós Gábriel</v>
      </c>
      <c r="B7">
        <f>PLANTILLA!E19</f>
        <v>30</v>
      </c>
      <c r="C7" s="33">
        <f ca="1">PLANTILLA!F19</f>
        <v>17</v>
      </c>
      <c r="D7" s="226"/>
      <c r="E7" s="30">
        <f>PLANTILLA!M19</f>
        <v>43420</v>
      </c>
      <c r="F7" s="47">
        <f>PLANTILLA!Q19</f>
        <v>6</v>
      </c>
      <c r="G7" s="48">
        <f t="shared" si="81"/>
        <v>0.92582009977255142</v>
      </c>
      <c r="H7" s="48">
        <f t="shared" si="82"/>
        <v>0.99928545900129484</v>
      </c>
      <c r="I7" s="51">
        <f t="shared" ca="1" si="83"/>
        <v>0.59511903571190417</v>
      </c>
      <c r="J7" s="39">
        <f>PLANTILLA!I19</f>
        <v>6.2</v>
      </c>
      <c r="K7" s="46">
        <f>PLANTILLA!X19</f>
        <v>0</v>
      </c>
      <c r="L7" s="46">
        <f>PLANTILLA!Y19</f>
        <v>4</v>
      </c>
      <c r="M7" s="46">
        <f>PLANTILLA!Z19</f>
        <v>2</v>
      </c>
      <c r="N7" s="46">
        <f>PLANTILLA!AA19</f>
        <v>4</v>
      </c>
      <c r="O7" s="46">
        <f>PLANTILLA!AB19</f>
        <v>7</v>
      </c>
      <c r="P7" s="46">
        <f>PLANTILLA!AC19</f>
        <v>10</v>
      </c>
      <c r="Q7" s="46">
        <f>PLANTILLA!AD19</f>
        <v>14</v>
      </c>
      <c r="R7" s="46">
        <f t="shared" si="84"/>
        <v>2.625</v>
      </c>
      <c r="S7" s="46">
        <f t="shared" si="85"/>
        <v>0.91999999999999993</v>
      </c>
      <c r="T7" s="46">
        <f t="shared" si="86"/>
        <v>0.58000000000000007</v>
      </c>
      <c r="U7" s="46">
        <f t="shared" ca="1" si="87"/>
        <v>14.49060409920868</v>
      </c>
      <c r="V7" s="46">
        <f t="shared" ca="1" si="88"/>
        <v>15.640457548978672</v>
      </c>
      <c r="W7" s="37">
        <f t="shared" ca="1" si="89"/>
        <v>2.5458828447524597</v>
      </c>
      <c r="X7" s="37">
        <f t="shared" ca="1" si="90"/>
        <v>3.8322689032937292</v>
      </c>
      <c r="Y7" s="37">
        <f t="shared" ca="1" si="91"/>
        <v>2.5458828447524597</v>
      </c>
      <c r="Z7" s="37">
        <f t="shared" ca="1" si="19"/>
        <v>2.9162469048021413</v>
      </c>
      <c r="AA7" s="37">
        <f t="shared" ca="1" si="20"/>
        <v>5.6516412883762426</v>
      </c>
      <c r="AB7" s="37">
        <f t="shared" ca="1" si="92"/>
        <v>1.4581234524010707</v>
      </c>
      <c r="AC7" s="37">
        <f t="shared" ca="1" si="21"/>
        <v>0.86909062663354575</v>
      </c>
      <c r="AD7" s="37">
        <f t="shared" ca="1" si="22"/>
        <v>2.1363204070062198</v>
      </c>
      <c r="AE7" s="37">
        <f t="shared" ca="1" si="23"/>
        <v>4.0861366514960231</v>
      </c>
      <c r="AF7" s="37">
        <f t="shared" ca="1" si="93"/>
        <v>1.0681602035031099</v>
      </c>
      <c r="AG7" s="37">
        <f t="shared" ca="1" si="24"/>
        <v>1.4058818960248534</v>
      </c>
      <c r="AH7" s="37">
        <f t="shared" ca="1" si="25"/>
        <v>5.1995099853061433</v>
      </c>
      <c r="AI7" s="37">
        <f t="shared" ca="1" si="26"/>
        <v>2.3397794933877645</v>
      </c>
      <c r="AJ7" s="37">
        <f t="shared" ca="1" si="27"/>
        <v>0.60982409515883251</v>
      </c>
      <c r="AK7" s="37">
        <f t="shared" ca="1" si="28"/>
        <v>3.3231650775652306</v>
      </c>
      <c r="AL7" s="37">
        <f t="shared" ca="1" si="29"/>
        <v>4.2613375314356867</v>
      </c>
      <c r="AM7" s="37">
        <f t="shared" ca="1" si="30"/>
        <v>4.0013620321703796</v>
      </c>
      <c r="AN7" s="37">
        <f t="shared" ca="1" si="31"/>
        <v>2.613824095158833</v>
      </c>
      <c r="AO7" s="37">
        <f t="shared" ca="1" si="32"/>
        <v>1.2316726910523577</v>
      </c>
      <c r="AP7" s="37">
        <f t="shared" ca="1" si="33"/>
        <v>1.5259431478615857</v>
      </c>
      <c r="AQ7" s="37">
        <f t="shared" ca="1" si="34"/>
        <v>3.3570749252954881</v>
      </c>
      <c r="AR7" s="37">
        <f t="shared" ca="1" si="94"/>
        <v>0.76297157393079285</v>
      </c>
      <c r="AS7" s="37">
        <f t="shared" ca="1" si="35"/>
        <v>3.447149376227173</v>
      </c>
      <c r="AT7" s="37">
        <f t="shared" ca="1" si="36"/>
        <v>1.1247133674889116</v>
      </c>
      <c r="AU7" s="37">
        <f t="shared" ca="1" si="37"/>
        <v>3.0539308974942392</v>
      </c>
      <c r="AV7" s="37">
        <f t="shared" ca="1" si="95"/>
        <v>0.5623566837444558</v>
      </c>
      <c r="AW7" s="37">
        <f t="shared" ca="1" si="38"/>
        <v>1.0681602035031099</v>
      </c>
      <c r="AX7" s="37">
        <f t="shared" ca="1" si="39"/>
        <v>2.2606565153504969</v>
      </c>
      <c r="AY7" s="37">
        <f t="shared" ca="1" si="96"/>
        <v>0.53408010175155496</v>
      </c>
      <c r="AZ7" s="37">
        <f t="shared" ca="1" si="40"/>
        <v>3.6516412883762426</v>
      </c>
      <c r="BA7" s="37">
        <f t="shared" ca="1" si="41"/>
        <v>2.1888652459591897</v>
      </c>
      <c r="BB7" s="37">
        <f t="shared" ca="1" si="42"/>
        <v>5.3970543498953099</v>
      </c>
      <c r="BC7" s="37">
        <f t="shared" ca="1" si="97"/>
        <v>1.0944326229795949</v>
      </c>
      <c r="BD7" s="37">
        <f t="shared" ca="1" si="43"/>
        <v>1.6446276149174865</v>
      </c>
      <c r="BE7" s="37">
        <f t="shared" ca="1" si="44"/>
        <v>1.9667711683549323</v>
      </c>
      <c r="BF7" s="37">
        <f t="shared" ca="1" si="45"/>
        <v>3.2170959750594696</v>
      </c>
      <c r="BG7" s="37">
        <f t="shared" ca="1" si="46"/>
        <v>5.96930910536648</v>
      </c>
      <c r="BH7" s="37">
        <f t="shared" ca="1" si="47"/>
        <v>2.0850455504986747</v>
      </c>
      <c r="BI7" s="37">
        <f t="shared" ca="1" si="48"/>
        <v>2.7410460248624777</v>
      </c>
      <c r="BJ7" s="37">
        <f t="shared" ca="1" si="49"/>
        <v>1.4920333001313282</v>
      </c>
      <c r="BK7" s="37">
        <f t="shared" ca="1" si="50"/>
        <v>1.3912753308713484</v>
      </c>
      <c r="BL7" s="37">
        <f t="shared" ca="1" si="51"/>
        <v>5.5425344860408368</v>
      </c>
      <c r="BM7" s="37">
        <f t="shared" ca="1" si="52"/>
        <v>0.44988534699556465</v>
      </c>
      <c r="BN7" s="37">
        <f t="shared" ca="1" si="53"/>
        <v>1.0172954319077236</v>
      </c>
      <c r="BO7" s="37">
        <f t="shared" ca="1" si="54"/>
        <v>0.38431160760958455</v>
      </c>
      <c r="BP7" s="37">
        <f t="shared" ca="1" si="55"/>
        <v>1.113750592954754</v>
      </c>
      <c r="BQ7" s="37">
        <f t="shared" ca="1" si="56"/>
        <v>8.1260106968518482</v>
      </c>
      <c r="BR7" s="37">
        <f t="shared" ca="1" si="57"/>
        <v>1.167971573930793</v>
      </c>
      <c r="BS7" s="37">
        <f t="shared" ca="1" si="58"/>
        <v>1.6050661258988528</v>
      </c>
      <c r="BT7" s="37">
        <f t="shared" ca="1" si="59"/>
        <v>1.3790004743638031</v>
      </c>
      <c r="BU7" s="37">
        <f t="shared" ca="1" si="60"/>
        <v>2.3041856529654092</v>
      </c>
      <c r="BV7" s="37">
        <f t="shared" ca="1" si="61"/>
        <v>5.6372189530967374</v>
      </c>
      <c r="BW7" s="37">
        <f t="shared" ca="1" si="62"/>
        <v>1.280442910679684</v>
      </c>
      <c r="BX7" s="37">
        <f t="shared" ca="1" si="63"/>
        <v>1.4825663630807546</v>
      </c>
      <c r="BY7" s="37">
        <f t="shared" ca="1" si="64"/>
        <v>4.4565051112440228</v>
      </c>
      <c r="BZ7" s="37">
        <f t="shared" ca="1" si="65"/>
        <v>11.490748090711651</v>
      </c>
      <c r="CA7" s="37">
        <f t="shared" ca="1" si="98"/>
        <v>4.4565051112440228</v>
      </c>
      <c r="CB7" s="37">
        <f t="shared" ca="1" si="66"/>
        <v>5.5069725226583994</v>
      </c>
      <c r="CC7" s="37">
        <f t="shared" ca="1" si="67"/>
        <v>14.844096923787077</v>
      </c>
      <c r="CD7" s="37">
        <f t="shared" ca="1" si="99"/>
        <v>5.5069725226583994</v>
      </c>
      <c r="CE7" s="37">
        <f t="shared" ca="1" si="68"/>
        <v>0.91291032209406064</v>
      </c>
    </row>
    <row r="8" spans="1:83" x14ac:dyDescent="0.25">
      <c r="A8" t="str">
        <f>PLANTILLA!D10</f>
        <v>Francesc Añigas</v>
      </c>
      <c r="B8">
        <f>PLANTILLA!E10</f>
        <v>21</v>
      </c>
      <c r="C8" s="33">
        <f ca="1">PLANTILLA!F10</f>
        <v>55</v>
      </c>
      <c r="D8" s="226" t="str">
        <f>PLANTILLA!G10</f>
        <v>IMP</v>
      </c>
      <c r="E8" s="30">
        <f>PLANTILLA!M10</f>
        <v>43137</v>
      </c>
      <c r="F8" s="47">
        <f>PLANTILLA!Q10</f>
        <v>6</v>
      </c>
      <c r="G8" s="48">
        <f t="shared" si="81"/>
        <v>0.92582009977255142</v>
      </c>
      <c r="H8" s="48">
        <f t="shared" si="82"/>
        <v>0.99928545900129484</v>
      </c>
      <c r="I8" s="51">
        <f t="shared" ca="1" si="83"/>
        <v>1</v>
      </c>
      <c r="J8" s="39">
        <f>PLANTILLA!I10</f>
        <v>3.5</v>
      </c>
      <c r="K8" s="46">
        <f>PLANTILLA!X10</f>
        <v>0</v>
      </c>
      <c r="L8" s="46">
        <f>PLANTILLA!Y10</f>
        <v>10</v>
      </c>
      <c r="M8" s="46">
        <f>PLANTILLA!Z10</f>
        <v>4</v>
      </c>
      <c r="N8" s="46">
        <f>PLANTILLA!AA10</f>
        <v>12.666666666666666</v>
      </c>
      <c r="O8" s="46">
        <f>PLANTILLA!AB10</f>
        <v>4.25</v>
      </c>
      <c r="P8" s="46">
        <f>PLANTILLA!AC10</f>
        <v>7</v>
      </c>
      <c r="Q8" s="46">
        <f>PLANTILLA!AD10</f>
        <v>3</v>
      </c>
      <c r="R8" s="46">
        <f t="shared" si="84"/>
        <v>2.6875</v>
      </c>
      <c r="S8" s="46">
        <f t="shared" si="85"/>
        <v>0.44000000000000006</v>
      </c>
      <c r="T8" s="46">
        <f t="shared" si="86"/>
        <v>0.49000000000000005</v>
      </c>
      <c r="U8" s="46">
        <f t="shared" ca="1" si="87"/>
        <v>4.3748925738947779</v>
      </c>
      <c r="V8" s="46">
        <f t="shared" ca="1" si="88"/>
        <v>4.7220475499071819</v>
      </c>
      <c r="W8" s="37">
        <f t="shared" ca="1" si="89"/>
        <v>4.2662952036237209</v>
      </c>
      <c r="X8" s="37">
        <f t="shared" ca="1" si="90"/>
        <v>6.4775224603416079</v>
      </c>
      <c r="Y8" s="37">
        <f t="shared" ca="1" si="91"/>
        <v>4.2662952036237209</v>
      </c>
      <c r="Z8" s="37">
        <f t="shared" ca="1" si="19"/>
        <v>6.0503188145129903</v>
      </c>
      <c r="AA8" s="37">
        <f t="shared" ca="1" si="20"/>
        <v>11.725424059133701</v>
      </c>
      <c r="AB8" s="37">
        <f t="shared" ca="1" si="92"/>
        <v>3.0251594072564951</v>
      </c>
      <c r="AC8" s="37">
        <f t="shared" ca="1" si="21"/>
        <v>1.3626509260738207</v>
      </c>
      <c r="AD8" s="37">
        <f t="shared" ca="1" si="22"/>
        <v>4.4322102943525392</v>
      </c>
      <c r="AE8" s="37">
        <f t="shared" ca="1" si="23"/>
        <v>8.4774815947536659</v>
      </c>
      <c r="AF8" s="37">
        <f t="shared" ca="1" si="93"/>
        <v>2.2161051471762696</v>
      </c>
      <c r="AG8" s="37">
        <f t="shared" ca="1" si="24"/>
        <v>2.2042882627664748</v>
      </c>
      <c r="AH8" s="37">
        <f t="shared" ca="1" si="25"/>
        <v>10.787390134403005</v>
      </c>
      <c r="AI8" s="37">
        <f t="shared" ca="1" si="26"/>
        <v>4.8543255604813522</v>
      </c>
      <c r="AJ8" s="37">
        <f t="shared" ca="1" si="27"/>
        <v>0.95614581787532815</v>
      </c>
      <c r="AK8" s="37">
        <f t="shared" ca="1" si="28"/>
        <v>8.462549346770615</v>
      </c>
      <c r="AL8" s="37">
        <f t="shared" ca="1" si="29"/>
        <v>8.8409697405868108</v>
      </c>
      <c r="AM8" s="37">
        <f t="shared" ca="1" si="30"/>
        <v>8.3016002338666599</v>
      </c>
      <c r="AN8" s="37">
        <f t="shared" ca="1" si="31"/>
        <v>0.78914581787532811</v>
      </c>
      <c r="AO8" s="37">
        <f t="shared" ca="1" si="32"/>
        <v>1.2709221290305057</v>
      </c>
      <c r="AP8" s="37">
        <f t="shared" ca="1" si="33"/>
        <v>3.1658644959660993</v>
      </c>
      <c r="AQ8" s="37">
        <f t="shared" ca="1" si="34"/>
        <v>6.9649018911254181</v>
      </c>
      <c r="AR8" s="37">
        <f t="shared" ca="1" si="94"/>
        <v>1.5829322479830497</v>
      </c>
      <c r="AS8" s="37">
        <f t="shared" ca="1" si="35"/>
        <v>5.4048003118222132</v>
      </c>
      <c r="AT8" s="37">
        <f t="shared" ca="1" si="36"/>
        <v>0.77680512768738119</v>
      </c>
      <c r="AU8" s="37">
        <f t="shared" ca="1" si="37"/>
        <v>2.2265492493261743</v>
      </c>
      <c r="AV8" s="37">
        <f t="shared" ca="1" si="95"/>
        <v>0.3884025638436906</v>
      </c>
      <c r="AW8" s="37">
        <f t="shared" ca="1" si="38"/>
        <v>2.2161051471762696</v>
      </c>
      <c r="AX8" s="37">
        <f t="shared" ca="1" si="39"/>
        <v>4.6901696236534809</v>
      </c>
      <c r="AY8" s="37">
        <f t="shared" ca="1" si="96"/>
        <v>1.1080525735881348</v>
      </c>
      <c r="AZ8" s="37">
        <f t="shared" ca="1" si="40"/>
        <v>5.7254240591337009</v>
      </c>
      <c r="BA8" s="37">
        <f t="shared" ca="1" si="41"/>
        <v>1.5117822869608264</v>
      </c>
      <c r="BB8" s="37">
        <f t="shared" ca="1" si="42"/>
        <v>3.8699586565826691</v>
      </c>
      <c r="BC8" s="37">
        <f t="shared" ca="1" si="97"/>
        <v>0.7558911434804132</v>
      </c>
      <c r="BD8" s="37">
        <f t="shared" ca="1" si="43"/>
        <v>3.4120984012079068</v>
      </c>
      <c r="BE8" s="37">
        <f t="shared" ca="1" si="44"/>
        <v>4.0804475725785272</v>
      </c>
      <c r="BF8" s="37">
        <f t="shared" ca="1" si="45"/>
        <v>5.0440985960967906</v>
      </c>
      <c r="BG8" s="37">
        <f t="shared" ca="1" si="46"/>
        <v>10.143318655236525</v>
      </c>
      <c r="BH8" s="37">
        <f t="shared" ca="1" si="47"/>
        <v>1.4400771982512219</v>
      </c>
      <c r="BI8" s="37">
        <f t="shared" ca="1" si="48"/>
        <v>5.6868306686798444</v>
      </c>
      <c r="BJ8" s="37">
        <f t="shared" ca="1" si="49"/>
        <v>3.095511951611297</v>
      </c>
      <c r="BK8" s="37">
        <f t="shared" ca="1" si="50"/>
        <v>2.1813865665299401</v>
      </c>
      <c r="BL8" s="37">
        <f t="shared" ca="1" si="51"/>
        <v>10.886937294349522</v>
      </c>
      <c r="BM8" s="37">
        <f t="shared" ca="1" si="52"/>
        <v>0.31072205107495243</v>
      </c>
      <c r="BN8" s="37">
        <f t="shared" ca="1" si="53"/>
        <v>2.1105763306440659</v>
      </c>
      <c r="BO8" s="37">
        <f t="shared" ca="1" si="54"/>
        <v>0.79732883602109172</v>
      </c>
      <c r="BP8" s="37">
        <f t="shared" ca="1" si="55"/>
        <v>1.7462543380357787</v>
      </c>
      <c r="BQ8" s="37">
        <f t="shared" ca="1" si="56"/>
        <v>16.101062006712606</v>
      </c>
      <c r="BR8" s="37">
        <f t="shared" ca="1" si="57"/>
        <v>0.80668224798304966</v>
      </c>
      <c r="BS8" s="37">
        <f t="shared" ca="1" si="58"/>
        <v>3.3300204327939706</v>
      </c>
      <c r="BT8" s="37">
        <f t="shared" ca="1" si="59"/>
        <v>2.8610034704286229</v>
      </c>
      <c r="BU8" s="37">
        <f t="shared" ca="1" si="60"/>
        <v>3.6127425813133653</v>
      </c>
      <c r="BV8" s="37">
        <f t="shared" ca="1" si="61"/>
        <v>11.256504532924662</v>
      </c>
      <c r="BW8" s="37">
        <f t="shared" ca="1" si="62"/>
        <v>0.88436276075178766</v>
      </c>
      <c r="BX8" s="37">
        <f t="shared" ca="1" si="63"/>
        <v>2.3245221680082828</v>
      </c>
      <c r="BY8" s="37">
        <f t="shared" ca="1" si="64"/>
        <v>4.6744459348086576</v>
      </c>
      <c r="BZ8" s="37">
        <f t="shared" ca="1" si="65"/>
        <v>8.3315774905845466</v>
      </c>
      <c r="CA8" s="37">
        <f t="shared" ca="1" si="98"/>
        <v>4.6744459348086576</v>
      </c>
      <c r="CB8" s="37">
        <f t="shared" ca="1" si="66"/>
        <v>6.2977725221736298</v>
      </c>
      <c r="CC8" s="37">
        <f t="shared" ca="1" si="67"/>
        <v>10.930355536954036</v>
      </c>
      <c r="CD8" s="37">
        <f t="shared" ca="1" si="99"/>
        <v>6.2977725221736298</v>
      </c>
      <c r="CE8" s="37">
        <f t="shared" ca="1" si="68"/>
        <v>1.4313560147834252</v>
      </c>
    </row>
    <row r="9" spans="1:83" x14ac:dyDescent="0.25">
      <c r="A9" t="str">
        <f>PLANTILLA!D11</f>
        <v>Will Duffill</v>
      </c>
      <c r="B9">
        <f>PLANTILLA!E11</f>
        <v>21</v>
      </c>
      <c r="C9" s="33">
        <f ca="1">PLANTILLA!F11</f>
        <v>16</v>
      </c>
      <c r="D9" s="226" t="str">
        <f>PLANTILLA!G11</f>
        <v>RAP</v>
      </c>
      <c r="E9" s="30">
        <f>PLANTILLA!M11</f>
        <v>43122</v>
      </c>
      <c r="F9" s="47">
        <f>PLANTILLA!Q11</f>
        <v>5</v>
      </c>
      <c r="G9" s="48">
        <f t="shared" si="81"/>
        <v>0.84515425472851657</v>
      </c>
      <c r="H9" s="48">
        <f t="shared" si="82"/>
        <v>0.92504826128926143</v>
      </c>
      <c r="I9" s="51">
        <f t="shared" ca="1" si="83"/>
        <v>1</v>
      </c>
      <c r="J9" s="39">
        <f>PLANTILLA!I11</f>
        <v>3.7</v>
      </c>
      <c r="K9" s="46">
        <f>PLANTILLA!X11</f>
        <v>0</v>
      </c>
      <c r="L9" s="46">
        <f>PLANTILLA!Y11</f>
        <v>9</v>
      </c>
      <c r="M9" s="46">
        <f>PLANTILLA!Z11</f>
        <v>3</v>
      </c>
      <c r="N9" s="46">
        <f>PLANTILLA!AA11</f>
        <v>13</v>
      </c>
      <c r="O9" s="46">
        <f>PLANTILLA!AB11</f>
        <v>7</v>
      </c>
      <c r="P9" s="46">
        <f>PLANTILLA!AC11</f>
        <v>7</v>
      </c>
      <c r="Q9" s="46">
        <f>PLANTILLA!AD11</f>
        <v>3</v>
      </c>
      <c r="R9" s="46">
        <f t="shared" si="84"/>
        <v>3.25</v>
      </c>
      <c r="S9" s="46">
        <f t="shared" si="85"/>
        <v>0.44000000000000006</v>
      </c>
      <c r="T9" s="46">
        <f t="shared" si="86"/>
        <v>0.45</v>
      </c>
      <c r="U9" s="46">
        <f t="shared" ca="1" si="87"/>
        <v>4.0209078250997994</v>
      </c>
      <c r="V9" s="46">
        <f t="shared" ca="1" si="88"/>
        <v>4.4010117343700248</v>
      </c>
      <c r="W9" s="37">
        <f t="shared" ca="1" si="89"/>
        <v>4.0183868068139823</v>
      </c>
      <c r="X9" s="37">
        <f t="shared" ca="1" si="90"/>
        <v>6.0940645676939873</v>
      </c>
      <c r="Y9" s="37">
        <f t="shared" ca="1" si="91"/>
        <v>4.0183868068139823</v>
      </c>
      <c r="Z9" s="37">
        <f t="shared" ca="1" si="19"/>
        <v>5.5509227861580923</v>
      </c>
      <c r="AA9" s="37">
        <f t="shared" ca="1" si="20"/>
        <v>10.757602298755993</v>
      </c>
      <c r="AB9" s="37">
        <f t="shared" ca="1" si="92"/>
        <v>2.7754613930790462</v>
      </c>
      <c r="AC9" s="37">
        <f t="shared" ca="1" si="21"/>
        <v>1.1323093471039265</v>
      </c>
      <c r="AD9" s="37">
        <f t="shared" ca="1" si="22"/>
        <v>4.0663736689297654</v>
      </c>
      <c r="AE9" s="37">
        <f t="shared" ca="1" si="23"/>
        <v>7.7777464620005823</v>
      </c>
      <c r="AF9" s="37">
        <f t="shared" ca="1" si="93"/>
        <v>2.0331868344648827</v>
      </c>
      <c r="AG9" s="37">
        <f t="shared" ca="1" si="24"/>
        <v>1.8316768850210576</v>
      </c>
      <c r="AH9" s="37">
        <f t="shared" ca="1" si="25"/>
        <v>9.8969941148555129</v>
      </c>
      <c r="AI9" s="37">
        <f t="shared" ca="1" si="26"/>
        <v>4.4536473516849808</v>
      </c>
      <c r="AJ9" s="37">
        <f t="shared" ca="1" si="27"/>
        <v>0.79451958389225097</v>
      </c>
      <c r="AK9" s="37">
        <f t="shared" ca="1" si="28"/>
        <v>8.6774701516685226</v>
      </c>
      <c r="AL9" s="37">
        <f t="shared" ca="1" si="29"/>
        <v>8.1112321332620194</v>
      </c>
      <c r="AM9" s="37">
        <f t="shared" ca="1" si="30"/>
        <v>7.6163824275192429</v>
      </c>
      <c r="AN9" s="37">
        <f t="shared" ca="1" si="31"/>
        <v>0.79451958389225097</v>
      </c>
      <c r="AO9" s="37">
        <f t="shared" ca="1" si="32"/>
        <v>1.4421894620417262</v>
      </c>
      <c r="AP9" s="37">
        <f t="shared" ca="1" si="33"/>
        <v>2.9045526206641181</v>
      </c>
      <c r="AQ9" s="37">
        <f t="shared" ca="1" si="34"/>
        <v>6.390015765461059</v>
      </c>
      <c r="AR9" s="37">
        <f t="shared" ca="1" si="94"/>
        <v>1.4522763103320591</v>
      </c>
      <c r="AS9" s="37">
        <f t="shared" ca="1" si="35"/>
        <v>4.4911765700256581</v>
      </c>
      <c r="AT9" s="37">
        <f t="shared" ca="1" si="36"/>
        <v>1.1384882988382792</v>
      </c>
      <c r="AU9" s="37">
        <f t="shared" ca="1" si="37"/>
        <v>2.5659774735355056</v>
      </c>
      <c r="AV9" s="37">
        <f t="shared" ca="1" si="95"/>
        <v>0.56924414941913959</v>
      </c>
      <c r="AW9" s="37">
        <f t="shared" ca="1" si="38"/>
        <v>2.0331868344648827</v>
      </c>
      <c r="AX9" s="37">
        <f t="shared" ca="1" si="39"/>
        <v>4.3030409195023971</v>
      </c>
      <c r="AY9" s="37">
        <f t="shared" ca="1" si="96"/>
        <v>1.0165934172324413</v>
      </c>
      <c r="AZ9" s="37">
        <f t="shared" ca="1" si="40"/>
        <v>4.7576022987559936</v>
      </c>
      <c r="BA9" s="37">
        <f t="shared" ca="1" si="41"/>
        <v>2.2156733815852663</v>
      </c>
      <c r="BB9" s="37">
        <f t="shared" ca="1" si="42"/>
        <v>4.8254388666145527</v>
      </c>
      <c r="BC9" s="37">
        <f t="shared" ca="1" si="97"/>
        <v>1.1078366907926331</v>
      </c>
      <c r="BD9" s="37">
        <f t="shared" ca="1" si="43"/>
        <v>3.1304622689379937</v>
      </c>
      <c r="BE9" s="37">
        <f t="shared" ca="1" si="44"/>
        <v>3.7436455999670852</v>
      </c>
      <c r="BF9" s="37">
        <f t="shared" ca="1" si="45"/>
        <v>4.19144762520403</v>
      </c>
      <c r="BG9" s="37">
        <f t="shared" ca="1" si="46"/>
        <v>11.229508443594076</v>
      </c>
      <c r="BH9" s="37">
        <f t="shared" ca="1" si="47"/>
        <v>2.1105821540001943</v>
      </c>
      <c r="BI9" s="37">
        <f t="shared" ca="1" si="48"/>
        <v>5.2174371148966561</v>
      </c>
      <c r="BJ9" s="37">
        <f t="shared" ca="1" si="49"/>
        <v>2.8400070068715824</v>
      </c>
      <c r="BK9" s="37">
        <f t="shared" ca="1" si="50"/>
        <v>1.8126464758260337</v>
      </c>
      <c r="BL9" s="37">
        <f t="shared" ca="1" si="51"/>
        <v>11.692144409112737</v>
      </c>
      <c r="BM9" s="37">
        <f t="shared" ca="1" si="52"/>
        <v>0.45539531953531159</v>
      </c>
      <c r="BN9" s="37">
        <f t="shared" ca="1" si="53"/>
        <v>1.9363684137760786</v>
      </c>
      <c r="BO9" s="37">
        <f t="shared" ca="1" si="54"/>
        <v>0.73151695631540758</v>
      </c>
      <c r="BP9" s="37">
        <f t="shared" ca="1" si="55"/>
        <v>1.4510687011205781</v>
      </c>
      <c r="BQ9" s="37">
        <f t="shared" ca="1" si="56"/>
        <v>17.262276556200206</v>
      </c>
      <c r="BR9" s="37">
        <f t="shared" ca="1" si="57"/>
        <v>1.182276310332059</v>
      </c>
      <c r="BS9" s="37">
        <f t="shared" ca="1" si="58"/>
        <v>3.0551590528467019</v>
      </c>
      <c r="BT9" s="37">
        <f t="shared" ca="1" si="59"/>
        <v>2.624854960896462</v>
      </c>
      <c r="BU9" s="37">
        <f t="shared" ca="1" si="60"/>
        <v>3.0020470505150318</v>
      </c>
      <c r="BV9" s="37">
        <f t="shared" ca="1" si="61"/>
        <v>12.050054057386614</v>
      </c>
      <c r="BW9" s="37">
        <f t="shared" ca="1" si="62"/>
        <v>1.2961251402158869</v>
      </c>
      <c r="BX9" s="37">
        <f t="shared" ca="1" si="63"/>
        <v>1.9315865332949336</v>
      </c>
      <c r="BY9" s="37">
        <f t="shared" ca="1" si="64"/>
        <v>5.4267107976518716</v>
      </c>
      <c r="BZ9" s="37">
        <f t="shared" ca="1" si="65"/>
        <v>9.8610601883992484</v>
      </c>
      <c r="CA9" s="37">
        <f t="shared" ca="1" si="98"/>
        <v>5.4267107976518716</v>
      </c>
      <c r="CB9" s="37">
        <f t="shared" ca="1" si="66"/>
        <v>6.7819862321249831</v>
      </c>
      <c r="CC9" s="37">
        <f t="shared" ca="1" si="67"/>
        <v>11.989157546996953</v>
      </c>
      <c r="CD9" s="37">
        <f t="shared" ca="1" si="99"/>
        <v>6.7819862321249831</v>
      </c>
      <c r="CE9" s="37">
        <f t="shared" ca="1" si="68"/>
        <v>1.1894005746889984</v>
      </c>
    </row>
    <row r="10" spans="1:83" x14ac:dyDescent="0.25">
      <c r="A10" t="str">
        <f>PLANTILLA!D12</f>
        <v>Valeri Gomis</v>
      </c>
      <c r="B10">
        <f>PLANTILLA!E12</f>
        <v>21</v>
      </c>
      <c r="C10" s="33">
        <f ca="1">PLANTILLA!F12</f>
        <v>55</v>
      </c>
      <c r="D10" s="226" t="str">
        <f>PLANTILLA!G12</f>
        <v>IMP</v>
      </c>
      <c r="E10" s="30">
        <f>PLANTILLA!M12</f>
        <v>43051</v>
      </c>
      <c r="F10" s="47">
        <f>PLANTILLA!Q12</f>
        <v>6</v>
      </c>
      <c r="G10" s="48">
        <f t="shared" si="81"/>
        <v>0.92582009977255142</v>
      </c>
      <c r="H10" s="48">
        <f t="shared" si="82"/>
        <v>0.99928545900129484</v>
      </c>
      <c r="I10" s="51">
        <f t="shared" ca="1" si="83"/>
        <v>1</v>
      </c>
      <c r="J10" s="39">
        <f>PLANTILLA!I12</f>
        <v>3.7</v>
      </c>
      <c r="K10" s="46">
        <f>PLANTILLA!X12</f>
        <v>0</v>
      </c>
      <c r="L10" s="46">
        <f>PLANTILLA!Y12</f>
        <v>8.4</v>
      </c>
      <c r="M10" s="46">
        <f>PLANTILLA!Z12</f>
        <v>3</v>
      </c>
      <c r="N10" s="46">
        <f>PLANTILLA!AA12</f>
        <v>12</v>
      </c>
      <c r="O10" s="46">
        <f>PLANTILLA!AB12</f>
        <v>6.0000000000000009</v>
      </c>
      <c r="P10" s="46">
        <f>PLANTILLA!AC12</f>
        <v>7.25</v>
      </c>
      <c r="Q10" s="46">
        <f>PLANTILLA!AD12</f>
        <v>3</v>
      </c>
      <c r="R10" s="46">
        <f t="shared" si="84"/>
        <v>2.9250000000000003</v>
      </c>
      <c r="S10" s="46">
        <f t="shared" si="85"/>
        <v>0.45250000000000001</v>
      </c>
      <c r="T10" s="46">
        <f t="shared" si="86"/>
        <v>0.42599999999999999</v>
      </c>
      <c r="U10" s="46">
        <f t="shared" ca="1" si="87"/>
        <v>4.4046838349123938</v>
      </c>
      <c r="V10" s="46">
        <f t="shared" ca="1" si="88"/>
        <v>4.7542027968579985</v>
      </c>
      <c r="W10" s="37">
        <f t="shared" ca="1" si="89"/>
        <v>3.8527868068139823</v>
      </c>
      <c r="X10" s="37">
        <f t="shared" ca="1" si="90"/>
        <v>5.8390645676939865</v>
      </c>
      <c r="Y10" s="37">
        <f t="shared" ca="1" si="91"/>
        <v>3.8527868068139823</v>
      </c>
      <c r="Z10" s="37">
        <f t="shared" ca="1" si="19"/>
        <v>5.2413227861580927</v>
      </c>
      <c r="AA10" s="37">
        <f t="shared" ca="1" si="20"/>
        <v>10.157602298755993</v>
      </c>
      <c r="AB10" s="37">
        <f t="shared" ca="1" si="92"/>
        <v>2.6206613930790463</v>
      </c>
      <c r="AC10" s="37">
        <f t="shared" ca="1" si="21"/>
        <v>1.1323093471039265</v>
      </c>
      <c r="AD10" s="37">
        <f t="shared" ca="1" si="22"/>
        <v>3.8395736689297655</v>
      </c>
      <c r="AE10" s="37">
        <f t="shared" ca="1" si="23"/>
        <v>7.3439464620005825</v>
      </c>
      <c r="AF10" s="37">
        <f t="shared" ca="1" si="93"/>
        <v>1.9197868344648827</v>
      </c>
      <c r="AG10" s="37">
        <f t="shared" ca="1" si="24"/>
        <v>1.8316768850210576</v>
      </c>
      <c r="AH10" s="37">
        <f t="shared" ca="1" si="25"/>
        <v>9.3449941148555133</v>
      </c>
      <c r="AI10" s="37">
        <f t="shared" ca="1" si="26"/>
        <v>4.2052473516849807</v>
      </c>
      <c r="AJ10" s="37">
        <f t="shared" ca="1" si="27"/>
        <v>0.79451958389225097</v>
      </c>
      <c r="AK10" s="37">
        <f t="shared" ca="1" si="28"/>
        <v>8.0894701516685235</v>
      </c>
      <c r="AL10" s="37">
        <f t="shared" ca="1" si="29"/>
        <v>7.6588321332620186</v>
      </c>
      <c r="AM10" s="37">
        <f t="shared" ca="1" si="30"/>
        <v>7.1915824275192426</v>
      </c>
      <c r="AN10" s="37">
        <f t="shared" ca="1" si="31"/>
        <v>0.79451958389225097</v>
      </c>
      <c r="AO10" s="37">
        <f t="shared" ca="1" si="32"/>
        <v>1.348589462041726</v>
      </c>
      <c r="AP10" s="37">
        <f t="shared" ca="1" si="33"/>
        <v>2.7425526206641182</v>
      </c>
      <c r="AQ10" s="37">
        <f t="shared" ca="1" si="34"/>
        <v>6.03361576546106</v>
      </c>
      <c r="AR10" s="37">
        <f t="shared" ca="1" si="94"/>
        <v>1.3712763103320591</v>
      </c>
      <c r="AS10" s="37">
        <f t="shared" ca="1" si="35"/>
        <v>4.4911765700256581</v>
      </c>
      <c r="AT10" s="37">
        <f t="shared" ca="1" si="36"/>
        <v>1.0084882988382793</v>
      </c>
      <c r="AU10" s="37">
        <f t="shared" ca="1" si="37"/>
        <v>2.489227473535506</v>
      </c>
      <c r="AV10" s="37">
        <f t="shared" ca="1" si="95"/>
        <v>0.50424414941913964</v>
      </c>
      <c r="AW10" s="37">
        <f t="shared" ca="1" si="38"/>
        <v>1.9197868344648827</v>
      </c>
      <c r="AX10" s="37">
        <f t="shared" ca="1" si="39"/>
        <v>4.0630409195023978</v>
      </c>
      <c r="AY10" s="37">
        <f t="shared" ca="1" si="96"/>
        <v>0.95989341723244137</v>
      </c>
      <c r="AZ10" s="37">
        <f t="shared" ca="1" si="40"/>
        <v>4.7576022987559936</v>
      </c>
      <c r="BA10" s="37">
        <f t="shared" ca="1" si="41"/>
        <v>1.9626733815852666</v>
      </c>
      <c r="BB10" s="37">
        <f t="shared" ca="1" si="42"/>
        <v>4.5369388666145527</v>
      </c>
      <c r="BC10" s="37">
        <f t="shared" ca="1" si="97"/>
        <v>0.9813366907926333</v>
      </c>
      <c r="BD10" s="37">
        <f t="shared" ca="1" si="43"/>
        <v>2.9558622689379939</v>
      </c>
      <c r="BE10" s="37">
        <f t="shared" ca="1" si="44"/>
        <v>3.5348455999670851</v>
      </c>
      <c r="BF10" s="37">
        <f t="shared" ca="1" si="45"/>
        <v>4.19144762520403</v>
      </c>
      <c r="BG10" s="37">
        <f t="shared" ca="1" si="46"/>
        <v>10.340508443594077</v>
      </c>
      <c r="BH10" s="37">
        <f t="shared" ca="1" si="47"/>
        <v>1.8695821540001947</v>
      </c>
      <c r="BI10" s="37">
        <f t="shared" ca="1" si="48"/>
        <v>4.9264371148966566</v>
      </c>
      <c r="BJ10" s="37">
        <f t="shared" ca="1" si="49"/>
        <v>2.6816070068715825</v>
      </c>
      <c r="BK10" s="37">
        <f t="shared" ca="1" si="50"/>
        <v>1.8126464758260337</v>
      </c>
      <c r="BL10" s="37">
        <f t="shared" ca="1" si="51"/>
        <v>10.818144409112739</v>
      </c>
      <c r="BM10" s="37">
        <f t="shared" ca="1" si="52"/>
        <v>0.40339531953531171</v>
      </c>
      <c r="BN10" s="37">
        <f t="shared" ca="1" si="53"/>
        <v>1.8283684137760787</v>
      </c>
      <c r="BO10" s="37">
        <f t="shared" ca="1" si="54"/>
        <v>0.69071695631540753</v>
      </c>
      <c r="BP10" s="37">
        <f t="shared" ca="1" si="55"/>
        <v>1.4510687011205781</v>
      </c>
      <c r="BQ10" s="37">
        <f t="shared" ca="1" si="56"/>
        <v>15.976276556200208</v>
      </c>
      <c r="BR10" s="37">
        <f t="shared" ca="1" si="57"/>
        <v>1.0472763103320593</v>
      </c>
      <c r="BS10" s="37">
        <f t="shared" ca="1" si="58"/>
        <v>2.884759052846702</v>
      </c>
      <c r="BT10" s="37">
        <f t="shared" ca="1" si="59"/>
        <v>2.4784549608964621</v>
      </c>
      <c r="BU10" s="37">
        <f t="shared" ca="1" si="60"/>
        <v>3.0020470505150318</v>
      </c>
      <c r="BV10" s="37">
        <f t="shared" ca="1" si="61"/>
        <v>11.155054057386614</v>
      </c>
      <c r="BW10" s="37">
        <f t="shared" ca="1" si="62"/>
        <v>1.1481251402158872</v>
      </c>
      <c r="BX10" s="37">
        <f t="shared" ca="1" si="63"/>
        <v>1.9315865332949336</v>
      </c>
      <c r="BY10" s="37">
        <f t="shared" ca="1" si="64"/>
        <v>5.064460797651873</v>
      </c>
      <c r="BZ10" s="37">
        <f t="shared" ca="1" si="65"/>
        <v>9.4638101883992487</v>
      </c>
      <c r="CA10" s="37">
        <f t="shared" ca="1" si="98"/>
        <v>5.064460797651873</v>
      </c>
      <c r="CB10" s="37">
        <f t="shared" ca="1" si="66"/>
        <v>6.4839862321249839</v>
      </c>
      <c r="CC10" s="37">
        <f t="shared" ca="1" si="67"/>
        <v>11.870157546996955</v>
      </c>
      <c r="CD10" s="37">
        <f t="shared" ca="1" si="99"/>
        <v>6.4839862321249839</v>
      </c>
      <c r="CE10" s="37">
        <f t="shared" ca="1" si="68"/>
        <v>1.1894005746889984</v>
      </c>
    </row>
    <row r="11" spans="1:83" x14ac:dyDescent="0.25">
      <c r="A11" t="e">
        <f>PLANTILLA!#REF!</f>
        <v>#REF!</v>
      </c>
      <c r="B11" t="e">
        <f>PLANTILLA!#REF!</f>
        <v>#REF!</v>
      </c>
      <c r="C11" s="33" t="e">
        <f>PLANTILLA!#REF!</f>
        <v>#REF!</v>
      </c>
      <c r="D11" s="226" t="e">
        <f>PLANTILLA!#REF!</f>
        <v>#REF!</v>
      </c>
      <c r="E11" s="30" t="e">
        <f>PLANTILLA!#REF!</f>
        <v>#REF!</v>
      </c>
      <c r="F11" s="47" t="e">
        <f>PLANTILLA!#REF!</f>
        <v>#REF!</v>
      </c>
      <c r="G11" s="48" t="e">
        <f t="shared" si="81"/>
        <v>#REF!</v>
      </c>
      <c r="H11" s="48" t="e">
        <f t="shared" si="82"/>
        <v>#REF!</v>
      </c>
      <c r="I11" s="51" t="e">
        <f t="shared" ca="1" si="83"/>
        <v>#REF!</v>
      </c>
      <c r="J11" s="39" t="e">
        <f>PLANTILLA!#REF!</f>
        <v>#REF!</v>
      </c>
      <c r="K11" s="46" t="e">
        <f>PLANTILLA!#REF!</f>
        <v>#REF!</v>
      </c>
      <c r="L11" s="46" t="e">
        <f>PLANTILLA!#REF!</f>
        <v>#REF!</v>
      </c>
      <c r="M11" s="46" t="e">
        <f>PLANTILLA!#REF!</f>
        <v>#REF!</v>
      </c>
      <c r="N11" s="46" t="e">
        <f>PLANTILLA!#REF!</f>
        <v>#REF!</v>
      </c>
      <c r="O11" s="46" t="e">
        <f>PLANTILLA!#REF!</f>
        <v>#REF!</v>
      </c>
      <c r="P11" s="46" t="e">
        <f>PLANTILLA!#REF!</f>
        <v>#REF!</v>
      </c>
      <c r="Q11" s="46" t="e">
        <f>PLANTILLA!#REF!</f>
        <v>#REF!</v>
      </c>
      <c r="R11" s="46" t="e">
        <f t="shared" si="84"/>
        <v>#REF!</v>
      </c>
      <c r="S11" s="46" t="e">
        <f t="shared" si="85"/>
        <v>#REF!</v>
      </c>
      <c r="T11" s="46" t="e">
        <f t="shared" si="86"/>
        <v>#REF!</v>
      </c>
      <c r="U11" s="46" t="e">
        <f t="shared" ca="1" si="87"/>
        <v>#REF!</v>
      </c>
      <c r="V11" s="46" t="e">
        <f t="shared" si="88"/>
        <v>#REF!</v>
      </c>
      <c r="W11" s="37" t="e">
        <f t="shared" ca="1" si="89"/>
        <v>#REF!</v>
      </c>
      <c r="X11" s="37" t="e">
        <f t="shared" ca="1" si="90"/>
        <v>#REF!</v>
      </c>
      <c r="Y11" s="37" t="e">
        <f t="shared" ca="1" si="91"/>
        <v>#REF!</v>
      </c>
      <c r="Z11" s="37" t="e">
        <f t="shared" ca="1" si="19"/>
        <v>#REF!</v>
      </c>
      <c r="AA11" s="37" t="e">
        <f t="shared" ca="1" si="20"/>
        <v>#REF!</v>
      </c>
      <c r="AB11" s="37" t="e">
        <f t="shared" ca="1" si="92"/>
        <v>#REF!</v>
      </c>
      <c r="AC11" s="37" t="e">
        <f t="shared" ca="1" si="21"/>
        <v>#REF!</v>
      </c>
      <c r="AD11" s="37" t="e">
        <f t="shared" ca="1" si="22"/>
        <v>#REF!</v>
      </c>
      <c r="AE11" s="37" t="e">
        <f t="shared" ca="1" si="23"/>
        <v>#REF!</v>
      </c>
      <c r="AF11" s="37" t="e">
        <f t="shared" ca="1" si="93"/>
        <v>#REF!</v>
      </c>
      <c r="AG11" s="37" t="e">
        <f t="shared" ca="1" si="24"/>
        <v>#REF!</v>
      </c>
      <c r="AH11" s="37" t="e">
        <f t="shared" ca="1" si="25"/>
        <v>#REF!</v>
      </c>
      <c r="AI11" s="37" t="e">
        <f t="shared" ca="1" si="26"/>
        <v>#REF!</v>
      </c>
      <c r="AJ11" s="37" t="e">
        <f t="shared" ca="1" si="27"/>
        <v>#REF!</v>
      </c>
      <c r="AK11" s="37" t="e">
        <f t="shared" ca="1" si="28"/>
        <v>#REF!</v>
      </c>
      <c r="AL11" s="37" t="e">
        <f t="shared" ca="1" si="29"/>
        <v>#REF!</v>
      </c>
      <c r="AM11" s="37" t="e">
        <f t="shared" ca="1" si="30"/>
        <v>#REF!</v>
      </c>
      <c r="AN11" s="37" t="e">
        <f t="shared" ca="1" si="31"/>
        <v>#REF!</v>
      </c>
      <c r="AO11" s="37" t="e">
        <f t="shared" ca="1" si="32"/>
        <v>#REF!</v>
      </c>
      <c r="AP11" s="37" t="e">
        <f t="shared" ca="1" si="33"/>
        <v>#REF!</v>
      </c>
      <c r="AQ11" s="37" t="e">
        <f t="shared" ca="1" si="34"/>
        <v>#REF!</v>
      </c>
      <c r="AR11" s="37" t="e">
        <f t="shared" ca="1" si="94"/>
        <v>#REF!</v>
      </c>
      <c r="AS11" s="37" t="e">
        <f t="shared" ca="1" si="35"/>
        <v>#REF!</v>
      </c>
      <c r="AT11" s="37" t="e">
        <f t="shared" ca="1" si="36"/>
        <v>#REF!</v>
      </c>
      <c r="AU11" s="37" t="e">
        <f t="shared" ca="1" si="37"/>
        <v>#REF!</v>
      </c>
      <c r="AV11" s="37" t="e">
        <f t="shared" ca="1" si="95"/>
        <v>#REF!</v>
      </c>
      <c r="AW11" s="37" t="e">
        <f t="shared" ca="1" si="38"/>
        <v>#REF!</v>
      </c>
      <c r="AX11" s="37" t="e">
        <f t="shared" ca="1" si="39"/>
        <v>#REF!</v>
      </c>
      <c r="AY11" s="37" t="e">
        <f t="shared" ca="1" si="96"/>
        <v>#REF!</v>
      </c>
      <c r="AZ11" s="37" t="e">
        <f t="shared" ca="1" si="40"/>
        <v>#REF!</v>
      </c>
      <c r="BA11" s="37" t="e">
        <f t="shared" ca="1" si="41"/>
        <v>#REF!</v>
      </c>
      <c r="BB11" s="37" t="e">
        <f t="shared" ca="1" si="42"/>
        <v>#REF!</v>
      </c>
      <c r="BC11" s="37" t="e">
        <f t="shared" ca="1" si="97"/>
        <v>#REF!</v>
      </c>
      <c r="BD11" s="37" t="e">
        <f t="shared" ca="1" si="43"/>
        <v>#REF!</v>
      </c>
      <c r="BE11" s="37" t="e">
        <f t="shared" ca="1" si="44"/>
        <v>#REF!</v>
      </c>
      <c r="BF11" s="37" t="e">
        <f t="shared" ca="1" si="45"/>
        <v>#REF!</v>
      </c>
      <c r="BG11" s="37" t="e">
        <f t="shared" ca="1" si="46"/>
        <v>#REF!</v>
      </c>
      <c r="BH11" s="37" t="e">
        <f t="shared" ca="1" si="47"/>
        <v>#REF!</v>
      </c>
      <c r="BI11" s="37" t="e">
        <f t="shared" ca="1" si="48"/>
        <v>#REF!</v>
      </c>
      <c r="BJ11" s="37" t="e">
        <f t="shared" ca="1" si="49"/>
        <v>#REF!</v>
      </c>
      <c r="BK11" s="37" t="e">
        <f t="shared" ca="1" si="50"/>
        <v>#REF!</v>
      </c>
      <c r="BL11" s="37" t="e">
        <f t="shared" ca="1" si="51"/>
        <v>#REF!</v>
      </c>
      <c r="BM11" s="37" t="e">
        <f t="shared" ca="1" si="52"/>
        <v>#REF!</v>
      </c>
      <c r="BN11" s="37" t="e">
        <f t="shared" ca="1" si="53"/>
        <v>#REF!</v>
      </c>
      <c r="BO11" s="37" t="e">
        <f t="shared" ca="1" si="54"/>
        <v>#REF!</v>
      </c>
      <c r="BP11" s="37" t="e">
        <f t="shared" ca="1" si="55"/>
        <v>#REF!</v>
      </c>
      <c r="BQ11" s="37" t="e">
        <f t="shared" ca="1" si="56"/>
        <v>#REF!</v>
      </c>
      <c r="BR11" s="37" t="e">
        <f t="shared" ca="1" si="57"/>
        <v>#REF!</v>
      </c>
      <c r="BS11" s="37" t="e">
        <f t="shared" ca="1" si="58"/>
        <v>#REF!</v>
      </c>
      <c r="BT11" s="37" t="e">
        <f t="shared" ca="1" si="59"/>
        <v>#REF!</v>
      </c>
      <c r="BU11" s="37" t="e">
        <f t="shared" ca="1" si="60"/>
        <v>#REF!</v>
      </c>
      <c r="BV11" s="37" t="e">
        <f t="shared" ca="1" si="61"/>
        <v>#REF!</v>
      </c>
      <c r="BW11" s="37" t="e">
        <f t="shared" ca="1" si="62"/>
        <v>#REF!</v>
      </c>
      <c r="BX11" s="37" t="e">
        <f t="shared" ca="1" si="63"/>
        <v>#REF!</v>
      </c>
      <c r="BY11" s="37" t="e">
        <f t="shared" si="64"/>
        <v>#REF!</v>
      </c>
      <c r="BZ11" s="37" t="e">
        <f t="shared" si="65"/>
        <v>#REF!</v>
      </c>
      <c r="CA11" s="37" t="e">
        <f t="shared" si="98"/>
        <v>#REF!</v>
      </c>
      <c r="CB11" s="37" t="e">
        <f t="shared" ca="1" si="66"/>
        <v>#REF!</v>
      </c>
      <c r="CC11" s="37" t="e">
        <f t="shared" ca="1" si="67"/>
        <v>#REF!</v>
      </c>
      <c r="CD11" s="37" t="e">
        <f t="shared" ca="1" si="99"/>
        <v>#REF!</v>
      </c>
      <c r="CE11" s="37" t="e">
        <f t="shared" ca="1" si="68"/>
        <v>#REF!</v>
      </c>
    </row>
    <row r="12" spans="1:83" x14ac:dyDescent="0.25">
      <c r="A12" t="str">
        <f>PLANTILLA!D13</f>
        <v>Eckardt Hägerling</v>
      </c>
      <c r="B12">
        <f>PLANTILLA!E13</f>
        <v>21</v>
      </c>
      <c r="C12" s="33">
        <f ca="1">PLANTILLA!F13</f>
        <v>51</v>
      </c>
      <c r="D12" s="226" t="str">
        <f>PLANTILLA!G13</f>
        <v>IMP</v>
      </c>
      <c r="E12" s="30">
        <f>PLANTILLA!M13</f>
        <v>43045</v>
      </c>
      <c r="F12" s="47">
        <f>PLANTILLA!Q13</f>
        <v>5</v>
      </c>
      <c r="G12" s="48">
        <f t="shared" si="81"/>
        <v>0.84515425472851657</v>
      </c>
      <c r="H12" s="48">
        <f t="shared" si="82"/>
        <v>0.92504826128926143</v>
      </c>
      <c r="I12" s="51">
        <f t="shared" ca="1" si="83"/>
        <v>1</v>
      </c>
      <c r="J12" s="39">
        <f>PLANTILLA!I13</f>
        <v>2.2000000000000002</v>
      </c>
      <c r="K12" s="46">
        <f>PLANTILLA!X13</f>
        <v>0</v>
      </c>
      <c r="L12" s="46">
        <f>PLANTILLA!Y13</f>
        <v>6</v>
      </c>
      <c r="M12" s="46">
        <f>PLANTILLA!Z13</f>
        <v>3</v>
      </c>
      <c r="N12" s="46">
        <f>PLANTILLA!AA13</f>
        <v>6.15</v>
      </c>
      <c r="O12" s="46">
        <f>PLANTILLA!AB13</f>
        <v>3</v>
      </c>
      <c r="P12" s="46">
        <f>PLANTILLA!AC13</f>
        <v>4.6633333333333322</v>
      </c>
      <c r="Q12" s="46">
        <f>PLANTILLA!AD13</f>
        <v>3</v>
      </c>
      <c r="R12" s="46">
        <f t="shared" si="84"/>
        <v>1.875</v>
      </c>
      <c r="S12" s="46">
        <f t="shared" si="85"/>
        <v>0.3231666666666666</v>
      </c>
      <c r="T12" s="46">
        <f t="shared" si="86"/>
        <v>0.33</v>
      </c>
      <c r="U12" s="46">
        <f t="shared" ca="1" si="87"/>
        <v>3.7664836663973098</v>
      </c>
      <c r="V12" s="46">
        <f t="shared" ca="1" si="88"/>
        <v>4.1225363858511654</v>
      </c>
      <c r="W12" s="37">
        <f t="shared" ca="1" si="89"/>
        <v>2.9275800004770485</v>
      </c>
      <c r="X12" s="37">
        <f t="shared" ca="1" si="90"/>
        <v>4.4304235745886249</v>
      </c>
      <c r="Y12" s="37">
        <f t="shared" ca="1" si="91"/>
        <v>2.9275800004770485</v>
      </c>
      <c r="Z12" s="37">
        <f t="shared" ca="1" si="19"/>
        <v>3.8475868044056782</v>
      </c>
      <c r="AA12" s="37">
        <f t="shared" ca="1" si="20"/>
        <v>7.4565635744296088</v>
      </c>
      <c r="AB12" s="37">
        <f t="shared" ca="1" si="92"/>
        <v>1.9237934022028391</v>
      </c>
      <c r="AC12" s="37">
        <f t="shared" ca="1" si="21"/>
        <v>1.0606621307142468</v>
      </c>
      <c r="AD12" s="37">
        <f t="shared" ca="1" si="22"/>
        <v>2.818581031134392</v>
      </c>
      <c r="AE12" s="37">
        <f t="shared" ca="1" si="23"/>
        <v>5.391095464312607</v>
      </c>
      <c r="AF12" s="37">
        <f t="shared" ca="1" si="93"/>
        <v>1.409290515567196</v>
      </c>
      <c r="AG12" s="37">
        <f t="shared" ca="1" si="24"/>
        <v>1.7157769761553994</v>
      </c>
      <c r="AH12" s="37">
        <f t="shared" ca="1" si="25"/>
        <v>6.8600384884752401</v>
      </c>
      <c r="AI12" s="37">
        <f t="shared" ca="1" si="26"/>
        <v>3.087017319813858</v>
      </c>
      <c r="AJ12" s="37">
        <f t="shared" ca="1" si="27"/>
        <v>0.74424611692974474</v>
      </c>
      <c r="AK12" s="37">
        <f t="shared" ca="1" si="28"/>
        <v>4.4726593817646103</v>
      </c>
      <c r="AL12" s="37">
        <f t="shared" ca="1" si="29"/>
        <v>5.6222489351199254</v>
      </c>
      <c r="AM12" s="37">
        <f t="shared" ca="1" si="30"/>
        <v>5.2792470106961629</v>
      </c>
      <c r="AN12" s="37">
        <f t="shared" ca="1" si="31"/>
        <v>0.74424611692974474</v>
      </c>
      <c r="AO12" s="37">
        <f t="shared" ca="1" si="32"/>
        <v>0.95949030943572711</v>
      </c>
      <c r="AP12" s="37">
        <f t="shared" ca="1" si="33"/>
        <v>2.0132721650959944</v>
      </c>
      <c r="AQ12" s="37">
        <f t="shared" ca="1" si="34"/>
        <v>4.4291987632111871</v>
      </c>
      <c r="AR12" s="37">
        <f t="shared" ca="1" si="94"/>
        <v>1.0066360825479972</v>
      </c>
      <c r="AS12" s="37">
        <f t="shared" ca="1" si="35"/>
        <v>4.2069960142615503</v>
      </c>
      <c r="AT12" s="37">
        <f t="shared" ca="1" si="36"/>
        <v>0.57935326467584913</v>
      </c>
      <c r="AU12" s="37">
        <f t="shared" ca="1" si="37"/>
        <v>1.5935297939745419</v>
      </c>
      <c r="AV12" s="37">
        <f t="shared" ca="1" si="95"/>
        <v>0.28967663233792457</v>
      </c>
      <c r="AW12" s="37">
        <f t="shared" ca="1" si="38"/>
        <v>1.409290515567196</v>
      </c>
      <c r="AX12" s="37">
        <f t="shared" ca="1" si="39"/>
        <v>2.9826254297718435</v>
      </c>
      <c r="AY12" s="37">
        <f t="shared" ca="1" si="96"/>
        <v>0.70464525778359799</v>
      </c>
      <c r="AZ12" s="37">
        <f t="shared" ca="1" si="40"/>
        <v>4.4565635744296088</v>
      </c>
      <c r="BA12" s="37">
        <f t="shared" ca="1" si="41"/>
        <v>1.127510584330691</v>
      </c>
      <c r="BB12" s="37">
        <f t="shared" ca="1" si="42"/>
        <v>2.8048665295107145</v>
      </c>
      <c r="BC12" s="37">
        <f t="shared" ca="1" si="97"/>
        <v>0.56375529216534548</v>
      </c>
      <c r="BD12" s="37">
        <f t="shared" ca="1" si="43"/>
        <v>2.1698600001590158</v>
      </c>
      <c r="BE12" s="37">
        <f t="shared" ca="1" si="44"/>
        <v>2.5948841239015037</v>
      </c>
      <c r="BF12" s="37">
        <f t="shared" ca="1" si="45"/>
        <v>3.9262325090724852</v>
      </c>
      <c r="BG12" s="37">
        <f t="shared" ca="1" si="46"/>
        <v>5.7699850176679215</v>
      </c>
      <c r="BH12" s="37">
        <f t="shared" ca="1" si="47"/>
        <v>1.0740318214375357</v>
      </c>
      <c r="BI12" s="37">
        <f t="shared" ca="1" si="48"/>
        <v>3.6164333335983603</v>
      </c>
      <c r="BJ12" s="37">
        <f t="shared" ca="1" si="49"/>
        <v>1.9685327836494169</v>
      </c>
      <c r="BK12" s="37">
        <f t="shared" ca="1" si="50"/>
        <v>1.697950721857681</v>
      </c>
      <c r="BL12" s="37">
        <f t="shared" ca="1" si="51"/>
        <v>6.0149865640514788</v>
      </c>
      <c r="BM12" s="37">
        <f t="shared" ca="1" si="52"/>
        <v>0.23174130587033964</v>
      </c>
      <c r="BN12" s="37">
        <f t="shared" ca="1" si="53"/>
        <v>1.3421814433973296</v>
      </c>
      <c r="BO12" s="37">
        <f t="shared" ca="1" si="54"/>
        <v>0.50704632306121344</v>
      </c>
      <c r="BP12" s="37">
        <f t="shared" ca="1" si="55"/>
        <v>1.3592518902010307</v>
      </c>
      <c r="BQ12" s="37">
        <f t="shared" ca="1" si="56"/>
        <v>8.8811407567164764</v>
      </c>
      <c r="BR12" s="37">
        <f t="shared" ca="1" si="57"/>
        <v>0.60163608254799728</v>
      </c>
      <c r="BS12" s="37">
        <f t="shared" ca="1" si="58"/>
        <v>2.1176640551380088</v>
      </c>
      <c r="BT12" s="37">
        <f t="shared" ca="1" si="59"/>
        <v>1.8194015121608245</v>
      </c>
      <c r="BU12" s="37">
        <f t="shared" ca="1" si="60"/>
        <v>2.812091615465083</v>
      </c>
      <c r="BV12" s="37">
        <f t="shared" ca="1" si="61"/>
        <v>6.1999243991144999</v>
      </c>
      <c r="BW12" s="37">
        <f t="shared" ca="1" si="62"/>
        <v>0.65957140901558209</v>
      </c>
      <c r="BX12" s="37">
        <f t="shared" ca="1" si="63"/>
        <v>1.8093648112184213</v>
      </c>
      <c r="BY12" s="37">
        <f t="shared" ca="1" si="64"/>
        <v>2.9867129556111589</v>
      </c>
      <c r="BZ12" s="37">
        <f t="shared" ca="1" si="65"/>
        <v>5.9878139181410717</v>
      </c>
      <c r="CA12" s="37">
        <f t="shared" ca="1" si="98"/>
        <v>2.9867129556111589</v>
      </c>
      <c r="CB12" s="37">
        <f t="shared" ca="1" si="66"/>
        <v>3.9050557735363132</v>
      </c>
      <c r="CC12" s="37">
        <f t="shared" ca="1" si="67"/>
        <v>7.7643688667274668</v>
      </c>
      <c r="CD12" s="37">
        <f t="shared" ca="1" si="99"/>
        <v>3.9050557735363132</v>
      </c>
      <c r="CE12" s="37">
        <f t="shared" ca="1" si="68"/>
        <v>1.1141408936074022</v>
      </c>
    </row>
    <row r="13" spans="1:83" x14ac:dyDescent="0.25">
      <c r="A13" t="str">
        <f>PLANTILLA!D16</f>
        <v>Fernando Gazón</v>
      </c>
      <c r="B13">
        <f>PLANTILLA!E16</f>
        <v>21</v>
      </c>
      <c r="C13" s="33">
        <f ca="1">PLANTILLA!F16</f>
        <v>92</v>
      </c>
      <c r="D13" s="226" t="str">
        <f>PLANTILLA!G16</f>
        <v>IMP</v>
      </c>
      <c r="E13" s="30">
        <f>PLANTILLA!M16</f>
        <v>43045</v>
      </c>
      <c r="F13" s="47">
        <f>PLANTILLA!Q16</f>
        <v>7</v>
      </c>
      <c r="G13" s="48">
        <f t="shared" si="81"/>
        <v>1</v>
      </c>
      <c r="H13" s="48">
        <f t="shared" si="82"/>
        <v>1</v>
      </c>
      <c r="I13" s="51">
        <f t="shared" ca="1" si="83"/>
        <v>1</v>
      </c>
      <c r="J13" s="39">
        <f>PLANTILLA!I16</f>
        <v>2.5</v>
      </c>
      <c r="K13" s="46">
        <f>PLANTILLA!X16</f>
        <v>0</v>
      </c>
      <c r="L13" s="46">
        <f>PLANTILLA!Y16</f>
        <v>3</v>
      </c>
      <c r="M13" s="46">
        <f>PLANTILLA!Z16</f>
        <v>6</v>
      </c>
      <c r="N13" s="46">
        <f>PLANTILLA!AA16</f>
        <v>6</v>
      </c>
      <c r="O13" s="46">
        <f>PLANTILLA!AB16</f>
        <v>4.25</v>
      </c>
      <c r="P13" s="46">
        <f>PLANTILLA!AC16</f>
        <v>5.6190261437908475</v>
      </c>
      <c r="Q13" s="46">
        <f>PLANTILLA!AD16</f>
        <v>3</v>
      </c>
      <c r="R13" s="46">
        <f t="shared" si="84"/>
        <v>1.8125</v>
      </c>
      <c r="S13" s="46">
        <f t="shared" si="85"/>
        <v>0.37095130718954239</v>
      </c>
      <c r="T13" s="46">
        <f t="shared" si="86"/>
        <v>0.21000000000000002</v>
      </c>
      <c r="U13" s="46">
        <f t="shared" ca="1" si="87"/>
        <v>4.5305866782293833</v>
      </c>
      <c r="V13" s="46">
        <f t="shared" ca="1" si="88"/>
        <v>4.5305866782293833</v>
      </c>
      <c r="W13" s="37">
        <f t="shared" ca="1" si="89"/>
        <v>2.164202170094252</v>
      </c>
      <c r="X13" s="37">
        <f t="shared" ca="1" si="90"/>
        <v>3.2509874015941338</v>
      </c>
      <c r="Y13" s="37">
        <f t="shared" ca="1" si="91"/>
        <v>2.164202170094252</v>
      </c>
      <c r="Z13" s="37">
        <f t="shared" ca="1" si="19"/>
        <v>2.3377827259663619</v>
      </c>
      <c r="AA13" s="37">
        <f t="shared" ca="1" si="20"/>
        <v>4.5305866782293833</v>
      </c>
      <c r="AB13" s="37">
        <f t="shared" ca="1" si="92"/>
        <v>1.168891362983181</v>
      </c>
      <c r="AC13" s="37">
        <f t="shared" ca="1" si="21"/>
        <v>1.7922796294185932</v>
      </c>
      <c r="AD13" s="37">
        <f t="shared" ca="1" si="22"/>
        <v>1.712561764370707</v>
      </c>
      <c r="AE13" s="37">
        <f t="shared" ca="1" si="23"/>
        <v>3.2756141683598439</v>
      </c>
      <c r="AF13" s="37">
        <f t="shared" ca="1" si="93"/>
        <v>0.85628088218535348</v>
      </c>
      <c r="AG13" s="37">
        <f t="shared" ca="1" si="24"/>
        <v>2.8992758711183129</v>
      </c>
      <c r="AH13" s="37">
        <f t="shared" ca="1" si="25"/>
        <v>4.1681397439710333</v>
      </c>
      <c r="AI13" s="37">
        <f t="shared" ca="1" si="26"/>
        <v>1.8756628847869645</v>
      </c>
      <c r="AJ13" s="37">
        <f t="shared" ca="1" si="27"/>
        <v>1.257607975264307</v>
      </c>
      <c r="AK13" s="37">
        <f t="shared" ca="1" si="28"/>
        <v>4.4279849667988769</v>
      </c>
      <c r="AL13" s="37">
        <f t="shared" ca="1" si="29"/>
        <v>3.416062355384955</v>
      </c>
      <c r="AM13" s="37">
        <f t="shared" ca="1" si="30"/>
        <v>3.2076553681864031</v>
      </c>
      <c r="AN13" s="37">
        <f t="shared" ca="1" si="31"/>
        <v>0.75660797526430701</v>
      </c>
      <c r="AO13" s="37">
        <f t="shared" ca="1" si="32"/>
        <v>0.96280896333006227</v>
      </c>
      <c r="AP13" s="37">
        <f t="shared" ca="1" si="33"/>
        <v>1.2232584031219336</v>
      </c>
      <c r="AQ13" s="37">
        <f t="shared" ca="1" si="34"/>
        <v>2.6911684868682535</v>
      </c>
      <c r="AR13" s="37">
        <f t="shared" ca="1" si="94"/>
        <v>0.61162920156096678</v>
      </c>
      <c r="AS13" s="37">
        <f t="shared" ca="1" si="35"/>
        <v>7.1088738242485379</v>
      </c>
      <c r="AT13" s="37">
        <f t="shared" ca="1" si="36"/>
        <v>0.75147626816981983</v>
      </c>
      <c r="AU13" s="37">
        <f t="shared" ca="1" si="37"/>
        <v>1.9305534195970258</v>
      </c>
      <c r="AV13" s="37">
        <f t="shared" ca="1" si="95"/>
        <v>0.37573813408490991</v>
      </c>
      <c r="AW13" s="37">
        <f t="shared" ca="1" si="38"/>
        <v>0.85628088218535348</v>
      </c>
      <c r="AX13" s="37">
        <f t="shared" ca="1" si="39"/>
        <v>1.8122346712917534</v>
      </c>
      <c r="AY13" s="37">
        <f t="shared" ca="1" si="96"/>
        <v>0.42814044109267674</v>
      </c>
      <c r="AZ13" s="37">
        <f t="shared" ca="1" si="40"/>
        <v>7.5305866782293833</v>
      </c>
      <c r="BA13" s="37">
        <f t="shared" ca="1" si="41"/>
        <v>1.462488429592034</v>
      </c>
      <c r="BB13" s="37">
        <f t="shared" ca="1" si="42"/>
        <v>3.4725987499004685</v>
      </c>
      <c r="BC13" s="37">
        <f t="shared" ca="1" si="97"/>
        <v>0.73124421479601698</v>
      </c>
      <c r="BD13" s="37">
        <f t="shared" ca="1" si="43"/>
        <v>1.3184007233647506</v>
      </c>
      <c r="BE13" s="37">
        <f t="shared" ca="1" si="44"/>
        <v>1.5766441640238253</v>
      </c>
      <c r="BF13" s="37">
        <f t="shared" ca="1" si="45"/>
        <v>6.6344468635200871</v>
      </c>
      <c r="BG13" s="37">
        <f t="shared" ca="1" si="46"/>
        <v>6.1434415569459215</v>
      </c>
      <c r="BH13" s="37">
        <f t="shared" ca="1" si="47"/>
        <v>1.3931213894532812</v>
      </c>
      <c r="BI13" s="37">
        <f t="shared" ca="1" si="48"/>
        <v>2.1973345389412509</v>
      </c>
      <c r="BJ13" s="37">
        <f t="shared" ca="1" si="49"/>
        <v>1.1960748830525572</v>
      </c>
      <c r="BK13" s="37">
        <f t="shared" ca="1" si="50"/>
        <v>2.869153524405395</v>
      </c>
      <c r="BL13" s="37">
        <f t="shared" ca="1" si="51"/>
        <v>6.2299827567724808</v>
      </c>
      <c r="BM13" s="37">
        <f t="shared" ca="1" si="52"/>
        <v>0.30059050726792791</v>
      </c>
      <c r="BN13" s="37">
        <f t="shared" ca="1" si="53"/>
        <v>0.81550560208128897</v>
      </c>
      <c r="BO13" s="37">
        <f t="shared" ca="1" si="54"/>
        <v>0.30807989411959807</v>
      </c>
      <c r="BP13" s="37">
        <f t="shared" ca="1" si="55"/>
        <v>2.2968289368599617</v>
      </c>
      <c r="BQ13" s="37">
        <f t="shared" ca="1" si="56"/>
        <v>9.1838344682029867</v>
      </c>
      <c r="BR13" s="37">
        <f t="shared" ca="1" si="57"/>
        <v>0.78037920156096685</v>
      </c>
      <c r="BS13" s="37">
        <f t="shared" ca="1" si="58"/>
        <v>1.2866866166171447</v>
      </c>
      <c r="BT13" s="37">
        <f t="shared" ca="1" si="59"/>
        <v>1.1054631494879694</v>
      </c>
      <c r="BU13" s="37">
        <f t="shared" ca="1" si="60"/>
        <v>4.7518001939627412</v>
      </c>
      <c r="BV13" s="37">
        <f t="shared" ca="1" si="61"/>
        <v>6.402125077015298</v>
      </c>
      <c r="BW13" s="37">
        <f t="shared" ca="1" si="62"/>
        <v>0.85552682837794869</v>
      </c>
      <c r="BX13" s="37">
        <f t="shared" ca="1" si="63"/>
        <v>3.0574181913611298</v>
      </c>
      <c r="BY13" s="37">
        <f t="shared" ca="1" si="64"/>
        <v>3.4375519796189464</v>
      </c>
      <c r="BZ13" s="37">
        <f t="shared" ca="1" si="65"/>
        <v>7.3070828415163502</v>
      </c>
      <c r="CA13" s="37">
        <f t="shared" ca="1" si="98"/>
        <v>3.4375519796189464</v>
      </c>
      <c r="CB13" s="37">
        <f t="shared" ca="1" si="66"/>
        <v>4.3440022979225263</v>
      </c>
      <c r="CC13" s="37">
        <f t="shared" ca="1" si="67"/>
        <v>9.2826493062868742</v>
      </c>
      <c r="CD13" s="37">
        <f t="shared" ca="1" si="99"/>
        <v>4.3440022979225263</v>
      </c>
      <c r="CE13" s="37">
        <f t="shared" ca="1" si="68"/>
        <v>1.8826466695573458</v>
      </c>
    </row>
    <row r="14" spans="1:83" x14ac:dyDescent="0.25">
      <c r="A14" t="str">
        <f>PLANTILLA!D14</f>
        <v>Jurgen Muësen</v>
      </c>
      <c r="B14">
        <f>PLANTILLA!E14</f>
        <v>28</v>
      </c>
      <c r="C14" s="33">
        <f ca="1">PLANTILLA!F14</f>
        <v>89</v>
      </c>
      <c r="D14" s="226" t="str">
        <f>PLANTILLA!G14</f>
        <v>IMP</v>
      </c>
      <c r="E14" s="30">
        <f>PLANTILLA!M14</f>
        <v>43409</v>
      </c>
      <c r="F14" s="47">
        <f>PLANTILLA!Q14</f>
        <v>5</v>
      </c>
      <c r="G14" s="48">
        <f t="shared" si="81"/>
        <v>0.84515425472851657</v>
      </c>
      <c r="H14" s="48">
        <f t="shared" si="82"/>
        <v>0.92504826128926143</v>
      </c>
      <c r="I14" s="51">
        <f t="shared" ca="1" si="83"/>
        <v>0.62201668941014909</v>
      </c>
      <c r="J14" s="39">
        <f>PLANTILLA!I14</f>
        <v>5.5</v>
      </c>
      <c r="K14" s="46">
        <f>PLANTILLA!X14</f>
        <v>0</v>
      </c>
      <c r="L14" s="46">
        <f>PLANTILLA!Y14</f>
        <v>6</v>
      </c>
      <c r="M14" s="46">
        <f>PLANTILLA!Z14</f>
        <v>9</v>
      </c>
      <c r="N14" s="46">
        <f>PLANTILLA!AA14</f>
        <v>6.2</v>
      </c>
      <c r="O14" s="46">
        <f>PLANTILLA!AB14</f>
        <v>7</v>
      </c>
      <c r="P14" s="46">
        <f>PLANTILLA!AC14</f>
        <v>2</v>
      </c>
      <c r="Q14" s="46">
        <f>PLANTILLA!AD14</f>
        <v>4</v>
      </c>
      <c r="R14" s="46">
        <f t="shared" si="84"/>
        <v>2.875</v>
      </c>
      <c r="S14" s="46">
        <f t="shared" si="85"/>
        <v>0.22000000000000003</v>
      </c>
      <c r="T14" s="46">
        <f t="shared" si="86"/>
        <v>0.36000000000000004</v>
      </c>
      <c r="U14" s="46">
        <f t="shared" ca="1" si="87"/>
        <v>4.7406113065722773</v>
      </c>
      <c r="V14" s="46">
        <f t="shared" ca="1" si="88"/>
        <v>5.1887501270422627</v>
      </c>
      <c r="W14" s="37">
        <f t="shared" ca="1" si="89"/>
        <v>3.0608027404263605</v>
      </c>
      <c r="X14" s="37">
        <f t="shared" ca="1" si="90"/>
        <v>4.6274345222112609</v>
      </c>
      <c r="Y14" s="37">
        <f t="shared" ca="1" si="91"/>
        <v>3.0608027404263605</v>
      </c>
      <c r="Z14" s="37">
        <f t="shared" ca="1" si="19"/>
        <v>3.9263301421076768</v>
      </c>
      <c r="AA14" s="37">
        <f t="shared" ca="1" si="20"/>
        <v>7.609166942069141</v>
      </c>
      <c r="AB14" s="37">
        <f t="shared" ca="1" si="92"/>
        <v>1.9631650710538384</v>
      </c>
      <c r="AC14" s="37">
        <f ca="1">((M14+I14+(LOG(J14)*4/3))*0.238)</f>
        <v>2.5249817322124555</v>
      </c>
      <c r="AD14" s="37">
        <f t="shared" ca="1" si="22"/>
        <v>2.8762651041021354</v>
      </c>
      <c r="AE14" s="37">
        <f t="shared" ca="1" si="23"/>
        <v>5.5014276991159887</v>
      </c>
      <c r="AF14" s="37">
        <f t="shared" ca="1" si="93"/>
        <v>1.4381325520510677</v>
      </c>
      <c r="AG14" s="37">
        <f t="shared" ca="1" si="24"/>
        <v>4.0845292726966198</v>
      </c>
      <c r="AH14" s="37">
        <f t="shared" ca="1" si="25"/>
        <v>7.0004335867036103</v>
      </c>
      <c r="AI14" s="37">
        <f t="shared" ca="1" si="26"/>
        <v>3.1501951140166242</v>
      </c>
      <c r="AJ14" s="37">
        <f t="shared" ca="1" si="27"/>
        <v>1.7717308793255466</v>
      </c>
      <c r="AK14" s="37">
        <f t="shared" ca="1" si="28"/>
        <v>4.5917901619366548</v>
      </c>
      <c r="AL14" s="37">
        <f t="shared" ca="1" si="29"/>
        <v>5.7373118743201328</v>
      </c>
      <c r="AM14" s="37">
        <f t="shared" ca="1" si="30"/>
        <v>5.3872901949849519</v>
      </c>
      <c r="AN14" s="37">
        <f t="shared" ca="1" si="31"/>
        <v>0.93673087932554655</v>
      </c>
      <c r="AO14" s="37">
        <f t="shared" ca="1" si="32"/>
        <v>1.2914400793159124</v>
      </c>
      <c r="AP14" s="37">
        <f t="shared" ca="1" si="33"/>
        <v>2.0544750743586682</v>
      </c>
      <c r="AQ14" s="37">
        <f t="shared" ca="1" si="34"/>
        <v>4.5198451635890695</v>
      </c>
      <c r="AR14" s="37">
        <f t="shared" ca="1" si="94"/>
        <v>1.0272375371793341</v>
      </c>
      <c r="AS14" s="37">
        <f t="shared" ca="1" si="35"/>
        <v>10.015053593313269</v>
      </c>
      <c r="AT14" s="37">
        <f t="shared" ca="1" si="36"/>
        <v>1.1191917024689884</v>
      </c>
      <c r="AU14" s="37">
        <f t="shared" ca="1" si="37"/>
        <v>1.6574859140262581</v>
      </c>
      <c r="AV14" s="37">
        <f t="shared" ca="1" si="95"/>
        <v>0.55959585123449418</v>
      </c>
      <c r="AW14" s="37">
        <f t="shared" ca="1" si="38"/>
        <v>1.4381325520510677</v>
      </c>
      <c r="AX14" s="37">
        <f t="shared" ca="1" si="39"/>
        <v>3.0436667768276564</v>
      </c>
      <c r="AY14" s="37">
        <f t="shared" ca="1" si="96"/>
        <v>0.71906627602553386</v>
      </c>
      <c r="AZ14" s="37">
        <f t="shared" ca="1" si="40"/>
        <v>10.609166942069141</v>
      </c>
      <c r="BA14" s="37">
        <f t="shared" ca="1" si="41"/>
        <v>2.1781192363434929</v>
      </c>
      <c r="BB14" s="37">
        <f t="shared" ca="1" si="42"/>
        <v>3.6936509850800969</v>
      </c>
      <c r="BC14" s="37">
        <f t="shared" ca="1" si="97"/>
        <v>1.0890596181717465</v>
      </c>
      <c r="BD14" s="37">
        <f t="shared" ca="1" si="43"/>
        <v>2.2142675801421201</v>
      </c>
      <c r="BE14" s="37">
        <f t="shared" ca="1" si="44"/>
        <v>2.6479900958400608</v>
      </c>
      <c r="BF14" s="37">
        <f t="shared" ca="1" si="45"/>
        <v>9.3466760759629128</v>
      </c>
      <c r="BG14" s="37">
        <f t="shared" ca="1" si="46"/>
        <v>7.1943494114994664</v>
      </c>
      <c r="BH14" s="37">
        <f t="shared" ca="1" si="47"/>
        <v>2.0748092330386627</v>
      </c>
      <c r="BI14" s="37">
        <f t="shared" ca="1" si="48"/>
        <v>3.6904459669035332</v>
      </c>
      <c r="BJ14" s="37">
        <f t="shared" ca="1" si="49"/>
        <v>2.0088200727062535</v>
      </c>
      <c r="BK14" s="37">
        <f t="shared" ca="1" si="50"/>
        <v>4.0420926049283432</v>
      </c>
      <c r="BL14" s="37">
        <f t="shared" ca="1" si="51"/>
        <v>6.9860119073684297</v>
      </c>
      <c r="BM14" s="37">
        <f t="shared" ca="1" si="52"/>
        <v>0.44767668098759533</v>
      </c>
      <c r="BN14" s="37">
        <f t="shared" ca="1" si="53"/>
        <v>1.3696500495724453</v>
      </c>
      <c r="BO14" s="37">
        <f t="shared" ca="1" si="54"/>
        <v>0.51742335206070167</v>
      </c>
      <c r="BP14" s="37">
        <f t="shared" ca="1" si="55"/>
        <v>3.235795917331088</v>
      </c>
      <c r="BQ14" s="37">
        <f t="shared" ca="1" si="56"/>
        <v>10.271388687500915</v>
      </c>
      <c r="BR14" s="37">
        <f t="shared" ca="1" si="57"/>
        <v>1.1622375371793341</v>
      </c>
      <c r="BS14" s="37">
        <f t="shared" ca="1" si="58"/>
        <v>2.161003411547636</v>
      </c>
      <c r="BT14" s="37">
        <f t="shared" ca="1" si="59"/>
        <v>1.8566367338648704</v>
      </c>
      <c r="BU14" s="37">
        <f t="shared" ca="1" si="60"/>
        <v>6.6943843404456285</v>
      </c>
      <c r="BV14" s="37">
        <f t="shared" ca="1" si="61"/>
        <v>7.1436044131518806</v>
      </c>
      <c r="BW14" s="37">
        <f t="shared" ca="1" si="62"/>
        <v>1.2741567074262328</v>
      </c>
      <c r="BX14" s="37">
        <f t="shared" ca="1" si="63"/>
        <v>4.3073217784800715</v>
      </c>
      <c r="BY14" s="37">
        <f t="shared" ca="1" si="64"/>
        <v>3.7351759768180224</v>
      </c>
      <c r="BZ14" s="37">
        <f t="shared" ca="1" si="65"/>
        <v>6.778921976769853</v>
      </c>
      <c r="CA14" s="37">
        <f t="shared" ca="1" si="98"/>
        <v>3.7351759768180224</v>
      </c>
      <c r="CB14" s="37">
        <f t="shared" ca="1" si="66"/>
        <v>3.8867110049090745</v>
      </c>
      <c r="CC14" s="37">
        <f t="shared" ca="1" si="67"/>
        <v>6.785949543692654</v>
      </c>
      <c r="CD14" s="37">
        <f t="shared" ca="1" si="99"/>
        <v>3.8867110049090745</v>
      </c>
      <c r="CE14" s="37">
        <f t="shared" ca="1" si="68"/>
        <v>2.6522917355172853</v>
      </c>
    </row>
    <row r="15" spans="1:83" x14ac:dyDescent="0.25">
      <c r="A15" t="e">
        <f>PLANTILLA!#REF!</f>
        <v>#REF!</v>
      </c>
      <c r="B15" t="e">
        <f>PLANTILLA!#REF!</f>
        <v>#REF!</v>
      </c>
      <c r="C15" s="33" t="e">
        <f>PLANTILLA!#REF!</f>
        <v>#REF!</v>
      </c>
      <c r="D15" s="226"/>
      <c r="E15" s="30" t="e">
        <f>PLANTILLA!#REF!</f>
        <v>#REF!</v>
      </c>
      <c r="F15" s="47" t="e">
        <f>PLANTILLA!#REF!</f>
        <v>#REF!</v>
      </c>
      <c r="G15" s="48" t="e">
        <f t="shared" si="81"/>
        <v>#REF!</v>
      </c>
      <c r="H15" s="48" t="e">
        <f t="shared" si="82"/>
        <v>#REF!</v>
      </c>
      <c r="I15" s="51" t="e">
        <f t="shared" ca="1" si="83"/>
        <v>#REF!</v>
      </c>
      <c r="J15" s="39" t="e">
        <f>PLANTILLA!#REF!</f>
        <v>#REF!</v>
      </c>
      <c r="K15" s="46" t="e">
        <f>PLANTILLA!#REF!</f>
        <v>#REF!</v>
      </c>
      <c r="L15" s="46" t="e">
        <f>PLANTILLA!#REF!</f>
        <v>#REF!</v>
      </c>
      <c r="M15" s="46" t="e">
        <f>PLANTILLA!#REF!</f>
        <v>#REF!</v>
      </c>
      <c r="N15" s="46" t="e">
        <f>PLANTILLA!#REF!</f>
        <v>#REF!</v>
      </c>
      <c r="O15" s="46" t="e">
        <f>PLANTILLA!#REF!</f>
        <v>#REF!</v>
      </c>
      <c r="P15" s="46" t="e">
        <f>PLANTILLA!#REF!</f>
        <v>#REF!</v>
      </c>
      <c r="Q15" s="46" t="e">
        <f>PLANTILLA!#REF!</f>
        <v>#REF!</v>
      </c>
      <c r="R15" s="46" t="e">
        <f t="shared" si="84"/>
        <v>#REF!</v>
      </c>
      <c r="S15" s="46" t="e">
        <f t="shared" si="85"/>
        <v>#REF!</v>
      </c>
      <c r="T15" s="46" t="e">
        <f t="shared" si="86"/>
        <v>#REF!</v>
      </c>
      <c r="U15" s="46" t="e">
        <f t="shared" ca="1" si="87"/>
        <v>#REF!</v>
      </c>
      <c r="V15" s="46" t="e">
        <f t="shared" si="88"/>
        <v>#REF!</v>
      </c>
      <c r="W15" s="37" t="e">
        <f t="shared" ca="1" si="89"/>
        <v>#REF!</v>
      </c>
      <c r="X15" s="37" t="e">
        <f t="shared" ca="1" si="90"/>
        <v>#REF!</v>
      </c>
      <c r="Y15" s="37" t="e">
        <f t="shared" ca="1" si="91"/>
        <v>#REF!</v>
      </c>
      <c r="Z15" s="37" t="e">
        <f t="shared" ca="1" si="19"/>
        <v>#REF!</v>
      </c>
      <c r="AA15" s="37" t="e">
        <f t="shared" ca="1" si="20"/>
        <v>#REF!</v>
      </c>
      <c r="AB15" s="37" t="e">
        <f t="shared" ca="1" si="92"/>
        <v>#REF!</v>
      </c>
      <c r="AC15" s="37" t="e">
        <f t="shared" ca="1" si="21"/>
        <v>#REF!</v>
      </c>
      <c r="AD15" s="37" t="e">
        <f t="shared" ca="1" si="22"/>
        <v>#REF!</v>
      </c>
      <c r="AE15" s="37" t="e">
        <f t="shared" ca="1" si="23"/>
        <v>#REF!</v>
      </c>
      <c r="AF15" s="37" t="e">
        <f t="shared" ca="1" si="93"/>
        <v>#REF!</v>
      </c>
      <c r="AG15" s="37" t="e">
        <f t="shared" ca="1" si="24"/>
        <v>#REF!</v>
      </c>
      <c r="AH15" s="37" t="e">
        <f t="shared" ca="1" si="25"/>
        <v>#REF!</v>
      </c>
      <c r="AI15" s="37" t="e">
        <f t="shared" ca="1" si="26"/>
        <v>#REF!</v>
      </c>
      <c r="AJ15" s="37" t="e">
        <f t="shared" ca="1" si="27"/>
        <v>#REF!</v>
      </c>
      <c r="AK15" s="37" t="e">
        <f t="shared" ca="1" si="28"/>
        <v>#REF!</v>
      </c>
      <c r="AL15" s="37" t="e">
        <f t="shared" ca="1" si="29"/>
        <v>#REF!</v>
      </c>
      <c r="AM15" s="37" t="e">
        <f t="shared" ca="1" si="30"/>
        <v>#REF!</v>
      </c>
      <c r="AN15" s="37" t="e">
        <f t="shared" ca="1" si="31"/>
        <v>#REF!</v>
      </c>
      <c r="AO15" s="37" t="e">
        <f t="shared" ca="1" si="32"/>
        <v>#REF!</v>
      </c>
      <c r="AP15" s="37" t="e">
        <f t="shared" ca="1" si="33"/>
        <v>#REF!</v>
      </c>
      <c r="AQ15" s="37" t="e">
        <f t="shared" ca="1" si="34"/>
        <v>#REF!</v>
      </c>
      <c r="AR15" s="37" t="e">
        <f t="shared" ca="1" si="94"/>
        <v>#REF!</v>
      </c>
      <c r="AS15" s="37" t="e">
        <f t="shared" ca="1" si="35"/>
        <v>#REF!</v>
      </c>
      <c r="AT15" s="37" t="e">
        <f t="shared" ca="1" si="36"/>
        <v>#REF!</v>
      </c>
      <c r="AU15" s="37" t="e">
        <f t="shared" ca="1" si="37"/>
        <v>#REF!</v>
      </c>
      <c r="AV15" s="37" t="e">
        <f t="shared" ca="1" si="95"/>
        <v>#REF!</v>
      </c>
      <c r="AW15" s="37" t="e">
        <f t="shared" ca="1" si="38"/>
        <v>#REF!</v>
      </c>
      <c r="AX15" s="37" t="e">
        <f t="shared" ca="1" si="39"/>
        <v>#REF!</v>
      </c>
      <c r="AY15" s="37" t="e">
        <f t="shared" ca="1" si="96"/>
        <v>#REF!</v>
      </c>
      <c r="AZ15" s="37" t="e">
        <f t="shared" ca="1" si="40"/>
        <v>#REF!</v>
      </c>
      <c r="BA15" s="37" t="e">
        <f t="shared" ca="1" si="41"/>
        <v>#REF!</v>
      </c>
      <c r="BB15" s="37" t="e">
        <f t="shared" ca="1" si="42"/>
        <v>#REF!</v>
      </c>
      <c r="BC15" s="37" t="e">
        <f t="shared" ca="1" si="97"/>
        <v>#REF!</v>
      </c>
      <c r="BD15" s="37" t="e">
        <f t="shared" ca="1" si="43"/>
        <v>#REF!</v>
      </c>
      <c r="BE15" s="37" t="e">
        <f t="shared" ca="1" si="44"/>
        <v>#REF!</v>
      </c>
      <c r="BF15" s="37" t="e">
        <f t="shared" ca="1" si="45"/>
        <v>#REF!</v>
      </c>
      <c r="BG15" s="37" t="e">
        <f t="shared" ca="1" si="46"/>
        <v>#REF!</v>
      </c>
      <c r="BH15" s="37" t="e">
        <f t="shared" ca="1" si="47"/>
        <v>#REF!</v>
      </c>
      <c r="BI15" s="37" t="e">
        <f t="shared" ca="1" si="48"/>
        <v>#REF!</v>
      </c>
      <c r="BJ15" s="37" t="e">
        <f t="shared" ca="1" si="49"/>
        <v>#REF!</v>
      </c>
      <c r="BK15" s="37" t="e">
        <f t="shared" ca="1" si="50"/>
        <v>#REF!</v>
      </c>
      <c r="BL15" s="37" t="e">
        <f t="shared" ca="1" si="51"/>
        <v>#REF!</v>
      </c>
      <c r="BM15" s="37" t="e">
        <f t="shared" ca="1" si="52"/>
        <v>#REF!</v>
      </c>
      <c r="BN15" s="37" t="e">
        <f t="shared" ca="1" si="53"/>
        <v>#REF!</v>
      </c>
      <c r="BO15" s="37" t="e">
        <f t="shared" ca="1" si="54"/>
        <v>#REF!</v>
      </c>
      <c r="BP15" s="37" t="e">
        <f t="shared" ca="1" si="55"/>
        <v>#REF!</v>
      </c>
      <c r="BQ15" s="37" t="e">
        <f t="shared" ca="1" si="56"/>
        <v>#REF!</v>
      </c>
      <c r="BR15" s="37" t="e">
        <f t="shared" ca="1" si="57"/>
        <v>#REF!</v>
      </c>
      <c r="BS15" s="37" t="e">
        <f t="shared" ca="1" si="58"/>
        <v>#REF!</v>
      </c>
      <c r="BT15" s="37" t="e">
        <f t="shared" ca="1" si="59"/>
        <v>#REF!</v>
      </c>
      <c r="BU15" s="37" t="e">
        <f t="shared" ca="1" si="60"/>
        <v>#REF!</v>
      </c>
      <c r="BV15" s="37" t="e">
        <f t="shared" ca="1" si="61"/>
        <v>#REF!</v>
      </c>
      <c r="BW15" s="37" t="e">
        <f t="shared" ca="1" si="62"/>
        <v>#REF!</v>
      </c>
      <c r="BX15" s="37" t="e">
        <f t="shared" ca="1" si="63"/>
        <v>#REF!</v>
      </c>
      <c r="BY15" s="37" t="e">
        <f t="shared" ca="1" si="64"/>
        <v>#REF!</v>
      </c>
      <c r="BZ15" s="37" t="e">
        <f t="shared" ca="1" si="65"/>
        <v>#REF!</v>
      </c>
      <c r="CA15" s="37" t="e">
        <f t="shared" ca="1" si="98"/>
        <v>#REF!</v>
      </c>
      <c r="CB15" s="37" t="e">
        <f t="shared" ca="1" si="66"/>
        <v>#REF!</v>
      </c>
      <c r="CC15" s="37" t="e">
        <f t="shared" ca="1" si="67"/>
        <v>#REF!</v>
      </c>
      <c r="CD15" s="37" t="e">
        <f t="shared" ca="1" si="99"/>
        <v>#REF!</v>
      </c>
      <c r="CE15" s="37" t="e">
        <f t="shared" ca="1" si="68"/>
        <v>#REF!</v>
      </c>
    </row>
    <row r="16" spans="1:83" x14ac:dyDescent="0.25">
      <c r="A16" t="str">
        <f>PLANTILLA!D15</f>
        <v>Fabien Fabre</v>
      </c>
      <c r="B16">
        <f>PLANTILLA!E15</f>
        <v>30</v>
      </c>
      <c r="C16" s="33">
        <f ca="1">PLANTILLA!F15</f>
        <v>25</v>
      </c>
      <c r="D16" s="226" t="str">
        <f>PLANTILLA!G15</f>
        <v>IMP</v>
      </c>
      <c r="E16" s="30">
        <f>PLANTILLA!M15</f>
        <v>43415</v>
      </c>
      <c r="F16" s="47">
        <f>PLANTILLA!Q15</f>
        <v>5</v>
      </c>
      <c r="G16" s="48">
        <f t="shared" si="81"/>
        <v>0.84515425472851657</v>
      </c>
      <c r="H16" s="48">
        <f t="shared" si="82"/>
        <v>0.92504826128926143</v>
      </c>
      <c r="I16" s="51">
        <f t="shared" ca="1" si="83"/>
        <v>0.60749289629395586</v>
      </c>
      <c r="J16" s="39">
        <f>PLANTILLA!I15</f>
        <v>4.8</v>
      </c>
      <c r="K16" s="46">
        <f>PLANTILLA!X15</f>
        <v>0</v>
      </c>
      <c r="L16" s="46">
        <f>PLANTILLA!Y15</f>
        <v>5</v>
      </c>
      <c r="M16" s="46">
        <f>PLANTILLA!Z15</f>
        <v>11</v>
      </c>
      <c r="N16" s="46">
        <f>PLANTILLA!AA15</f>
        <v>2</v>
      </c>
      <c r="O16" s="46">
        <f>PLANTILLA!AB15</f>
        <v>4</v>
      </c>
      <c r="P16" s="46">
        <f>PLANTILLA!AC15</f>
        <v>5</v>
      </c>
      <c r="Q16" s="46">
        <f>PLANTILLA!AD15</f>
        <v>12</v>
      </c>
      <c r="R16" s="46">
        <f t="shared" si="84"/>
        <v>2</v>
      </c>
      <c r="S16" s="46">
        <f t="shared" si="85"/>
        <v>0.61</v>
      </c>
      <c r="T16" s="46">
        <f t="shared" si="86"/>
        <v>0.55999999999999994</v>
      </c>
      <c r="U16" s="46">
        <f t="shared" ca="1" si="87"/>
        <v>11.422948169781714</v>
      </c>
      <c r="V16" s="46">
        <f t="shared" ca="1" si="88"/>
        <v>12.50278074580388</v>
      </c>
      <c r="W16" s="37">
        <f t="shared" ca="1" si="89"/>
        <v>2.703306098769807</v>
      </c>
      <c r="X16" s="37">
        <f t="shared" ca="1" si="90"/>
        <v>4.0819165790513408</v>
      </c>
      <c r="Y16" s="37">
        <f t="shared" ca="1" si="91"/>
        <v>2.703306098769807</v>
      </c>
      <c r="Z16" s="37">
        <f t="shared" ca="1" si="19"/>
        <v>3.3621603058020852</v>
      </c>
      <c r="AA16" s="37">
        <f t="shared" ca="1" si="20"/>
        <v>6.5158145461280723</v>
      </c>
      <c r="AB16" s="37">
        <f t="shared" ca="1" si="92"/>
        <v>1.6810801529010426</v>
      </c>
      <c r="AC16" s="37">
        <f t="shared" ca="1" si="21"/>
        <v>2.9787638619784809</v>
      </c>
      <c r="AD16" s="37">
        <f t="shared" ca="1" si="22"/>
        <v>2.4629778984364115</v>
      </c>
      <c r="AE16" s="37">
        <f t="shared" ca="1" si="23"/>
        <v>4.7109339168505961</v>
      </c>
      <c r="AF16" s="37">
        <f t="shared" ca="1" si="93"/>
        <v>1.2314889492182057</v>
      </c>
      <c r="AG16" s="37">
        <f t="shared" ca="1" si="24"/>
        <v>4.8185886002593072</v>
      </c>
      <c r="AH16" s="37">
        <f t="shared" ca="1" si="25"/>
        <v>5.9945493824378264</v>
      </c>
      <c r="AI16" s="37">
        <f t="shared" ca="1" si="26"/>
        <v>2.6975472220970218</v>
      </c>
      <c r="AJ16" s="37">
        <f t="shared" ca="1" si="27"/>
        <v>2.0901410292033882</v>
      </c>
      <c r="AK16" s="37">
        <f t="shared" ca="1" si="28"/>
        <v>2.0672989531233066</v>
      </c>
      <c r="AL16" s="37">
        <f t="shared" ca="1" si="29"/>
        <v>4.9129241677805666</v>
      </c>
      <c r="AM16" s="37">
        <f t="shared" ca="1" si="30"/>
        <v>4.6131966986586752</v>
      </c>
      <c r="AN16" s="37">
        <f t="shared" ca="1" si="31"/>
        <v>2.257141029203388</v>
      </c>
      <c r="AO16" s="37">
        <f t="shared" ca="1" si="32"/>
        <v>1.0125545892848848</v>
      </c>
      <c r="AP16" s="37">
        <f t="shared" ca="1" si="33"/>
        <v>1.7592699274545796</v>
      </c>
      <c r="AQ16" s="37">
        <f t="shared" ca="1" si="34"/>
        <v>3.8703938404000748</v>
      </c>
      <c r="AR16" s="37">
        <f t="shared" ca="1" si="94"/>
        <v>0.87963496372728978</v>
      </c>
      <c r="AS16" s="37">
        <f t="shared" ca="1" si="35"/>
        <v>11.814928931544898</v>
      </c>
      <c r="AT16" s="37">
        <f t="shared" ca="1" si="36"/>
        <v>0.71705589099664946</v>
      </c>
      <c r="AU16" s="37">
        <f t="shared" ca="1" si="37"/>
        <v>1.7891336620155252</v>
      </c>
      <c r="AV16" s="37">
        <f t="shared" ca="1" si="95"/>
        <v>0.35852794549832473</v>
      </c>
      <c r="AW16" s="37">
        <f t="shared" ca="1" si="38"/>
        <v>1.2314889492182057</v>
      </c>
      <c r="AX16" s="37">
        <f t="shared" ca="1" si="39"/>
        <v>2.606325818451229</v>
      </c>
      <c r="AY16" s="37">
        <f t="shared" ca="1" si="96"/>
        <v>0.61574447460910287</v>
      </c>
      <c r="AZ16" s="37">
        <f t="shared" ca="1" si="40"/>
        <v>12.515814546128071</v>
      </c>
      <c r="BA16" s="37">
        <f t="shared" ca="1" si="41"/>
        <v>1.3955010801704024</v>
      </c>
      <c r="BB16" s="37">
        <f t="shared" ca="1" si="42"/>
        <v>3.2492138149165681</v>
      </c>
      <c r="BC16" s="37">
        <f t="shared" ca="1" si="97"/>
        <v>0.69775054008520121</v>
      </c>
      <c r="BD16" s="37">
        <f t="shared" ca="1" si="43"/>
        <v>1.896102032923269</v>
      </c>
      <c r="BE16" s="37">
        <f t="shared" ca="1" si="44"/>
        <v>2.2675034620525691</v>
      </c>
      <c r="BF16" s="37">
        <f t="shared" ca="1" si="45"/>
        <v>11.02643261513883</v>
      </c>
      <c r="BG16" s="37">
        <f t="shared" ca="1" si="46"/>
        <v>3.755559131507856</v>
      </c>
      <c r="BH16" s="37">
        <f t="shared" ca="1" si="47"/>
        <v>1.3293113056168653</v>
      </c>
      <c r="BI16" s="37">
        <f t="shared" ca="1" si="48"/>
        <v>3.1601700548721148</v>
      </c>
      <c r="BJ16" s="37">
        <f t="shared" ca="1" si="49"/>
        <v>1.7201750401778111</v>
      </c>
      <c r="BK16" s="37">
        <f t="shared" ca="1" si="50"/>
        <v>4.7685253420747955</v>
      </c>
      <c r="BL16" s="37">
        <f t="shared" ca="1" si="51"/>
        <v>3.4748219133159353</v>
      </c>
      <c r="BM16" s="37">
        <f t="shared" ca="1" si="52"/>
        <v>0.28682235639865977</v>
      </c>
      <c r="BN16" s="37">
        <f t="shared" ca="1" si="53"/>
        <v>1.172846618303053</v>
      </c>
      <c r="BO16" s="37">
        <f t="shared" ca="1" si="54"/>
        <v>0.44307538913670896</v>
      </c>
      <c r="BP16" s="37">
        <f t="shared" ca="1" si="55"/>
        <v>3.8173234365690618</v>
      </c>
      <c r="BQ16" s="37">
        <f t="shared" ca="1" si="56"/>
        <v>5.0933375063207009</v>
      </c>
      <c r="BR16" s="37">
        <f t="shared" ca="1" si="57"/>
        <v>0.74463496372728977</v>
      </c>
      <c r="BS16" s="37">
        <f t="shared" ca="1" si="58"/>
        <v>1.8504913311003723</v>
      </c>
      <c r="BT16" s="37">
        <f t="shared" ca="1" si="59"/>
        <v>1.5898587492552496</v>
      </c>
      <c r="BU16" s="37">
        <f t="shared" ca="1" si="60"/>
        <v>7.8974789786068129</v>
      </c>
      <c r="BV16" s="37">
        <f t="shared" ca="1" si="61"/>
        <v>3.5326540187846245</v>
      </c>
      <c r="BW16" s="37">
        <f t="shared" ca="1" si="62"/>
        <v>0.81634055282695461</v>
      </c>
      <c r="BX16" s="37">
        <f t="shared" ca="1" si="63"/>
        <v>5.0814207057279974</v>
      </c>
      <c r="BY16" s="37">
        <f t="shared" ca="1" si="64"/>
        <v>2.7127393785327261</v>
      </c>
      <c r="BZ16" s="37">
        <f t="shared" ca="1" si="65"/>
        <v>6.7938071789402095</v>
      </c>
      <c r="CA16" s="37">
        <f t="shared" ca="1" si="98"/>
        <v>2.7127393785327261</v>
      </c>
      <c r="CB16" s="37">
        <f t="shared" ca="1" si="66"/>
        <v>3.2543524622377888</v>
      </c>
      <c r="CC16" s="37">
        <f t="shared" ca="1" si="67"/>
        <v>8.5511501136493315</v>
      </c>
      <c r="CD16" s="37">
        <f t="shared" ca="1" si="99"/>
        <v>3.2543524622377888</v>
      </c>
      <c r="CE16" s="37">
        <f t="shared" ca="1" si="68"/>
        <v>3.1289536365320179</v>
      </c>
    </row>
    <row r="17" spans="1:83" x14ac:dyDescent="0.25">
      <c r="A17" t="str">
        <f>PLANTILLA!D17</f>
        <v>Enrique Cubas</v>
      </c>
      <c r="B17">
        <f>PLANTILLA!E17</f>
        <v>21</v>
      </c>
      <c r="C17" s="33">
        <f ca="1">PLANTILLA!F17</f>
        <v>51</v>
      </c>
      <c r="D17" s="226" t="str">
        <f>PLANTILLA!G17</f>
        <v>RAP</v>
      </c>
      <c r="E17" s="30">
        <f>PLANTILLA!M17</f>
        <v>43046</v>
      </c>
      <c r="F17" s="47">
        <f>PLANTILLA!Q17</f>
        <v>6</v>
      </c>
      <c r="G17" s="48">
        <f t="shared" si="81"/>
        <v>0.92582009977255142</v>
      </c>
      <c r="H17" s="48">
        <f t="shared" si="82"/>
        <v>0.99928545900129484</v>
      </c>
      <c r="I17" s="228">
        <v>1.5</v>
      </c>
      <c r="J17" s="39">
        <f>PLANTILLA!I17</f>
        <v>3.9</v>
      </c>
      <c r="K17" s="46">
        <f>PLANTILLA!X17</f>
        <v>0</v>
      </c>
      <c r="L17" s="46">
        <f>PLANTILLA!Y17</f>
        <v>6.25</v>
      </c>
      <c r="M17" s="46">
        <f>PLANTILLA!Z17</f>
        <v>5.7</v>
      </c>
      <c r="N17" s="46">
        <f>PLANTILLA!AA17</f>
        <v>14.124999999999996</v>
      </c>
      <c r="O17" s="46">
        <f>PLANTILLA!AB17</f>
        <v>6</v>
      </c>
      <c r="P17" s="46">
        <f>PLANTILLA!AC17</f>
        <v>7.5</v>
      </c>
      <c r="Q17" s="46">
        <f>PLANTILLA!AD17</f>
        <v>5</v>
      </c>
      <c r="R17" s="46">
        <f t="shared" si="84"/>
        <v>2.65625</v>
      </c>
      <c r="S17" s="46">
        <f t="shared" si="85"/>
        <v>0.52500000000000002</v>
      </c>
      <c r="T17" s="46">
        <f t="shared" si="86"/>
        <v>0.4</v>
      </c>
      <c r="U17" s="46">
        <f t="shared" si="87"/>
        <v>6.7474566397873144</v>
      </c>
      <c r="V17" s="46">
        <f t="shared" si="88"/>
        <v>7.2828785063509436</v>
      </c>
      <c r="W17" s="37">
        <f t="shared" si="89"/>
        <v>3.7224992025788453</v>
      </c>
      <c r="X17" s="37">
        <f t="shared" si="90"/>
        <v>5.610169210228281</v>
      </c>
      <c r="Y17" s="37">
        <f t="shared" si="91"/>
        <v>3.7224992025788453</v>
      </c>
      <c r="Z17" s="37">
        <f t="shared" si="19"/>
        <v>4.405652449634232</v>
      </c>
      <c r="AA17" s="37">
        <f t="shared" si="20"/>
        <v>8.5380861427019994</v>
      </c>
      <c r="AB17" s="37">
        <f t="shared" si="92"/>
        <v>2.202826224817116</v>
      </c>
      <c r="AC17" s="37">
        <f t="shared" si="21"/>
        <v>1.9011645019630756</v>
      </c>
      <c r="AD17" s="37">
        <f t="shared" si="22"/>
        <v>3.2273965619413558</v>
      </c>
      <c r="AE17" s="37">
        <f t="shared" si="23"/>
        <v>6.1730362811735455</v>
      </c>
      <c r="AF17" s="37">
        <f t="shared" si="93"/>
        <v>1.6136982809706779</v>
      </c>
      <c r="AG17" s="37">
        <f t="shared" si="24"/>
        <v>3.0754131649402696</v>
      </c>
      <c r="AH17" s="37">
        <f t="shared" si="25"/>
        <v>7.8550392512858398</v>
      </c>
      <c r="AI17" s="37">
        <f t="shared" si="26"/>
        <v>3.5347676630786276</v>
      </c>
      <c r="AJ17" s="37">
        <f t="shared" si="27"/>
        <v>1.3340103858312338</v>
      </c>
      <c r="AK17" s="37">
        <f t="shared" si="28"/>
        <v>9.6508946519087733</v>
      </c>
      <c r="AL17" s="37">
        <f t="shared" si="29"/>
        <v>6.4377169515973076</v>
      </c>
      <c r="AM17" s="37">
        <f t="shared" si="30"/>
        <v>6.0449649890330148</v>
      </c>
      <c r="AN17" s="37">
        <f t="shared" si="31"/>
        <v>1.217110385831234</v>
      </c>
      <c r="AO17" s="37">
        <f t="shared" si="32"/>
        <v>1.4239688090981757</v>
      </c>
      <c r="AP17" s="37">
        <f t="shared" si="33"/>
        <v>2.3052832585295402</v>
      </c>
      <c r="AQ17" s="37">
        <f t="shared" si="34"/>
        <v>5.0716231687649875</v>
      </c>
      <c r="AR17" s="37">
        <f t="shared" si="94"/>
        <v>1.1526416292647701</v>
      </c>
      <c r="AS17" s="37">
        <f t="shared" si="35"/>
        <v>7.5407533187106868</v>
      </c>
      <c r="AT17" s="37">
        <f t="shared" si="36"/>
        <v>1.07745119855126</v>
      </c>
      <c r="AU17" s="37">
        <f t="shared" si="37"/>
        <v>2.6879092398116855</v>
      </c>
      <c r="AV17" s="37">
        <f t="shared" si="95"/>
        <v>0.53872559927563002</v>
      </c>
      <c r="AW17" s="37">
        <f t="shared" si="38"/>
        <v>1.6136982809706779</v>
      </c>
      <c r="AX17" s="37">
        <f t="shared" si="39"/>
        <v>3.4152344570807998</v>
      </c>
      <c r="AY17" s="37">
        <f t="shared" si="96"/>
        <v>0.80684914048533896</v>
      </c>
      <c r="AZ17" s="37">
        <f t="shared" si="40"/>
        <v>7.9880861427019987</v>
      </c>
      <c r="BA17" s="37">
        <f t="shared" si="41"/>
        <v>2.0968857941036059</v>
      </c>
      <c r="BB17" s="37">
        <f t="shared" si="42"/>
        <v>4.881735464628802</v>
      </c>
      <c r="BC17" s="37">
        <f t="shared" si="97"/>
        <v>1.0484428970518029</v>
      </c>
      <c r="BD17" s="37">
        <f t="shared" si="43"/>
        <v>2.4845830675262817</v>
      </c>
      <c r="BE17" s="37">
        <f t="shared" si="44"/>
        <v>2.9712539776602958</v>
      </c>
      <c r="BF17" s="37">
        <f t="shared" si="45"/>
        <v>7.0375038917204611</v>
      </c>
      <c r="BG17" s="37">
        <f t="shared" si="46"/>
        <v>12.031858580862075</v>
      </c>
      <c r="BH17" s="37">
        <f t="shared" si="47"/>
        <v>1.9974287603911818</v>
      </c>
      <c r="BI17" s="37">
        <f t="shared" si="48"/>
        <v>4.1409717792104699</v>
      </c>
      <c r="BJ17" s="37">
        <f t="shared" si="49"/>
        <v>2.2540547416733281</v>
      </c>
      <c r="BK17" s="37">
        <f t="shared" si="50"/>
        <v>3.0434608203694618</v>
      </c>
      <c r="BL17" s="37">
        <f t="shared" si="51"/>
        <v>12.711912288721546</v>
      </c>
      <c r="BM17" s="37">
        <f t="shared" si="52"/>
        <v>0.43098047942050394</v>
      </c>
      <c r="BN17" s="37">
        <f t="shared" si="53"/>
        <v>1.5368555056863598</v>
      </c>
      <c r="BO17" s="37">
        <f t="shared" si="54"/>
        <v>0.58058985770373595</v>
      </c>
      <c r="BP17" s="37">
        <f t="shared" si="55"/>
        <v>2.4363662735241096</v>
      </c>
      <c r="BQ17" s="37">
        <f t="shared" si="56"/>
        <v>18.783478779514766</v>
      </c>
      <c r="BR17" s="37">
        <f t="shared" si="57"/>
        <v>1.1188916292647699</v>
      </c>
      <c r="BS17" s="37">
        <f t="shared" si="58"/>
        <v>2.4248164645273675</v>
      </c>
      <c r="BT17" s="37">
        <f t="shared" si="59"/>
        <v>2.0832930188192877</v>
      </c>
      <c r="BU17" s="37">
        <f t="shared" si="60"/>
        <v>5.0404823560449614</v>
      </c>
      <c r="BV17" s="37">
        <f t="shared" si="61"/>
        <v>13.121587097718287</v>
      </c>
      <c r="BW17" s="37">
        <f t="shared" si="62"/>
        <v>1.226636749119896</v>
      </c>
      <c r="BX17" s="37">
        <f t="shared" si="63"/>
        <v>3.2431629739370118</v>
      </c>
      <c r="BY17" s="37">
        <f t="shared" si="64"/>
        <v>5.6785928803477415</v>
      </c>
      <c r="BZ17" s="37">
        <f t="shared" si="65"/>
        <v>10.206884996682451</v>
      </c>
      <c r="CA17" s="37">
        <f t="shared" si="98"/>
        <v>5.6785928803477415</v>
      </c>
      <c r="CB17" s="37">
        <f t="shared" si="66"/>
        <v>7.3491026669033443</v>
      </c>
      <c r="CC17" s="37">
        <f t="shared" si="67"/>
        <v>12.846389929359038</v>
      </c>
      <c r="CD17" s="37">
        <f t="shared" si="99"/>
        <v>7.3491026669033443</v>
      </c>
      <c r="CE17" s="37">
        <f t="shared" si="68"/>
        <v>1.9970215356754997</v>
      </c>
    </row>
    <row r="18" spans="1:83" x14ac:dyDescent="0.25">
      <c r="A18" t="str">
        <f>PLANTILLA!D18</f>
        <v>J. G. Peñuela</v>
      </c>
      <c r="B18">
        <f>PLANTILLA!E18</f>
        <v>21</v>
      </c>
      <c r="C18" s="33">
        <f ca="1">PLANTILLA!F18</f>
        <v>51</v>
      </c>
      <c r="D18" s="226" t="str">
        <f>PLANTILLA!G18</f>
        <v>IMP</v>
      </c>
      <c r="E18" s="30">
        <f>PLANTILLA!M18</f>
        <v>43054</v>
      </c>
      <c r="F18" s="47">
        <f>PLANTILLA!Q18</f>
        <v>6</v>
      </c>
      <c r="G18" s="48">
        <f t="shared" si="81"/>
        <v>0.92582009977255142</v>
      </c>
      <c r="H18" s="48">
        <f t="shared" si="82"/>
        <v>0.99928545900129484</v>
      </c>
      <c r="I18" s="51">
        <f t="shared" ca="1" si="83"/>
        <v>1</v>
      </c>
      <c r="J18" s="39">
        <f>PLANTILLA!I18</f>
        <v>3.5</v>
      </c>
      <c r="K18" s="46">
        <f>PLANTILLA!X18</f>
        <v>0</v>
      </c>
      <c r="L18" s="46">
        <f>PLANTILLA!Y18</f>
        <v>7</v>
      </c>
      <c r="M18" s="46">
        <f>PLANTILLA!Z18</f>
        <v>5</v>
      </c>
      <c r="N18" s="46">
        <f>PLANTILLA!AA18</f>
        <v>13.19</v>
      </c>
      <c r="O18" s="46">
        <f>PLANTILLA!AB18</f>
        <v>5</v>
      </c>
      <c r="P18" s="46">
        <f>PLANTILLA!AC18</f>
        <v>7.8016666666666676</v>
      </c>
      <c r="Q18" s="46">
        <f>PLANTILLA!AD18</f>
        <v>3</v>
      </c>
      <c r="R18" s="46">
        <f t="shared" si="84"/>
        <v>2.5</v>
      </c>
      <c r="S18" s="46">
        <f t="shared" si="85"/>
        <v>0.48008333333333331</v>
      </c>
      <c r="T18" s="46">
        <f t="shared" si="86"/>
        <v>0.37</v>
      </c>
      <c r="U18" s="46">
        <f t="shared" ca="1" si="87"/>
        <v>4.3748925738947779</v>
      </c>
      <c r="V18" s="46">
        <f t="shared" ca="1" si="88"/>
        <v>4.7220475499071819</v>
      </c>
      <c r="W18" s="37">
        <f t="shared" ca="1" si="89"/>
        <v>3.4382952036237211</v>
      </c>
      <c r="X18" s="37">
        <f t="shared" ca="1" si="90"/>
        <v>5.2025224603416076</v>
      </c>
      <c r="Y18" s="37">
        <f t="shared" ca="1" si="91"/>
        <v>3.4382952036237211</v>
      </c>
      <c r="Z18" s="37">
        <f t="shared" ca="1" si="19"/>
        <v>4.5023188145129902</v>
      </c>
      <c r="AA18" s="37">
        <f t="shared" ca="1" si="20"/>
        <v>8.7254240591337009</v>
      </c>
      <c r="AB18" s="37">
        <f t="shared" ca="1" si="92"/>
        <v>2.2511594072564951</v>
      </c>
      <c r="AC18" s="37">
        <f t="shared" ca="1" si="21"/>
        <v>1.6006509260738206</v>
      </c>
      <c r="AD18" s="37">
        <f t="shared" ca="1" si="22"/>
        <v>3.2982102943525389</v>
      </c>
      <c r="AE18" s="37">
        <f t="shared" ca="1" si="23"/>
        <v>6.3084815947536654</v>
      </c>
      <c r="AF18" s="37">
        <f t="shared" ca="1" si="93"/>
        <v>1.6491051471762694</v>
      </c>
      <c r="AG18" s="37">
        <f t="shared" ca="1" si="24"/>
        <v>2.5892882627664751</v>
      </c>
      <c r="AH18" s="37">
        <f t="shared" ca="1" si="25"/>
        <v>8.0273901344030048</v>
      </c>
      <c r="AI18" s="37">
        <f t="shared" ca="1" si="26"/>
        <v>3.6123255604813518</v>
      </c>
      <c r="AJ18" s="37">
        <f t="shared" ca="1" si="27"/>
        <v>1.1231458178753282</v>
      </c>
      <c r="AK18" s="37">
        <f t="shared" ca="1" si="28"/>
        <v>8.7702693467706148</v>
      </c>
      <c r="AL18" s="37">
        <f t="shared" ca="1" si="29"/>
        <v>6.5789697405868104</v>
      </c>
      <c r="AM18" s="37">
        <f t="shared" ca="1" si="30"/>
        <v>6.1776002338666602</v>
      </c>
      <c r="AN18" s="37">
        <f t="shared" ca="1" si="31"/>
        <v>0.78914581787532811</v>
      </c>
      <c r="AO18" s="37">
        <f t="shared" ca="1" si="32"/>
        <v>1.2169221290305057</v>
      </c>
      <c r="AP18" s="37">
        <f t="shared" ca="1" si="33"/>
        <v>2.3558644959660993</v>
      </c>
      <c r="AQ18" s="37">
        <f t="shared" ca="1" si="34"/>
        <v>5.1829018911254181</v>
      </c>
      <c r="AR18" s="37">
        <f t="shared" ca="1" si="94"/>
        <v>1.1779322479830496</v>
      </c>
      <c r="AS18" s="37">
        <f t="shared" ca="1" si="35"/>
        <v>6.3488003118222132</v>
      </c>
      <c r="AT18" s="37">
        <f t="shared" ca="1" si="36"/>
        <v>0.87430512768738111</v>
      </c>
      <c r="AU18" s="37">
        <f t="shared" ca="1" si="37"/>
        <v>2.4552375826595076</v>
      </c>
      <c r="AV18" s="37">
        <f t="shared" ca="1" si="95"/>
        <v>0.43715256384369056</v>
      </c>
      <c r="AW18" s="37">
        <f t="shared" ca="1" si="38"/>
        <v>1.6491051471762694</v>
      </c>
      <c r="AX18" s="37">
        <f t="shared" ca="1" si="39"/>
        <v>3.4901696236534807</v>
      </c>
      <c r="AY18" s="37">
        <f t="shared" ca="1" si="96"/>
        <v>0.82455257358813472</v>
      </c>
      <c r="AZ18" s="37">
        <f t="shared" ca="1" si="40"/>
        <v>6.7254240591337009</v>
      </c>
      <c r="BA18" s="37">
        <f t="shared" ca="1" si="41"/>
        <v>1.7015322869608263</v>
      </c>
      <c r="BB18" s="37">
        <f t="shared" ca="1" si="42"/>
        <v>4.2940586565826697</v>
      </c>
      <c r="BC18" s="37">
        <f t="shared" ca="1" si="97"/>
        <v>0.85076614348041313</v>
      </c>
      <c r="BD18" s="37">
        <f t="shared" ca="1" si="43"/>
        <v>2.539098401207907</v>
      </c>
      <c r="BE18" s="37">
        <f t="shared" ca="1" si="44"/>
        <v>3.0364475725785276</v>
      </c>
      <c r="BF18" s="37">
        <f t="shared" ca="1" si="45"/>
        <v>5.9250985960967908</v>
      </c>
      <c r="BG18" s="37">
        <f t="shared" ca="1" si="46"/>
        <v>10.679961988569859</v>
      </c>
      <c r="BH18" s="37">
        <f t="shared" ca="1" si="47"/>
        <v>1.6208271982512219</v>
      </c>
      <c r="BI18" s="37">
        <f t="shared" ca="1" si="48"/>
        <v>4.2318306686798453</v>
      </c>
      <c r="BJ18" s="37">
        <f t="shared" ca="1" si="49"/>
        <v>2.3035119516112972</v>
      </c>
      <c r="BK18" s="37">
        <f t="shared" ca="1" si="50"/>
        <v>2.5623865665299399</v>
      </c>
      <c r="BL18" s="37">
        <f t="shared" ca="1" si="51"/>
        <v>11.389890627682856</v>
      </c>
      <c r="BM18" s="37">
        <f t="shared" ca="1" si="52"/>
        <v>0.34972205107495241</v>
      </c>
      <c r="BN18" s="37">
        <f t="shared" ca="1" si="53"/>
        <v>1.5705763306440661</v>
      </c>
      <c r="BO18" s="37">
        <f t="shared" ca="1" si="54"/>
        <v>0.59332883602109165</v>
      </c>
      <c r="BP18" s="37">
        <f t="shared" ca="1" si="55"/>
        <v>2.0512543380357786</v>
      </c>
      <c r="BQ18" s="37">
        <f t="shared" ca="1" si="56"/>
        <v>16.838895340045937</v>
      </c>
      <c r="BR18" s="37">
        <f t="shared" ca="1" si="57"/>
        <v>0.90793224798304972</v>
      </c>
      <c r="BS18" s="37">
        <f t="shared" ca="1" si="58"/>
        <v>2.4780204327939708</v>
      </c>
      <c r="BT18" s="37">
        <f t="shared" ca="1" si="59"/>
        <v>2.1290034704286231</v>
      </c>
      <c r="BU18" s="37">
        <f t="shared" ca="1" si="60"/>
        <v>4.2437425813133656</v>
      </c>
      <c r="BV18" s="37">
        <f t="shared" ca="1" si="61"/>
        <v>11.768634532924661</v>
      </c>
      <c r="BW18" s="37">
        <f t="shared" ca="1" si="62"/>
        <v>0.99536276075178765</v>
      </c>
      <c r="BX18" s="37">
        <f t="shared" ca="1" si="63"/>
        <v>2.730522168008283</v>
      </c>
      <c r="BY18" s="37">
        <f t="shared" ca="1" si="64"/>
        <v>5.0391176014753247</v>
      </c>
      <c r="BZ18" s="37">
        <f t="shared" ca="1" si="65"/>
        <v>9.2061991572512145</v>
      </c>
      <c r="CA18" s="37">
        <f t="shared" ca="1" si="98"/>
        <v>5.0391176014753247</v>
      </c>
      <c r="CB18" s="37">
        <f t="shared" ca="1" si="66"/>
        <v>6.7283625221736294</v>
      </c>
      <c r="CC18" s="37">
        <f t="shared" ca="1" si="67"/>
        <v>12.008772203620705</v>
      </c>
      <c r="CD18" s="37">
        <f t="shared" ca="1" si="99"/>
        <v>6.7283625221736294</v>
      </c>
      <c r="CE18" s="37">
        <f t="shared" ca="1" si="68"/>
        <v>1.6813560147834252</v>
      </c>
    </row>
    <row r="19" spans="1:83" x14ac:dyDescent="0.25">
      <c r="C19" s="33"/>
      <c r="D19" s="226"/>
      <c r="E19" s="30"/>
      <c r="F19" s="47"/>
      <c r="G19" s="48"/>
      <c r="H19" s="48"/>
      <c r="I19" s="51"/>
      <c r="J19" s="39"/>
      <c r="K19" s="46"/>
      <c r="L19" s="46"/>
      <c r="M19" s="46"/>
      <c r="N19" s="46"/>
      <c r="O19" s="46"/>
      <c r="P19" s="46"/>
      <c r="Q19" s="46"/>
      <c r="R19" s="46"/>
      <c r="S19" s="46"/>
      <c r="T19" s="46"/>
      <c r="U19" s="46"/>
      <c r="V19" s="46"/>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row>
    <row r="20" spans="1:83" x14ac:dyDescent="0.25">
      <c r="M20" s="37"/>
      <c r="N20" s="37"/>
      <c r="AH20" s="37"/>
      <c r="AI20" s="37"/>
    </row>
    <row r="21" spans="1:83" ht="18.75" x14ac:dyDescent="0.3">
      <c r="A21" s="103" t="s">
        <v>161</v>
      </c>
      <c r="B21" s="103" t="s">
        <v>162</v>
      </c>
      <c r="C21" s="103"/>
      <c r="D21" s="104"/>
      <c r="Z21" s="37"/>
      <c r="AA21" s="37"/>
      <c r="BV21" s="37"/>
      <c r="BW21" s="37"/>
    </row>
    <row r="22" spans="1:83" x14ac:dyDescent="0.25">
      <c r="A22" s="105" t="s">
        <v>163</v>
      </c>
      <c r="B22" s="106">
        <v>1</v>
      </c>
      <c r="C22" s="108">
        <v>0.624</v>
      </c>
      <c r="D22" s="109">
        <v>0.245</v>
      </c>
      <c r="AH22" s="37"/>
      <c r="AI22" s="37"/>
    </row>
    <row r="23" spans="1:83" x14ac:dyDescent="0.25">
      <c r="A23" s="105" t="s">
        <v>164</v>
      </c>
      <c r="B23" s="106">
        <v>1</v>
      </c>
      <c r="C23" s="108">
        <v>1.002</v>
      </c>
      <c r="D23" s="109">
        <v>0.34</v>
      </c>
      <c r="AG23" s="116"/>
      <c r="AH23" s="117"/>
    </row>
    <row r="24" spans="1:83" x14ac:dyDescent="0.25">
      <c r="A24" s="105" t="s">
        <v>165</v>
      </c>
      <c r="B24" s="106">
        <v>1</v>
      </c>
      <c r="C24" s="108">
        <v>0.46800000000000003</v>
      </c>
      <c r="D24" s="109">
        <v>0.125</v>
      </c>
      <c r="Z24" s="37"/>
      <c r="AA24" s="37"/>
      <c r="AH24" s="118"/>
      <c r="AI24" s="118"/>
      <c r="BV24" s="37"/>
      <c r="BW24" s="37"/>
    </row>
    <row r="25" spans="1:83" x14ac:dyDescent="0.25">
      <c r="A25" s="105" t="s">
        <v>166</v>
      </c>
      <c r="B25" s="106">
        <v>1</v>
      </c>
      <c r="C25" s="108">
        <v>0.877</v>
      </c>
      <c r="D25" s="109">
        <v>0.25</v>
      </c>
      <c r="W25" s="117"/>
    </row>
    <row r="26" spans="1:83" x14ac:dyDescent="0.25">
      <c r="A26" s="105" t="s">
        <v>167</v>
      </c>
      <c r="B26" s="106">
        <v>1</v>
      </c>
      <c r="C26" s="108">
        <v>0.59299999999999997</v>
      </c>
      <c r="D26" s="109">
        <v>0.19</v>
      </c>
      <c r="W26" s="117"/>
    </row>
    <row r="28" spans="1:83" x14ac:dyDescent="0.25">
      <c r="Z28" s="117"/>
      <c r="AA28" s="117"/>
      <c r="BV28" s="117"/>
      <c r="BW28" s="117"/>
    </row>
  </sheetData>
  <conditionalFormatting sqref="U3:V19">
    <cfRule type="cellIs" dxfId="10" priority="20" operator="greaterThan">
      <formula>15</formula>
    </cfRule>
  </conditionalFormatting>
  <conditionalFormatting sqref="R3:R19">
    <cfRule type="cellIs" dxfId="9" priority="19" operator="greaterThan">
      <formula>3.2</formula>
    </cfRule>
  </conditionalFormatting>
  <conditionalFormatting sqref="S3:T19">
    <cfRule type="cellIs" dxfId="8" priority="18" operator="greaterThan">
      <formula>0.6</formula>
    </cfRule>
  </conditionalFormatting>
  <conditionalFormatting sqref="W3:AI19 AK3:AM19 AO3:BD19 BF3:CE19">
    <cfRule type="cellIs" dxfId="7" priority="17" operator="greaterThan">
      <formula>12.5</formula>
    </cfRule>
  </conditionalFormatting>
  <conditionalFormatting sqref="J3:J19">
    <cfRule type="cellIs" dxfId="6" priority="14" operator="greaterThan">
      <formula>7</formula>
    </cfRule>
  </conditionalFormatting>
  <conditionalFormatting sqref="K3:Q19">
    <cfRule type="colorScale" priority="5439">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AJ71"/>
  <sheetViews>
    <sheetView zoomScaleNormal="100" workbookViewId="0">
      <selection activeCell="AG9" sqref="AG9"/>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 bestFit="1" customWidth="1"/>
    <col min="29" max="29" width="4.85546875" bestFit="1" customWidth="1"/>
    <col min="30" max="36" width="5.5703125" bestFit="1" customWidth="1"/>
  </cols>
  <sheetData>
    <row r="1" spans="1:36" x14ac:dyDescent="0.25">
      <c r="C1" s="137"/>
      <c r="D1" s="110"/>
      <c r="G1" s="65"/>
      <c r="H1" s="52"/>
      <c r="J1" s="65"/>
      <c r="K1" s="65"/>
      <c r="M1" s="138"/>
      <c r="T1" s="259"/>
      <c r="U1" s="259"/>
      <c r="V1" s="259"/>
      <c r="W1" s="139"/>
      <c r="X1" s="259" t="s">
        <v>168</v>
      </c>
      <c r="Y1" s="259"/>
      <c r="Z1" s="114">
        <f>T2+U2+V2+W2+X2+Y2+Z2</f>
        <v>14</v>
      </c>
      <c r="AA1" s="32">
        <f>Z1/16</f>
        <v>0.875</v>
      </c>
      <c r="AC1" s="65"/>
      <c r="AD1" s="65"/>
      <c r="AE1" s="65"/>
      <c r="AF1" s="65"/>
      <c r="AG1" s="65"/>
      <c r="AH1" s="65"/>
      <c r="AI1" s="65"/>
      <c r="AJ1" s="65"/>
    </row>
    <row r="2" spans="1:36" x14ac:dyDescent="0.25">
      <c r="A2" s="140"/>
      <c r="B2" s="140"/>
      <c r="C2" s="141"/>
      <c r="D2" s="142">
        <f ca="1">TODAY()</f>
        <v>43539</v>
      </c>
      <c r="G2" s="65"/>
      <c r="H2" s="143"/>
      <c r="I2" s="143"/>
      <c r="J2" s="144"/>
      <c r="K2" s="144"/>
      <c r="L2" s="143"/>
      <c r="M2" s="145"/>
      <c r="N2" s="143"/>
      <c r="O2" s="143"/>
      <c r="P2" s="143"/>
      <c r="Q2" s="143"/>
      <c r="R2" s="143"/>
      <c r="S2" s="143"/>
      <c r="T2" s="148">
        <v>0</v>
      </c>
      <c r="U2" s="149">
        <v>0</v>
      </c>
      <c r="V2" s="149">
        <v>0</v>
      </c>
      <c r="W2" s="148">
        <v>14</v>
      </c>
      <c r="X2" s="150">
        <v>0</v>
      </c>
      <c r="Y2" s="150">
        <v>0</v>
      </c>
      <c r="Z2" s="150">
        <v>0</v>
      </c>
      <c r="AA2" s="146"/>
      <c r="AB2" s="147"/>
      <c r="AC2" s="147"/>
      <c r="AD2" s="147"/>
      <c r="AE2" s="147"/>
      <c r="AF2" s="147"/>
      <c r="AG2" s="147"/>
      <c r="AH2" s="147"/>
      <c r="AI2" s="147"/>
      <c r="AJ2" s="147"/>
    </row>
    <row r="3" spans="1:36" x14ac:dyDescent="0.25">
      <c r="A3" s="10" t="s">
        <v>1</v>
      </c>
      <c r="B3" s="10" t="s">
        <v>2</v>
      </c>
      <c r="C3" s="11" t="s">
        <v>183</v>
      </c>
      <c r="D3" s="12" t="s">
        <v>3</v>
      </c>
      <c r="E3" s="10" t="s">
        <v>4</v>
      </c>
      <c r="F3" s="10" t="s">
        <v>5</v>
      </c>
      <c r="G3" s="10" t="s">
        <v>6</v>
      </c>
      <c r="H3" s="10" t="s">
        <v>7</v>
      </c>
      <c r="I3" s="10" t="s">
        <v>8</v>
      </c>
      <c r="J3" s="10" t="s">
        <v>9</v>
      </c>
      <c r="K3" s="13" t="s">
        <v>189</v>
      </c>
      <c r="L3" s="13" t="s">
        <v>190</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x14ac:dyDescent="0.25">
      <c r="A4" s="15" t="str">
        <f>PLANTILLA!A5</f>
        <v>#19</v>
      </c>
      <c r="B4" s="15" t="str">
        <f>PLANTILLA!B5</f>
        <v>POR</v>
      </c>
      <c r="C4" s="121">
        <f ca="1">PLANTILLA!C5</f>
        <v>10.223214285714286</v>
      </c>
      <c r="D4" s="28" t="str">
        <f>PLANTILLA!D5</f>
        <v>Nicolae Hornet</v>
      </c>
      <c r="E4" s="16">
        <f>PLANTILLA!E5</f>
        <v>21</v>
      </c>
      <c r="F4" s="17">
        <f ca="1">PLANTILLA!F5</f>
        <v>87</v>
      </c>
      <c r="G4" s="18"/>
      <c r="H4" s="4">
        <f>PLANTILLA!H5</f>
        <v>5</v>
      </c>
      <c r="I4" s="27">
        <f>PLANTILLA!I5</f>
        <v>1.4</v>
      </c>
      <c r="J4" s="19">
        <f>PLANTILLA!O5</f>
        <v>5</v>
      </c>
      <c r="K4" s="6">
        <f t="shared" ref="K4:K5" si="0">(H4)*(H4)*(I4)</f>
        <v>35</v>
      </c>
      <c r="L4" s="6">
        <f t="shared" ref="L4:L5" si="1">(H4+1)*(H4+1)*I4</f>
        <v>50.4</v>
      </c>
      <c r="M4" s="21">
        <f>PLANTILLA!X5</f>
        <v>6</v>
      </c>
      <c r="N4" s="21">
        <f>PLANTILLA!Y5</f>
        <v>3</v>
      </c>
      <c r="O4" s="21">
        <f>PLANTILLA!Z5</f>
        <v>0</v>
      </c>
      <c r="P4" s="21">
        <f>PLANTILLA!AA5</f>
        <v>3</v>
      </c>
      <c r="Q4" s="21">
        <f>PLANTILLA!AB5</f>
        <v>0</v>
      </c>
      <c r="R4" s="21">
        <f>PLANTILLA!AC5</f>
        <v>1</v>
      </c>
      <c r="S4" s="21">
        <f>PLANTILLA!AD5</f>
        <v>1</v>
      </c>
      <c r="T4" s="155">
        <v>0</v>
      </c>
      <c r="U4" s="155">
        <v>0</v>
      </c>
      <c r="V4" s="155">
        <v>0</v>
      </c>
      <c r="W4" s="155">
        <v>0</v>
      </c>
      <c r="X4" s="155">
        <v>0</v>
      </c>
      <c r="Y4" s="155">
        <v>0</v>
      </c>
      <c r="Z4" s="155">
        <v>0</v>
      </c>
      <c r="AA4" s="153">
        <v>20</v>
      </c>
      <c r="AB4" s="154">
        <f ca="1">F4+($W$2*7)-112</f>
        <v>73</v>
      </c>
      <c r="AC4" s="25">
        <f t="shared" ref="AC4:AC5" si="2">I4+$AC$2</f>
        <v>1.4</v>
      </c>
      <c r="AD4" s="156">
        <f t="shared" ref="AD4" si="3">M4</f>
        <v>6</v>
      </c>
      <c r="AE4" s="156">
        <f t="shared" ref="AE4" si="4">N4</f>
        <v>3</v>
      </c>
      <c r="AF4" s="156">
        <f t="shared" ref="AF4" si="5">O4</f>
        <v>0</v>
      </c>
      <c r="AG4" s="156">
        <f t="shared" ref="AG4" si="6">P4</f>
        <v>3</v>
      </c>
      <c r="AH4" s="156">
        <f t="shared" ref="AH4" si="7">Q4</f>
        <v>0</v>
      </c>
      <c r="AI4" s="156">
        <f t="shared" ref="AI4" si="8">R4</f>
        <v>1</v>
      </c>
      <c r="AJ4" s="156">
        <f t="shared" ref="AJ4" si="9">S4</f>
        <v>1</v>
      </c>
    </row>
    <row r="5" spans="1:36" x14ac:dyDescent="0.25">
      <c r="A5" s="15" t="str">
        <f>PLANTILLA!A4</f>
        <v>#1</v>
      </c>
      <c r="B5" s="15" t="str">
        <f>PLANTILLA!B4</f>
        <v>POR</v>
      </c>
      <c r="C5" s="121">
        <f ca="1">PLANTILLA!C4</f>
        <v>10.446428571428571</v>
      </c>
      <c r="D5" s="28" t="str">
        <f>PLANTILLA!D4</f>
        <v>Cosme Fonteboa</v>
      </c>
      <c r="E5" s="16">
        <f>PLANTILLA!E4</f>
        <v>21</v>
      </c>
      <c r="F5" s="17">
        <f ca="1">PLANTILLA!F4</f>
        <v>62</v>
      </c>
      <c r="G5" s="18"/>
      <c r="H5" s="4">
        <f>PLANTILLA!H4</f>
        <v>4</v>
      </c>
      <c r="I5" s="27">
        <f>PLANTILLA!I4</f>
        <v>3.9</v>
      </c>
      <c r="J5" s="19">
        <f>PLANTILLA!O4</f>
        <v>6.6</v>
      </c>
      <c r="K5" s="6">
        <f t="shared" si="0"/>
        <v>62.4</v>
      </c>
      <c r="L5" s="6">
        <f t="shared" si="1"/>
        <v>97.5</v>
      </c>
      <c r="M5" s="21">
        <f>PLANTILLA!X4</f>
        <v>15</v>
      </c>
      <c r="N5" s="21">
        <f>PLANTILLA!Y4</f>
        <v>8.1999999999999993</v>
      </c>
      <c r="O5" s="21">
        <f>PLANTILLA!Z4</f>
        <v>0</v>
      </c>
      <c r="P5" s="21">
        <f>PLANTILLA!AA4</f>
        <v>0</v>
      </c>
      <c r="Q5" s="21">
        <f>PLANTILLA!AB4</f>
        <v>0</v>
      </c>
      <c r="R5" s="21">
        <f>PLANTILLA!AC4</f>
        <v>1</v>
      </c>
      <c r="S5" s="21">
        <f>PLANTILLA!AD4</f>
        <v>1</v>
      </c>
      <c r="T5" s="155">
        <v>0</v>
      </c>
      <c r="U5" s="155">
        <v>0</v>
      </c>
      <c r="V5" s="155">
        <v>0</v>
      </c>
      <c r="W5" s="155">
        <v>0</v>
      </c>
      <c r="X5" s="155">
        <v>0</v>
      </c>
      <c r="Y5" s="155">
        <v>0</v>
      </c>
      <c r="Z5" s="155">
        <v>0</v>
      </c>
      <c r="AA5" s="153">
        <v>20</v>
      </c>
      <c r="AB5" s="154">
        <f ca="1">F5+($W$2*7)-112</f>
        <v>48</v>
      </c>
      <c r="AC5" s="25">
        <f t="shared" si="2"/>
        <v>3.9</v>
      </c>
      <c r="AD5" s="156">
        <f t="shared" ref="AD5:AD23" si="10">M5</f>
        <v>15</v>
      </c>
      <c r="AE5" s="156">
        <f t="shared" ref="AE5:AE23" si="11">N5</f>
        <v>8.1999999999999993</v>
      </c>
      <c r="AF5" s="156">
        <f t="shared" ref="AF5:AF23" si="12">O5</f>
        <v>0</v>
      </c>
      <c r="AG5" s="156">
        <f t="shared" ref="AG5:AG23" si="13">P5</f>
        <v>0</v>
      </c>
      <c r="AH5" s="156">
        <f t="shared" ref="AH5:AH23" si="14">Q5</f>
        <v>0</v>
      </c>
      <c r="AI5" s="156">
        <f t="shared" ref="AI5:AI23" si="15">R5</f>
        <v>1</v>
      </c>
      <c r="AJ5" s="156">
        <f t="shared" ref="AJ5:AJ23" si="16">S5</f>
        <v>1</v>
      </c>
    </row>
    <row r="6" spans="1:36" ht="16.5" customHeight="1" x14ac:dyDescent="0.25">
      <c r="A6" s="15" t="str">
        <f>PLANTILLA!A9</f>
        <v>#2</v>
      </c>
      <c r="B6" s="15" t="str">
        <f>PLANTILLA!B9</f>
        <v>CEN</v>
      </c>
      <c r="C6" s="121">
        <f ca="1">PLANTILLA!C9</f>
        <v>10.330357142857142</v>
      </c>
      <c r="D6" s="28" t="str">
        <f>PLANTILLA!D9</f>
        <v>Guillermo Pedrajas</v>
      </c>
      <c r="E6" s="16">
        <f>PLANTILLA!E9</f>
        <v>21</v>
      </c>
      <c r="F6" s="17">
        <f ca="1">PLANTILLA!F9</f>
        <v>75</v>
      </c>
      <c r="G6" s="18"/>
      <c r="H6" s="4">
        <f>PLANTILLA!H9</f>
        <v>4</v>
      </c>
      <c r="I6" s="27">
        <f>PLANTILLA!I9</f>
        <v>3.9</v>
      </c>
      <c r="J6" s="19">
        <f>PLANTILLA!O9</f>
        <v>6.3</v>
      </c>
      <c r="K6" s="6">
        <f>(H6)*(H6)*(I6)</f>
        <v>62.4</v>
      </c>
      <c r="L6" s="6">
        <f>(H6+1)*(H6+1)*I6</f>
        <v>97.5</v>
      </c>
      <c r="M6" s="21">
        <f>PLANTILLA!X9</f>
        <v>0</v>
      </c>
      <c r="N6" s="21">
        <f>PLANTILLA!Y9</f>
        <v>8.1999999999999993</v>
      </c>
      <c r="O6" s="21">
        <f>PLANTILLA!Z9</f>
        <v>11</v>
      </c>
      <c r="P6" s="21">
        <f>PLANTILLA!AA9</f>
        <v>4</v>
      </c>
      <c r="Q6" s="21">
        <f>PLANTILLA!AB9</f>
        <v>9</v>
      </c>
      <c r="R6" s="21">
        <f>PLANTILLA!AC9</f>
        <v>4</v>
      </c>
      <c r="S6" s="21">
        <f>PLANTILLA!AD9</f>
        <v>1</v>
      </c>
      <c r="T6" s="155">
        <v>0</v>
      </c>
      <c r="U6" s="155">
        <v>0</v>
      </c>
      <c r="V6" s="155">
        <v>0</v>
      </c>
      <c r="W6" s="155">
        <v>0</v>
      </c>
      <c r="X6" s="155">
        <v>0</v>
      </c>
      <c r="Y6" s="155">
        <v>0</v>
      </c>
      <c r="Z6" s="155">
        <v>0</v>
      </c>
      <c r="AA6" s="153">
        <f t="shared" ref="AA6:AA23" si="17">E6</f>
        <v>21</v>
      </c>
      <c r="AB6" s="154">
        <f t="shared" ref="AB6:AB23" ca="1" si="18">F6+($W$2*7)</f>
        <v>173</v>
      </c>
      <c r="AC6" s="25">
        <f>I6+$AC$2</f>
        <v>3.9</v>
      </c>
      <c r="AD6" s="156">
        <f t="shared" si="10"/>
        <v>0</v>
      </c>
      <c r="AE6" s="156">
        <f t="shared" si="11"/>
        <v>8.1999999999999993</v>
      </c>
      <c r="AF6" s="156">
        <f t="shared" si="12"/>
        <v>11</v>
      </c>
      <c r="AG6" s="156">
        <f t="shared" si="13"/>
        <v>4</v>
      </c>
      <c r="AH6" s="156">
        <f t="shared" si="14"/>
        <v>9</v>
      </c>
      <c r="AI6" s="156">
        <f t="shared" si="15"/>
        <v>4</v>
      </c>
      <c r="AJ6" s="156">
        <f t="shared" si="16"/>
        <v>1</v>
      </c>
    </row>
    <row r="7" spans="1:36" ht="16.5" customHeight="1" x14ac:dyDescent="0.25">
      <c r="A7" s="15" t="str">
        <f>PLANTILLA!A20</f>
        <v>#38</v>
      </c>
      <c r="B7" s="15" t="str">
        <f>PLANTILLA!B20</f>
        <v>DAV</v>
      </c>
      <c r="C7" s="121">
        <f ca="1">PLANTILLA!C20</f>
        <v>1.5089285714285714</v>
      </c>
      <c r="D7" s="28" t="str">
        <f>PLANTILLA!D20</f>
        <v>Emilio Rojas</v>
      </c>
      <c r="E7" s="16">
        <f>PLANTILLA!E20</f>
        <v>30</v>
      </c>
      <c r="F7" s="17">
        <f ca="1">PLANTILLA!F20</f>
        <v>55</v>
      </c>
      <c r="G7" s="18"/>
      <c r="H7" s="4">
        <f>PLANTILLA!H20</f>
        <v>4</v>
      </c>
      <c r="I7" s="27">
        <f>PLANTILLA!I20</f>
        <v>5.8</v>
      </c>
      <c r="J7" s="19">
        <f>PLANTILLA!O20</f>
        <v>5.5</v>
      </c>
      <c r="K7" s="6">
        <f t="shared" ref="K7:K23" si="19">(H7)*(H7)*(I7)</f>
        <v>92.8</v>
      </c>
      <c r="L7" s="6">
        <f t="shared" ref="L7:L23" si="20">(H7+1)*(H7+1)*I7</f>
        <v>145</v>
      </c>
      <c r="M7" s="21">
        <f>PLANTILLA!X20</f>
        <v>0</v>
      </c>
      <c r="N7" s="21">
        <f>PLANTILLA!Y20</f>
        <v>5</v>
      </c>
      <c r="O7" s="21">
        <f>PLANTILLA!Z20</f>
        <v>2</v>
      </c>
      <c r="P7" s="21">
        <f>PLANTILLA!AA20</f>
        <v>6</v>
      </c>
      <c r="Q7" s="21">
        <f>PLANTILLA!AB20</f>
        <v>9</v>
      </c>
      <c r="R7" s="21">
        <f>PLANTILLA!AC20</f>
        <v>9</v>
      </c>
      <c r="S7" s="21">
        <f>PLANTILLA!AD20</f>
        <v>13</v>
      </c>
      <c r="T7" s="155">
        <v>0</v>
      </c>
      <c r="U7" s="155">
        <v>0</v>
      </c>
      <c r="V7" s="155">
        <v>0</v>
      </c>
      <c r="W7" s="155">
        <v>0.5</v>
      </c>
      <c r="X7" s="155">
        <v>0</v>
      </c>
      <c r="Y7" s="155">
        <v>0</v>
      </c>
      <c r="Z7" s="155">
        <v>0</v>
      </c>
      <c r="AA7" s="153">
        <f t="shared" si="17"/>
        <v>30</v>
      </c>
      <c r="AB7" s="154">
        <f t="shared" ca="1" si="18"/>
        <v>153</v>
      </c>
      <c r="AC7" s="25">
        <f t="shared" ref="AC7:AC23" si="21">I7+$AC$2</f>
        <v>5.8</v>
      </c>
      <c r="AD7" s="156">
        <f t="shared" si="10"/>
        <v>0</v>
      </c>
      <c r="AE7" s="156">
        <f t="shared" si="11"/>
        <v>5</v>
      </c>
      <c r="AF7" s="156">
        <f t="shared" si="12"/>
        <v>2</v>
      </c>
      <c r="AG7" s="156">
        <f>9+5/7</f>
        <v>9.7142857142857135</v>
      </c>
      <c r="AH7" s="156">
        <f t="shared" si="14"/>
        <v>9</v>
      </c>
      <c r="AI7" s="156">
        <f t="shared" si="15"/>
        <v>9</v>
      </c>
      <c r="AJ7" s="156">
        <f t="shared" si="16"/>
        <v>13</v>
      </c>
    </row>
    <row r="8" spans="1:36" ht="16.5" customHeight="1" x14ac:dyDescent="0.25">
      <c r="A8" s="15" t="str">
        <f>PLANTILLA!A19</f>
        <v>#36</v>
      </c>
      <c r="B8" s="15" t="str">
        <f>PLANTILLA!B19</f>
        <v>DAV</v>
      </c>
      <c r="C8" s="121">
        <f ca="1">PLANTILLA!C19</f>
        <v>1.8482142857142858</v>
      </c>
      <c r="D8" s="28" t="str">
        <f>PLANTILLA!D19</f>
        <v>Miklós Gábriel</v>
      </c>
      <c r="E8" s="16">
        <f>PLANTILLA!E19</f>
        <v>30</v>
      </c>
      <c r="F8" s="17">
        <f ca="1">PLANTILLA!F19</f>
        <v>17</v>
      </c>
      <c r="G8" s="18"/>
      <c r="H8" s="4">
        <f>PLANTILLA!H19</f>
        <v>2</v>
      </c>
      <c r="I8" s="27">
        <f>PLANTILLA!I19</f>
        <v>6.2</v>
      </c>
      <c r="J8" s="19">
        <f>PLANTILLA!O19</f>
        <v>5.6</v>
      </c>
      <c r="K8" s="6">
        <f t="shared" si="19"/>
        <v>24.8</v>
      </c>
      <c r="L8" s="6">
        <f t="shared" si="20"/>
        <v>55.800000000000004</v>
      </c>
      <c r="M8" s="21">
        <f>PLANTILLA!X19</f>
        <v>0</v>
      </c>
      <c r="N8" s="21">
        <f>PLANTILLA!Y19</f>
        <v>4</v>
      </c>
      <c r="O8" s="21">
        <f>PLANTILLA!Z19</f>
        <v>2</v>
      </c>
      <c r="P8" s="21">
        <f>PLANTILLA!AA19</f>
        <v>4</v>
      </c>
      <c r="Q8" s="21">
        <f>PLANTILLA!AB19</f>
        <v>7</v>
      </c>
      <c r="R8" s="21">
        <f>PLANTILLA!AC19</f>
        <v>10</v>
      </c>
      <c r="S8" s="21">
        <f>PLANTILLA!AD19</f>
        <v>14</v>
      </c>
      <c r="T8" s="155">
        <v>0</v>
      </c>
      <c r="U8" s="155">
        <v>0</v>
      </c>
      <c r="V8" s="155">
        <v>0</v>
      </c>
      <c r="W8" s="155">
        <v>0</v>
      </c>
      <c r="X8" s="155">
        <v>0</v>
      </c>
      <c r="Y8" s="155">
        <v>0</v>
      </c>
      <c r="Z8" s="155">
        <v>0</v>
      </c>
      <c r="AA8" s="153">
        <v>20</v>
      </c>
      <c r="AB8" s="154">
        <f t="shared" ref="AB8:AB21" ca="1" si="22">F8+($W$2*7)-112</f>
        <v>3</v>
      </c>
      <c r="AC8" s="25">
        <f t="shared" si="21"/>
        <v>6.2</v>
      </c>
      <c r="AD8" s="156">
        <f t="shared" si="10"/>
        <v>0</v>
      </c>
      <c r="AE8" s="156">
        <f t="shared" si="11"/>
        <v>4</v>
      </c>
      <c r="AF8" s="156">
        <f t="shared" si="12"/>
        <v>2</v>
      </c>
      <c r="AG8" s="156">
        <f t="shared" si="13"/>
        <v>4</v>
      </c>
      <c r="AH8" s="156">
        <f t="shared" si="14"/>
        <v>7</v>
      </c>
      <c r="AI8" s="156">
        <f t="shared" si="15"/>
        <v>10</v>
      </c>
      <c r="AJ8" s="156">
        <f t="shared" si="16"/>
        <v>14</v>
      </c>
    </row>
    <row r="9" spans="1:36" ht="16.5" customHeight="1" x14ac:dyDescent="0.25">
      <c r="A9" s="15" t="e">
        <f>PLANTILLA!#REF!</f>
        <v>#REF!</v>
      </c>
      <c r="B9" s="15" t="e">
        <f>PLANTILLA!#REF!</f>
        <v>#REF!</v>
      </c>
      <c r="C9" s="121" t="e">
        <f>PLANTILLA!#REF!</f>
        <v>#REF!</v>
      </c>
      <c r="D9" s="28" t="e">
        <f>PLANTILLA!#REF!</f>
        <v>#REF!</v>
      </c>
      <c r="E9" s="16" t="e">
        <f>PLANTILLA!#REF!</f>
        <v>#REF!</v>
      </c>
      <c r="F9" s="17" t="e">
        <f>PLANTILLA!#REF!</f>
        <v>#REF!</v>
      </c>
      <c r="G9" s="18"/>
      <c r="H9" s="4" t="e">
        <f>PLANTILLA!#REF!</f>
        <v>#REF!</v>
      </c>
      <c r="I9" s="27" t="e">
        <f>PLANTILLA!#REF!</f>
        <v>#REF!</v>
      </c>
      <c r="J9" s="19" t="e">
        <f>PLANTILLA!#REF!</f>
        <v>#REF!</v>
      </c>
      <c r="K9" s="6" t="e">
        <f t="shared" si="19"/>
        <v>#REF!</v>
      </c>
      <c r="L9" s="6" t="e">
        <f t="shared" si="20"/>
        <v>#REF!</v>
      </c>
      <c r="M9" s="21" t="e">
        <f>PLANTILLA!#REF!</f>
        <v>#REF!</v>
      </c>
      <c r="N9" s="21" t="e">
        <f>PLANTILLA!#REF!</f>
        <v>#REF!</v>
      </c>
      <c r="O9" s="21" t="e">
        <f>PLANTILLA!#REF!</f>
        <v>#REF!</v>
      </c>
      <c r="P9" s="21" t="e">
        <f>PLANTILLA!#REF!</f>
        <v>#REF!</v>
      </c>
      <c r="Q9" s="21" t="e">
        <f>PLANTILLA!#REF!</f>
        <v>#REF!</v>
      </c>
      <c r="R9" s="21" t="e">
        <f>PLANTILLA!#REF!</f>
        <v>#REF!</v>
      </c>
      <c r="S9" s="21" t="e">
        <f>PLANTILLA!#REF!</f>
        <v>#REF!</v>
      </c>
      <c r="T9" s="155">
        <v>0</v>
      </c>
      <c r="U9" s="155">
        <v>0</v>
      </c>
      <c r="V9" s="155">
        <v>0</v>
      </c>
      <c r="W9" s="155">
        <v>0.5</v>
      </c>
      <c r="X9" s="155">
        <v>0</v>
      </c>
      <c r="Y9" s="155">
        <v>0</v>
      </c>
      <c r="Z9" s="155">
        <v>0</v>
      </c>
      <c r="AA9" s="153">
        <v>20</v>
      </c>
      <c r="AB9" s="154" t="e">
        <f t="shared" si="22"/>
        <v>#REF!</v>
      </c>
      <c r="AC9" s="25" t="e">
        <f t="shared" si="21"/>
        <v>#REF!</v>
      </c>
      <c r="AD9" s="156" t="e">
        <f t="shared" si="10"/>
        <v>#REF!</v>
      </c>
      <c r="AE9" s="156" t="e">
        <f t="shared" si="11"/>
        <v>#REF!</v>
      </c>
      <c r="AF9" s="156" t="e">
        <f t="shared" si="12"/>
        <v>#REF!</v>
      </c>
      <c r="AG9" s="156">
        <v>11</v>
      </c>
      <c r="AH9" s="156" t="e">
        <f t="shared" si="14"/>
        <v>#REF!</v>
      </c>
      <c r="AI9" s="156" t="e">
        <f t="shared" si="15"/>
        <v>#REF!</v>
      </c>
      <c r="AJ9" s="156" t="e">
        <f t="shared" si="16"/>
        <v>#REF!</v>
      </c>
    </row>
    <row r="10" spans="1:36" ht="16.5" customHeight="1" x14ac:dyDescent="0.25">
      <c r="A10" s="15" t="str">
        <f>PLANTILLA!A10</f>
        <v>#9</v>
      </c>
      <c r="B10" s="15" t="str">
        <f>PLANTILLA!B10</f>
        <v>LAT</v>
      </c>
      <c r="C10" s="121">
        <f ca="1">PLANTILLA!C10</f>
        <v>10.508928571428571</v>
      </c>
      <c r="D10" s="28" t="str">
        <f>PLANTILLA!D10</f>
        <v>Francesc Añigas</v>
      </c>
      <c r="E10" s="16">
        <f>PLANTILLA!E10</f>
        <v>21</v>
      </c>
      <c r="F10" s="17">
        <f ca="1">PLANTILLA!F10</f>
        <v>55</v>
      </c>
      <c r="G10" s="18"/>
      <c r="H10" s="4">
        <f>PLANTILLA!H10</f>
        <v>5</v>
      </c>
      <c r="I10" s="27">
        <f>PLANTILLA!I10</f>
        <v>3.5</v>
      </c>
      <c r="J10" s="19">
        <f>PLANTILLA!O10</f>
        <v>5</v>
      </c>
      <c r="K10" s="6">
        <f t="shared" si="19"/>
        <v>87.5</v>
      </c>
      <c r="L10" s="6">
        <f t="shared" si="20"/>
        <v>126</v>
      </c>
      <c r="M10" s="21">
        <f>PLANTILLA!X10</f>
        <v>0</v>
      </c>
      <c r="N10" s="21">
        <f>PLANTILLA!Y10</f>
        <v>10</v>
      </c>
      <c r="O10" s="21">
        <f>PLANTILLA!Z10</f>
        <v>4</v>
      </c>
      <c r="P10" s="21">
        <f>PLANTILLA!AA10</f>
        <v>12.666666666666666</v>
      </c>
      <c r="Q10" s="21">
        <f>PLANTILLA!AB10</f>
        <v>4.25</v>
      </c>
      <c r="R10" s="21">
        <f>PLANTILLA!AC10</f>
        <v>7</v>
      </c>
      <c r="S10" s="21">
        <f>PLANTILLA!AD10</f>
        <v>3</v>
      </c>
      <c r="T10" s="155">
        <v>0</v>
      </c>
      <c r="U10" s="155">
        <v>0</v>
      </c>
      <c r="V10" s="155">
        <v>0</v>
      </c>
      <c r="W10" s="155">
        <v>1</v>
      </c>
      <c r="X10" s="155">
        <v>0</v>
      </c>
      <c r="Y10" s="155">
        <v>0</v>
      </c>
      <c r="Z10" s="155">
        <v>0</v>
      </c>
      <c r="AA10" s="153">
        <v>20</v>
      </c>
      <c r="AB10" s="154">
        <f t="shared" ca="1" si="22"/>
        <v>41</v>
      </c>
      <c r="AC10" s="25">
        <f t="shared" si="21"/>
        <v>3.5</v>
      </c>
      <c r="AD10" s="156">
        <f t="shared" si="10"/>
        <v>0</v>
      </c>
      <c r="AE10" s="156">
        <f t="shared" si="11"/>
        <v>10</v>
      </c>
      <c r="AF10" s="156">
        <f t="shared" si="12"/>
        <v>4</v>
      </c>
      <c r="AG10" s="156">
        <v>12</v>
      </c>
      <c r="AH10" s="156">
        <f t="shared" si="14"/>
        <v>4.25</v>
      </c>
      <c r="AI10" s="156">
        <f t="shared" si="15"/>
        <v>7</v>
      </c>
      <c r="AJ10" s="156">
        <f t="shared" si="16"/>
        <v>3</v>
      </c>
    </row>
    <row r="11" spans="1:36" ht="16.5" customHeight="1" x14ac:dyDescent="0.25">
      <c r="A11" s="15" t="str">
        <f>PLANTILLA!A11</f>
        <v>#3</v>
      </c>
      <c r="B11" s="15" t="str">
        <f>PLANTILLA!B11</f>
        <v>LAT</v>
      </c>
      <c r="C11" s="121">
        <f ca="1">PLANTILLA!C11</f>
        <v>10.857142857142858</v>
      </c>
      <c r="D11" s="28" t="str">
        <f>PLANTILLA!D11</f>
        <v>Will Duffill</v>
      </c>
      <c r="E11" s="16">
        <f>PLANTILLA!E11</f>
        <v>21</v>
      </c>
      <c r="F11" s="17">
        <f ca="1">PLANTILLA!F11</f>
        <v>16</v>
      </c>
      <c r="G11" s="18"/>
      <c r="H11" s="4">
        <f>PLANTILLA!H11</f>
        <v>3</v>
      </c>
      <c r="I11" s="27">
        <f>PLANTILLA!I11</f>
        <v>3.7</v>
      </c>
      <c r="J11" s="19">
        <f>PLANTILLA!O11</f>
        <v>5</v>
      </c>
      <c r="K11" s="6">
        <f t="shared" si="19"/>
        <v>33.300000000000004</v>
      </c>
      <c r="L11" s="6">
        <f t="shared" si="20"/>
        <v>59.2</v>
      </c>
      <c r="M11" s="21">
        <f>PLANTILLA!X11</f>
        <v>0</v>
      </c>
      <c r="N11" s="21">
        <f>PLANTILLA!Y11</f>
        <v>9</v>
      </c>
      <c r="O11" s="21">
        <f>PLANTILLA!Z11</f>
        <v>3</v>
      </c>
      <c r="P11" s="21">
        <f>PLANTILLA!AA11</f>
        <v>13</v>
      </c>
      <c r="Q11" s="21">
        <f>PLANTILLA!AB11</f>
        <v>7</v>
      </c>
      <c r="R11" s="21">
        <f>PLANTILLA!AC11</f>
        <v>7</v>
      </c>
      <c r="S11" s="21">
        <f>PLANTILLA!AD11</f>
        <v>3</v>
      </c>
      <c r="T11" s="155">
        <v>0</v>
      </c>
      <c r="U11" s="155">
        <v>0</v>
      </c>
      <c r="V11" s="155">
        <v>0</v>
      </c>
      <c r="W11" s="155">
        <v>1</v>
      </c>
      <c r="X11" s="155">
        <v>0</v>
      </c>
      <c r="Y11" s="155">
        <v>0</v>
      </c>
      <c r="Z11" s="155">
        <v>0</v>
      </c>
      <c r="AA11" s="153">
        <v>20</v>
      </c>
      <c r="AB11" s="154">
        <f t="shared" ca="1" si="22"/>
        <v>2</v>
      </c>
      <c r="AC11" s="25">
        <f t="shared" si="21"/>
        <v>3.7</v>
      </c>
      <c r="AD11" s="156">
        <f t="shared" si="10"/>
        <v>0</v>
      </c>
      <c r="AE11" s="156">
        <f t="shared" si="11"/>
        <v>9</v>
      </c>
      <c r="AF11" s="156">
        <f t="shared" si="12"/>
        <v>3</v>
      </c>
      <c r="AG11" s="156">
        <f>12+1/5</f>
        <v>12.2</v>
      </c>
      <c r="AH11" s="156">
        <f t="shared" si="14"/>
        <v>7</v>
      </c>
      <c r="AI11" s="156">
        <f t="shared" si="15"/>
        <v>7</v>
      </c>
      <c r="AJ11" s="156">
        <f t="shared" si="16"/>
        <v>3</v>
      </c>
    </row>
    <row r="12" spans="1:36" ht="16.5" customHeight="1" x14ac:dyDescent="0.25">
      <c r="A12" s="15" t="str">
        <f>PLANTILLA!A12</f>
        <v>#5</v>
      </c>
      <c r="B12" s="15" t="str">
        <f>PLANTILLA!B12</f>
        <v>LAT</v>
      </c>
      <c r="C12" s="121">
        <f ca="1">PLANTILLA!C12</f>
        <v>10.508928571428571</v>
      </c>
      <c r="D12" s="28" t="str">
        <f>PLANTILLA!D12</f>
        <v>Valeri Gomis</v>
      </c>
      <c r="E12" s="16">
        <f>PLANTILLA!E12</f>
        <v>21</v>
      </c>
      <c r="F12" s="17">
        <f ca="1">PLANTILLA!F12</f>
        <v>55</v>
      </c>
      <c r="G12" s="18"/>
      <c r="H12" s="4">
        <f>PLANTILLA!H12</f>
        <v>6</v>
      </c>
      <c r="I12" s="27">
        <f>PLANTILLA!I12</f>
        <v>3.7</v>
      </c>
      <c r="J12" s="19">
        <f>PLANTILLA!O12</f>
        <v>5.0999999999999996</v>
      </c>
      <c r="K12" s="6">
        <f t="shared" si="19"/>
        <v>133.20000000000002</v>
      </c>
      <c r="L12" s="6">
        <f t="shared" si="20"/>
        <v>181.3</v>
      </c>
      <c r="M12" s="21">
        <f>PLANTILLA!X12</f>
        <v>0</v>
      </c>
      <c r="N12" s="21">
        <f>PLANTILLA!Y12</f>
        <v>8.4</v>
      </c>
      <c r="O12" s="21">
        <f>PLANTILLA!Z12</f>
        <v>3</v>
      </c>
      <c r="P12" s="21">
        <f>PLANTILLA!AA12</f>
        <v>12</v>
      </c>
      <c r="Q12" s="21">
        <f>PLANTILLA!AB12</f>
        <v>6.0000000000000009</v>
      </c>
      <c r="R12" s="21">
        <f>PLANTILLA!AC12</f>
        <v>7.25</v>
      </c>
      <c r="S12" s="21">
        <f>PLANTILLA!AD12</f>
        <v>3</v>
      </c>
      <c r="T12" s="155">
        <v>0</v>
      </c>
      <c r="U12" s="155">
        <v>0</v>
      </c>
      <c r="V12" s="155">
        <v>0</v>
      </c>
      <c r="W12" s="155">
        <v>0.5</v>
      </c>
      <c r="X12" s="155">
        <v>0</v>
      </c>
      <c r="Y12" s="155">
        <v>0</v>
      </c>
      <c r="Z12" s="155">
        <v>0</v>
      </c>
      <c r="AA12" s="153">
        <v>20</v>
      </c>
      <c r="AB12" s="154">
        <f t="shared" ca="1" si="22"/>
        <v>41</v>
      </c>
      <c r="AC12" s="25">
        <f t="shared" si="21"/>
        <v>3.7</v>
      </c>
      <c r="AD12" s="156">
        <f t="shared" si="10"/>
        <v>0</v>
      </c>
      <c r="AE12" s="156">
        <f t="shared" si="11"/>
        <v>8.4</v>
      </c>
      <c r="AF12" s="156">
        <f t="shared" si="12"/>
        <v>3</v>
      </c>
      <c r="AG12" s="156">
        <f>11+4/10</f>
        <v>11.4</v>
      </c>
      <c r="AH12" s="156">
        <f t="shared" si="14"/>
        <v>6.0000000000000009</v>
      </c>
      <c r="AI12" s="156">
        <f t="shared" si="15"/>
        <v>7.25</v>
      </c>
      <c r="AJ12" s="156">
        <f t="shared" si="16"/>
        <v>3</v>
      </c>
    </row>
    <row r="13" spans="1:36" ht="16.5" customHeight="1" x14ac:dyDescent="0.25">
      <c r="A13" s="15" t="e">
        <f>PLANTILLA!#REF!</f>
        <v>#REF!</v>
      </c>
      <c r="B13" s="15" t="e">
        <f>PLANTILLA!#REF!</f>
        <v>#REF!</v>
      </c>
      <c r="C13" s="121" t="e">
        <f>PLANTILLA!#REF!</f>
        <v>#REF!</v>
      </c>
      <c r="D13" s="28" t="e">
        <f>PLANTILLA!#REF!</f>
        <v>#REF!</v>
      </c>
      <c r="E13" s="16" t="e">
        <f>PLANTILLA!#REF!</f>
        <v>#REF!</v>
      </c>
      <c r="F13" s="17" t="e">
        <f>PLANTILLA!#REF!</f>
        <v>#REF!</v>
      </c>
      <c r="G13" s="18"/>
      <c r="H13" s="4" t="e">
        <f>PLANTILLA!#REF!</f>
        <v>#REF!</v>
      </c>
      <c r="I13" s="27" t="e">
        <f>PLANTILLA!#REF!</f>
        <v>#REF!</v>
      </c>
      <c r="J13" s="19" t="e">
        <f>PLANTILLA!#REF!</f>
        <v>#REF!</v>
      </c>
      <c r="K13" s="6" t="e">
        <f t="shared" si="19"/>
        <v>#REF!</v>
      </c>
      <c r="L13" s="6" t="e">
        <f t="shared" si="20"/>
        <v>#REF!</v>
      </c>
      <c r="M13" s="21" t="e">
        <f>PLANTILLA!#REF!</f>
        <v>#REF!</v>
      </c>
      <c r="N13" s="21" t="e">
        <f>PLANTILLA!#REF!</f>
        <v>#REF!</v>
      </c>
      <c r="O13" s="21" t="e">
        <f>PLANTILLA!#REF!</f>
        <v>#REF!</v>
      </c>
      <c r="P13" s="21" t="e">
        <f>PLANTILLA!#REF!</f>
        <v>#REF!</v>
      </c>
      <c r="Q13" s="21" t="e">
        <f>PLANTILLA!#REF!</f>
        <v>#REF!</v>
      </c>
      <c r="R13" s="21" t="e">
        <f>PLANTILLA!#REF!</f>
        <v>#REF!</v>
      </c>
      <c r="S13" s="21" t="e">
        <f>PLANTILLA!#REF!</f>
        <v>#REF!</v>
      </c>
      <c r="T13" s="155">
        <v>0</v>
      </c>
      <c r="U13" s="155">
        <v>0</v>
      </c>
      <c r="V13" s="155">
        <v>0</v>
      </c>
      <c r="W13" s="155">
        <v>0.5</v>
      </c>
      <c r="X13" s="155">
        <v>0</v>
      </c>
      <c r="Y13" s="155">
        <v>0</v>
      </c>
      <c r="Z13" s="155">
        <v>0</v>
      </c>
      <c r="AA13" s="153">
        <v>20</v>
      </c>
      <c r="AB13" s="154" t="e">
        <f t="shared" si="22"/>
        <v>#REF!</v>
      </c>
      <c r="AC13" s="25" t="e">
        <f t="shared" si="21"/>
        <v>#REF!</v>
      </c>
      <c r="AD13" s="156" t="e">
        <f t="shared" si="10"/>
        <v>#REF!</v>
      </c>
      <c r="AE13" s="156" t="e">
        <f t="shared" si="11"/>
        <v>#REF!</v>
      </c>
      <c r="AF13" s="156" t="e">
        <f t="shared" si="12"/>
        <v>#REF!</v>
      </c>
      <c r="AG13" s="156">
        <f>9+6/7</f>
        <v>9.8571428571428577</v>
      </c>
      <c r="AH13" s="156" t="e">
        <f t="shared" si="14"/>
        <v>#REF!</v>
      </c>
      <c r="AI13" s="156" t="e">
        <f t="shared" si="15"/>
        <v>#REF!</v>
      </c>
      <c r="AJ13" s="156" t="e">
        <f t="shared" si="16"/>
        <v>#REF!</v>
      </c>
    </row>
    <row r="14" spans="1:36" ht="16.5" customHeight="1" x14ac:dyDescent="0.25">
      <c r="A14" s="15" t="e">
        <f>PLANTILLA!#REF!</f>
        <v>#REF!</v>
      </c>
      <c r="B14" s="15" t="e">
        <f>PLANTILLA!#REF!</f>
        <v>#REF!</v>
      </c>
      <c r="C14" s="121" t="e">
        <f>PLANTILLA!#REF!</f>
        <v>#REF!</v>
      </c>
      <c r="D14" s="28" t="e">
        <f>PLANTILLA!#REF!</f>
        <v>#REF!</v>
      </c>
      <c r="E14" s="16" t="e">
        <f>PLANTILLA!#REF!</f>
        <v>#REF!</v>
      </c>
      <c r="F14" s="17" t="e">
        <f>PLANTILLA!#REF!</f>
        <v>#REF!</v>
      </c>
      <c r="G14" s="18"/>
      <c r="H14" s="4" t="e">
        <f>PLANTILLA!#REF!</f>
        <v>#REF!</v>
      </c>
      <c r="I14" s="27" t="e">
        <f>PLANTILLA!#REF!</f>
        <v>#REF!</v>
      </c>
      <c r="J14" s="19" t="e">
        <f>PLANTILLA!#REF!</f>
        <v>#REF!</v>
      </c>
      <c r="K14" s="6" t="e">
        <f t="shared" si="19"/>
        <v>#REF!</v>
      </c>
      <c r="L14" s="6" t="e">
        <f t="shared" si="20"/>
        <v>#REF!</v>
      </c>
      <c r="M14" s="21" t="e">
        <f>PLANTILLA!#REF!</f>
        <v>#REF!</v>
      </c>
      <c r="N14" s="21" t="e">
        <f>PLANTILLA!#REF!</f>
        <v>#REF!</v>
      </c>
      <c r="O14" s="21" t="e">
        <f>PLANTILLA!#REF!</f>
        <v>#REF!</v>
      </c>
      <c r="P14" s="21" t="e">
        <f>PLANTILLA!#REF!</f>
        <v>#REF!</v>
      </c>
      <c r="Q14" s="21" t="e">
        <f>PLANTILLA!#REF!</f>
        <v>#REF!</v>
      </c>
      <c r="R14" s="21" t="e">
        <f>PLANTILLA!#REF!</f>
        <v>#REF!</v>
      </c>
      <c r="S14" s="21" t="e">
        <f>PLANTILLA!#REF!</f>
        <v>#REF!</v>
      </c>
      <c r="T14" s="155">
        <v>0</v>
      </c>
      <c r="U14" s="155">
        <v>0</v>
      </c>
      <c r="V14" s="155">
        <v>0</v>
      </c>
      <c r="W14" s="155">
        <v>0</v>
      </c>
      <c r="X14" s="155">
        <v>0</v>
      </c>
      <c r="Y14" s="155">
        <v>0</v>
      </c>
      <c r="Z14" s="155">
        <v>0</v>
      </c>
      <c r="AA14" s="153">
        <v>20</v>
      </c>
      <c r="AB14" s="154" t="e">
        <f t="shared" si="22"/>
        <v>#REF!</v>
      </c>
      <c r="AC14" s="25" t="e">
        <f t="shared" si="21"/>
        <v>#REF!</v>
      </c>
      <c r="AD14" s="156" t="e">
        <f t="shared" si="10"/>
        <v>#REF!</v>
      </c>
      <c r="AE14" s="156" t="e">
        <f t="shared" si="11"/>
        <v>#REF!</v>
      </c>
      <c r="AF14" s="156" t="e">
        <f t="shared" si="12"/>
        <v>#REF!</v>
      </c>
      <c r="AG14" s="156" t="e">
        <f t="shared" si="13"/>
        <v>#REF!</v>
      </c>
      <c r="AH14" s="156" t="e">
        <f t="shared" si="14"/>
        <v>#REF!</v>
      </c>
      <c r="AI14" s="156" t="e">
        <f t="shared" si="15"/>
        <v>#REF!</v>
      </c>
      <c r="AJ14" s="156" t="e">
        <f t="shared" si="16"/>
        <v>#REF!</v>
      </c>
    </row>
    <row r="15" spans="1:36" ht="16.5" customHeight="1" x14ac:dyDescent="0.25">
      <c r="A15" s="15" t="str">
        <f>PLANTILLA!A13</f>
        <v>#23</v>
      </c>
      <c r="B15" s="15" t="str">
        <f>PLANTILLA!B13</f>
        <v>LAT</v>
      </c>
      <c r="C15" s="121">
        <f ca="1">PLANTILLA!C13</f>
        <v>10.544642857142858</v>
      </c>
      <c r="D15" s="28" t="str">
        <f>PLANTILLA!D13</f>
        <v>Eckardt Hägerling</v>
      </c>
      <c r="E15" s="16">
        <f>PLANTILLA!E13</f>
        <v>21</v>
      </c>
      <c r="F15" s="17">
        <f ca="1">PLANTILLA!F13</f>
        <v>51</v>
      </c>
      <c r="G15" s="18"/>
      <c r="H15" s="4">
        <f>PLANTILLA!H13</f>
        <v>3</v>
      </c>
      <c r="I15" s="27">
        <f>PLANTILLA!I13</f>
        <v>2.2000000000000002</v>
      </c>
      <c r="J15" s="19">
        <f>PLANTILLA!O13</f>
        <v>4.5999999999999996</v>
      </c>
      <c r="K15" s="6">
        <f t="shared" si="19"/>
        <v>19.8</v>
      </c>
      <c r="L15" s="6">
        <f t="shared" si="20"/>
        <v>35.200000000000003</v>
      </c>
      <c r="M15" s="21">
        <f>PLANTILLA!X13</f>
        <v>0</v>
      </c>
      <c r="N15" s="21">
        <f>PLANTILLA!Y13</f>
        <v>6</v>
      </c>
      <c r="O15" s="21">
        <f>PLANTILLA!Z13</f>
        <v>3</v>
      </c>
      <c r="P15" s="21">
        <f>PLANTILLA!AA13</f>
        <v>6.15</v>
      </c>
      <c r="Q15" s="21">
        <f>PLANTILLA!AB13</f>
        <v>3</v>
      </c>
      <c r="R15" s="21">
        <f>PLANTILLA!AC13</f>
        <v>4.6633333333333322</v>
      </c>
      <c r="S15" s="21">
        <f>PLANTILLA!AD13</f>
        <v>3</v>
      </c>
      <c r="T15" s="155">
        <v>0</v>
      </c>
      <c r="U15" s="155">
        <v>0</v>
      </c>
      <c r="V15" s="155">
        <v>0</v>
      </c>
      <c r="W15" s="155">
        <v>0</v>
      </c>
      <c r="X15" s="155">
        <v>0</v>
      </c>
      <c r="Y15" s="155">
        <v>0</v>
      </c>
      <c r="Z15" s="155">
        <v>0</v>
      </c>
      <c r="AA15" s="153">
        <v>20</v>
      </c>
      <c r="AB15" s="154">
        <f t="shared" ca="1" si="22"/>
        <v>37</v>
      </c>
      <c r="AC15" s="25">
        <f t="shared" si="21"/>
        <v>2.2000000000000002</v>
      </c>
      <c r="AD15" s="156">
        <f t="shared" si="10"/>
        <v>0</v>
      </c>
      <c r="AE15" s="156">
        <f t="shared" si="11"/>
        <v>6</v>
      </c>
      <c r="AF15" s="156">
        <f t="shared" si="12"/>
        <v>3</v>
      </c>
      <c r="AG15" s="156">
        <f t="shared" si="13"/>
        <v>6.15</v>
      </c>
      <c r="AH15" s="156">
        <f t="shared" si="14"/>
        <v>3</v>
      </c>
      <c r="AI15" s="156">
        <f t="shared" si="15"/>
        <v>4.6633333333333322</v>
      </c>
      <c r="AJ15" s="156">
        <f t="shared" si="16"/>
        <v>3</v>
      </c>
    </row>
    <row r="16" spans="1:36" ht="16.5" customHeight="1" x14ac:dyDescent="0.25">
      <c r="A16" s="15" t="str">
        <f>PLANTILLA!A16</f>
        <v>#21</v>
      </c>
      <c r="B16" s="15" t="str">
        <f>PLANTILLA!B16</f>
        <v>MED</v>
      </c>
      <c r="C16" s="121">
        <f ca="1">PLANTILLA!C16</f>
        <v>10.178571428571429</v>
      </c>
      <c r="D16" s="28" t="str">
        <f>PLANTILLA!D16</f>
        <v>Fernando Gazón</v>
      </c>
      <c r="E16" s="16">
        <f>PLANTILLA!E16</f>
        <v>21</v>
      </c>
      <c r="F16" s="17">
        <f ca="1">PLANTILLA!F16</f>
        <v>92</v>
      </c>
      <c r="G16" s="18"/>
      <c r="H16" s="4">
        <f>PLANTILLA!H16</f>
        <v>3</v>
      </c>
      <c r="I16" s="27">
        <f>PLANTILLA!I16</f>
        <v>2.5</v>
      </c>
      <c r="J16" s="19">
        <f>PLANTILLA!O16</f>
        <v>5</v>
      </c>
      <c r="K16" s="6">
        <f t="shared" si="19"/>
        <v>22.5</v>
      </c>
      <c r="L16" s="6">
        <f t="shared" si="20"/>
        <v>40</v>
      </c>
      <c r="M16" s="21">
        <f>PLANTILLA!X16</f>
        <v>0</v>
      </c>
      <c r="N16" s="21">
        <f>PLANTILLA!Y16</f>
        <v>3</v>
      </c>
      <c r="O16" s="21">
        <f>PLANTILLA!Z16</f>
        <v>6</v>
      </c>
      <c r="P16" s="21">
        <f>PLANTILLA!AA16</f>
        <v>6</v>
      </c>
      <c r="Q16" s="21">
        <f>PLANTILLA!AB16</f>
        <v>4.25</v>
      </c>
      <c r="R16" s="21">
        <f>PLANTILLA!AC16</f>
        <v>5.6190261437908475</v>
      </c>
      <c r="S16" s="21">
        <f>PLANTILLA!AD16</f>
        <v>3</v>
      </c>
      <c r="T16" s="155">
        <v>0</v>
      </c>
      <c r="U16" s="155">
        <v>0</v>
      </c>
      <c r="V16" s="155">
        <v>0</v>
      </c>
      <c r="W16" s="155">
        <v>0</v>
      </c>
      <c r="X16" s="155">
        <v>0</v>
      </c>
      <c r="Y16" s="155">
        <v>0</v>
      </c>
      <c r="Z16" s="155">
        <v>0</v>
      </c>
      <c r="AA16" s="153">
        <v>20</v>
      </c>
      <c r="AB16" s="154">
        <f t="shared" ca="1" si="22"/>
        <v>78</v>
      </c>
      <c r="AC16" s="25">
        <f t="shared" si="21"/>
        <v>2.5</v>
      </c>
      <c r="AD16" s="156">
        <f t="shared" si="10"/>
        <v>0</v>
      </c>
      <c r="AE16" s="156">
        <f t="shared" si="11"/>
        <v>3</v>
      </c>
      <c r="AF16" s="156">
        <f t="shared" si="12"/>
        <v>6</v>
      </c>
      <c r="AG16" s="156">
        <f t="shared" si="13"/>
        <v>6</v>
      </c>
      <c r="AH16" s="156">
        <f t="shared" si="14"/>
        <v>4.25</v>
      </c>
      <c r="AI16" s="156">
        <f t="shared" si="15"/>
        <v>5.6190261437908475</v>
      </c>
      <c r="AJ16" s="156">
        <f t="shared" si="16"/>
        <v>3</v>
      </c>
    </row>
    <row r="17" spans="1:36" ht="16.5" customHeight="1" x14ac:dyDescent="0.25">
      <c r="A17" s="15" t="str">
        <f>PLANTILLA!A14</f>
        <v>#12</v>
      </c>
      <c r="B17" s="15" t="str">
        <f>PLANTILLA!B14</f>
        <v>MED</v>
      </c>
      <c r="C17" s="121">
        <f ca="1">PLANTILLA!C14</f>
        <v>3.2053571428571428</v>
      </c>
      <c r="D17" s="28" t="str">
        <f>PLANTILLA!D14</f>
        <v>Jurgen Muësen</v>
      </c>
      <c r="E17" s="16">
        <f>PLANTILLA!E14</f>
        <v>28</v>
      </c>
      <c r="F17" s="17">
        <f ca="1">PLANTILLA!F14</f>
        <v>89</v>
      </c>
      <c r="G17" s="18"/>
      <c r="H17" s="4">
        <f>PLANTILLA!H14</f>
        <v>3</v>
      </c>
      <c r="I17" s="27">
        <f>PLANTILLA!I14</f>
        <v>5.5</v>
      </c>
      <c r="J17" s="19">
        <f>PLANTILLA!O14</f>
        <v>5.7</v>
      </c>
      <c r="K17" s="6">
        <f t="shared" si="19"/>
        <v>49.5</v>
      </c>
      <c r="L17" s="6">
        <f t="shared" si="20"/>
        <v>88</v>
      </c>
      <c r="M17" s="21">
        <f>PLANTILLA!X14</f>
        <v>0</v>
      </c>
      <c r="N17" s="21">
        <f>PLANTILLA!Y14</f>
        <v>6</v>
      </c>
      <c r="O17" s="21">
        <f>PLANTILLA!Z14</f>
        <v>9</v>
      </c>
      <c r="P17" s="21">
        <f>PLANTILLA!AA14</f>
        <v>6.2</v>
      </c>
      <c r="Q17" s="21">
        <f>PLANTILLA!AB14</f>
        <v>7</v>
      </c>
      <c r="R17" s="21">
        <f>PLANTILLA!AC14</f>
        <v>2</v>
      </c>
      <c r="S17" s="21">
        <f>PLANTILLA!AD14</f>
        <v>4</v>
      </c>
      <c r="T17" s="155">
        <v>0</v>
      </c>
      <c r="U17" s="155">
        <v>0</v>
      </c>
      <c r="V17" s="155">
        <v>0</v>
      </c>
      <c r="W17" s="155">
        <v>0</v>
      </c>
      <c r="X17" s="155">
        <v>0</v>
      </c>
      <c r="Y17" s="155">
        <v>0</v>
      </c>
      <c r="Z17" s="155">
        <v>0</v>
      </c>
      <c r="AA17" s="153">
        <v>20</v>
      </c>
      <c r="AB17" s="154">
        <f t="shared" ca="1" si="22"/>
        <v>75</v>
      </c>
      <c r="AC17" s="25">
        <f t="shared" si="21"/>
        <v>5.5</v>
      </c>
      <c r="AD17" s="156">
        <f t="shared" si="10"/>
        <v>0</v>
      </c>
      <c r="AE17" s="156">
        <f t="shared" si="11"/>
        <v>6</v>
      </c>
      <c r="AF17" s="156">
        <f t="shared" si="12"/>
        <v>9</v>
      </c>
      <c r="AG17" s="156">
        <f t="shared" si="13"/>
        <v>6.2</v>
      </c>
      <c r="AH17" s="156">
        <f t="shared" si="14"/>
        <v>7</v>
      </c>
      <c r="AI17" s="156">
        <f t="shared" si="15"/>
        <v>2</v>
      </c>
      <c r="AJ17" s="156">
        <f t="shared" si="16"/>
        <v>4</v>
      </c>
    </row>
    <row r="18" spans="1:36" ht="16.5" customHeight="1" x14ac:dyDescent="0.25">
      <c r="A18" s="15" t="e">
        <f>PLANTILLA!#REF!</f>
        <v>#REF!</v>
      </c>
      <c r="B18" s="15" t="e">
        <f>PLANTILLA!#REF!</f>
        <v>#REF!</v>
      </c>
      <c r="C18" s="121" t="e">
        <f>PLANTILLA!#REF!</f>
        <v>#REF!</v>
      </c>
      <c r="D18" s="28" t="e">
        <f>PLANTILLA!#REF!</f>
        <v>#REF!</v>
      </c>
      <c r="E18" s="16" t="e">
        <f>PLANTILLA!#REF!</f>
        <v>#REF!</v>
      </c>
      <c r="F18" s="17" t="e">
        <f>PLANTILLA!#REF!</f>
        <v>#REF!</v>
      </c>
      <c r="G18" s="18"/>
      <c r="H18" s="4" t="e">
        <f>PLANTILLA!#REF!</f>
        <v>#REF!</v>
      </c>
      <c r="I18" s="27" t="e">
        <f>PLANTILLA!#REF!</f>
        <v>#REF!</v>
      </c>
      <c r="J18" s="19" t="e">
        <f>PLANTILLA!#REF!</f>
        <v>#REF!</v>
      </c>
      <c r="K18" s="6" t="e">
        <f t="shared" si="19"/>
        <v>#REF!</v>
      </c>
      <c r="L18" s="6" t="e">
        <f t="shared" si="20"/>
        <v>#REF!</v>
      </c>
      <c r="M18" s="21" t="e">
        <f>PLANTILLA!#REF!</f>
        <v>#REF!</v>
      </c>
      <c r="N18" s="21" t="e">
        <f>PLANTILLA!#REF!</f>
        <v>#REF!</v>
      </c>
      <c r="O18" s="21" t="e">
        <f>PLANTILLA!#REF!</f>
        <v>#REF!</v>
      </c>
      <c r="P18" s="21" t="e">
        <f>PLANTILLA!#REF!</f>
        <v>#REF!</v>
      </c>
      <c r="Q18" s="21" t="e">
        <f>PLANTILLA!#REF!</f>
        <v>#REF!</v>
      </c>
      <c r="R18" s="21" t="e">
        <f>PLANTILLA!#REF!</f>
        <v>#REF!</v>
      </c>
      <c r="S18" s="21" t="e">
        <f>PLANTILLA!#REF!</f>
        <v>#REF!</v>
      </c>
      <c r="T18" s="155">
        <v>0</v>
      </c>
      <c r="U18" s="155">
        <v>0</v>
      </c>
      <c r="V18" s="155">
        <v>0</v>
      </c>
      <c r="W18" s="155">
        <v>0</v>
      </c>
      <c r="X18" s="155">
        <v>0</v>
      </c>
      <c r="Y18" s="155">
        <v>0</v>
      </c>
      <c r="Z18" s="155">
        <v>0</v>
      </c>
      <c r="AA18" s="153">
        <v>20</v>
      </c>
      <c r="AB18" s="154" t="e">
        <f t="shared" si="22"/>
        <v>#REF!</v>
      </c>
      <c r="AC18" s="25" t="e">
        <f t="shared" si="21"/>
        <v>#REF!</v>
      </c>
      <c r="AD18" s="156" t="e">
        <f t="shared" si="10"/>
        <v>#REF!</v>
      </c>
      <c r="AE18" s="156" t="e">
        <f t="shared" si="11"/>
        <v>#REF!</v>
      </c>
      <c r="AF18" s="156" t="e">
        <f t="shared" si="12"/>
        <v>#REF!</v>
      </c>
      <c r="AG18" s="156" t="e">
        <f t="shared" si="13"/>
        <v>#REF!</v>
      </c>
      <c r="AH18" s="156" t="e">
        <f t="shared" si="14"/>
        <v>#REF!</v>
      </c>
      <c r="AI18" s="156" t="e">
        <f t="shared" si="15"/>
        <v>#REF!</v>
      </c>
      <c r="AJ18" s="156" t="e">
        <f t="shared" si="16"/>
        <v>#REF!</v>
      </c>
    </row>
    <row r="19" spans="1:36" ht="16.5" customHeight="1" x14ac:dyDescent="0.25">
      <c r="A19" s="15" t="str">
        <f>PLANTILLA!A15</f>
        <v>#26</v>
      </c>
      <c r="B19" s="15" t="str">
        <f>PLANTILLA!B15</f>
        <v>MED</v>
      </c>
      <c r="C19" s="121">
        <f ca="1">PLANTILLA!C15</f>
        <v>1.7767857142857142</v>
      </c>
      <c r="D19" s="28" t="str">
        <f>PLANTILLA!D15</f>
        <v>Fabien Fabre</v>
      </c>
      <c r="E19" s="16">
        <f>PLANTILLA!E15</f>
        <v>30</v>
      </c>
      <c r="F19" s="17">
        <f ca="1">PLANTILLA!F15</f>
        <v>25</v>
      </c>
      <c r="G19" s="18"/>
      <c r="H19" s="4">
        <f>PLANTILLA!H15</f>
        <v>5</v>
      </c>
      <c r="I19" s="27">
        <f>PLANTILLA!I15</f>
        <v>4.8</v>
      </c>
      <c r="J19" s="19">
        <f>PLANTILLA!O15</f>
        <v>5.6</v>
      </c>
      <c r="K19" s="6">
        <f t="shared" si="19"/>
        <v>120</v>
      </c>
      <c r="L19" s="6">
        <f t="shared" si="20"/>
        <v>172.79999999999998</v>
      </c>
      <c r="M19" s="21">
        <f>PLANTILLA!X15</f>
        <v>0</v>
      </c>
      <c r="N19" s="21">
        <f>PLANTILLA!Y15</f>
        <v>5</v>
      </c>
      <c r="O19" s="21">
        <f>PLANTILLA!Z15</f>
        <v>11</v>
      </c>
      <c r="P19" s="21">
        <f>PLANTILLA!AA15</f>
        <v>2</v>
      </c>
      <c r="Q19" s="21">
        <f>PLANTILLA!AB15</f>
        <v>4</v>
      </c>
      <c r="R19" s="21">
        <f>PLANTILLA!AC15</f>
        <v>5</v>
      </c>
      <c r="S19" s="21">
        <f>PLANTILLA!AD15</f>
        <v>12</v>
      </c>
      <c r="T19" s="155">
        <v>0</v>
      </c>
      <c r="U19" s="155">
        <v>0</v>
      </c>
      <c r="V19" s="155">
        <v>0</v>
      </c>
      <c r="W19" s="155">
        <v>0</v>
      </c>
      <c r="X19" s="155">
        <v>0</v>
      </c>
      <c r="Y19" s="155">
        <v>0</v>
      </c>
      <c r="Z19" s="155">
        <v>0</v>
      </c>
      <c r="AA19" s="153">
        <v>20</v>
      </c>
      <c r="AB19" s="154">
        <f t="shared" ca="1" si="22"/>
        <v>11</v>
      </c>
      <c r="AC19" s="25">
        <f t="shared" si="21"/>
        <v>4.8</v>
      </c>
      <c r="AD19" s="156">
        <f t="shared" si="10"/>
        <v>0</v>
      </c>
      <c r="AE19" s="156">
        <f t="shared" si="11"/>
        <v>5</v>
      </c>
      <c r="AF19" s="156">
        <f t="shared" si="12"/>
        <v>11</v>
      </c>
      <c r="AG19" s="156">
        <f t="shared" si="13"/>
        <v>2</v>
      </c>
      <c r="AH19" s="156">
        <f t="shared" si="14"/>
        <v>4</v>
      </c>
      <c r="AI19" s="156">
        <f t="shared" si="15"/>
        <v>5</v>
      </c>
      <c r="AJ19" s="156">
        <f t="shared" si="16"/>
        <v>12</v>
      </c>
    </row>
    <row r="20" spans="1:36" ht="16.5" customHeight="1" x14ac:dyDescent="0.25">
      <c r="A20" s="15" t="str">
        <f>PLANTILLA!A17</f>
        <v>#8</v>
      </c>
      <c r="B20" s="15" t="str">
        <f>PLANTILLA!B17</f>
        <v>EXT</v>
      </c>
      <c r="C20" s="121">
        <f ca="1">PLANTILLA!C17</f>
        <v>10.544642857142858</v>
      </c>
      <c r="D20" s="28" t="str">
        <f>PLANTILLA!D17</f>
        <v>Enrique Cubas</v>
      </c>
      <c r="E20" s="16">
        <f>PLANTILLA!E17</f>
        <v>21</v>
      </c>
      <c r="F20" s="17">
        <f ca="1">PLANTILLA!F17</f>
        <v>51</v>
      </c>
      <c r="G20" s="18"/>
      <c r="H20" s="4">
        <f>PLANTILLA!H17</f>
        <v>1</v>
      </c>
      <c r="I20" s="27">
        <f>PLANTILLA!I17</f>
        <v>3.9</v>
      </c>
      <c r="J20" s="19">
        <f>PLANTILLA!O17</f>
        <v>5.3</v>
      </c>
      <c r="K20" s="6">
        <f t="shared" si="19"/>
        <v>3.9</v>
      </c>
      <c r="L20" s="6">
        <f t="shared" si="20"/>
        <v>15.6</v>
      </c>
      <c r="M20" s="21">
        <f>PLANTILLA!X17</f>
        <v>0</v>
      </c>
      <c r="N20" s="21">
        <f>PLANTILLA!Y17</f>
        <v>6.25</v>
      </c>
      <c r="O20" s="21">
        <f>PLANTILLA!Z17</f>
        <v>5.7</v>
      </c>
      <c r="P20" s="21">
        <f>PLANTILLA!AA17</f>
        <v>14.124999999999996</v>
      </c>
      <c r="Q20" s="21">
        <f>PLANTILLA!AB17</f>
        <v>6</v>
      </c>
      <c r="R20" s="21">
        <f>PLANTILLA!AC17</f>
        <v>7.5</v>
      </c>
      <c r="S20" s="21">
        <f>PLANTILLA!AD17</f>
        <v>5</v>
      </c>
      <c r="T20" s="155">
        <v>0</v>
      </c>
      <c r="U20" s="155">
        <v>0</v>
      </c>
      <c r="V20" s="155">
        <v>0</v>
      </c>
      <c r="W20" s="155">
        <v>1</v>
      </c>
      <c r="X20" s="155">
        <v>0</v>
      </c>
      <c r="Y20" s="155">
        <v>0</v>
      </c>
      <c r="Z20" s="155">
        <v>0</v>
      </c>
      <c r="AA20" s="153">
        <v>20</v>
      </c>
      <c r="AB20" s="154">
        <f t="shared" ca="1" si="22"/>
        <v>37</v>
      </c>
      <c r="AC20" s="25">
        <f t="shared" si="21"/>
        <v>3.9</v>
      </c>
      <c r="AD20" s="156">
        <f t="shared" si="10"/>
        <v>0</v>
      </c>
      <c r="AE20" s="156">
        <f t="shared" si="11"/>
        <v>6.25</v>
      </c>
      <c r="AF20" s="156">
        <f t="shared" si="12"/>
        <v>5.7</v>
      </c>
      <c r="AG20" s="156">
        <f>13+4/7</f>
        <v>13.571428571428571</v>
      </c>
      <c r="AH20" s="156">
        <f t="shared" si="14"/>
        <v>6</v>
      </c>
      <c r="AI20" s="156">
        <f t="shared" si="15"/>
        <v>7.5</v>
      </c>
      <c r="AJ20" s="156">
        <f t="shared" si="16"/>
        <v>5</v>
      </c>
    </row>
    <row r="21" spans="1:36" ht="16.5" customHeight="1" x14ac:dyDescent="0.25">
      <c r="A21" s="15" t="str">
        <f>PLANTILLA!A18</f>
        <v>#11</v>
      </c>
      <c r="B21" s="15" t="str">
        <f>PLANTILLA!B18</f>
        <v>EXT</v>
      </c>
      <c r="C21" s="121">
        <f ca="1">PLANTILLA!C18</f>
        <v>10.544642857142858</v>
      </c>
      <c r="D21" s="28" t="str">
        <f>PLANTILLA!D18</f>
        <v>J. G. Peñuela</v>
      </c>
      <c r="E21" s="16">
        <f>PLANTILLA!E18</f>
        <v>21</v>
      </c>
      <c r="F21" s="17">
        <f ca="1">PLANTILLA!F18</f>
        <v>51</v>
      </c>
      <c r="G21" s="18"/>
      <c r="H21" s="4">
        <f>PLANTILLA!H18</f>
        <v>6</v>
      </c>
      <c r="I21" s="27">
        <f>PLANTILLA!I18</f>
        <v>3.5</v>
      </c>
      <c r="J21" s="19">
        <f>PLANTILLA!O18</f>
        <v>5.2</v>
      </c>
      <c r="K21" s="6">
        <f t="shared" si="19"/>
        <v>126</v>
      </c>
      <c r="L21" s="6">
        <f t="shared" si="20"/>
        <v>171.5</v>
      </c>
      <c r="M21" s="21">
        <f>PLANTILLA!X18</f>
        <v>0</v>
      </c>
      <c r="N21" s="21">
        <f>PLANTILLA!Y18</f>
        <v>7</v>
      </c>
      <c r="O21" s="21">
        <f>PLANTILLA!Z18</f>
        <v>5</v>
      </c>
      <c r="P21" s="21">
        <f>PLANTILLA!AA18</f>
        <v>13.19</v>
      </c>
      <c r="Q21" s="21">
        <f>PLANTILLA!AB18</f>
        <v>5</v>
      </c>
      <c r="R21" s="21">
        <f>PLANTILLA!AC18</f>
        <v>7.8016666666666676</v>
      </c>
      <c r="S21" s="21">
        <f>PLANTILLA!AD18</f>
        <v>3</v>
      </c>
      <c r="T21" s="155">
        <v>0</v>
      </c>
      <c r="U21" s="155">
        <v>0</v>
      </c>
      <c r="V21" s="155">
        <v>0</v>
      </c>
      <c r="W21" s="155">
        <v>1</v>
      </c>
      <c r="X21" s="155">
        <v>0</v>
      </c>
      <c r="Y21" s="155">
        <v>0</v>
      </c>
      <c r="Z21" s="155">
        <v>0</v>
      </c>
      <c r="AA21" s="153">
        <v>20</v>
      </c>
      <c r="AB21" s="154">
        <f t="shared" ca="1" si="22"/>
        <v>37</v>
      </c>
      <c r="AC21" s="25">
        <f t="shared" si="21"/>
        <v>3.5</v>
      </c>
      <c r="AD21" s="156">
        <f t="shared" si="10"/>
        <v>0</v>
      </c>
      <c r="AE21" s="156">
        <f t="shared" si="11"/>
        <v>7</v>
      </c>
      <c r="AF21" s="156">
        <f t="shared" si="12"/>
        <v>5</v>
      </c>
      <c r="AG21" s="156">
        <f>12+5/6</f>
        <v>12.833333333333334</v>
      </c>
      <c r="AH21" s="156">
        <f t="shared" si="14"/>
        <v>5</v>
      </c>
      <c r="AI21" s="156">
        <f t="shared" si="15"/>
        <v>7.8016666666666676</v>
      </c>
      <c r="AJ21" s="156">
        <f t="shared" si="16"/>
        <v>3</v>
      </c>
    </row>
    <row r="22" spans="1:36" ht="16.5" customHeight="1" x14ac:dyDescent="0.25">
      <c r="A22" s="15" t="e">
        <f>PLANTILLA!#REF!</f>
        <v>#REF!</v>
      </c>
      <c r="B22" s="15" t="e">
        <f>PLANTILLA!#REF!</f>
        <v>#REF!</v>
      </c>
      <c r="C22" s="121" t="e">
        <f>PLANTILLA!#REF!</f>
        <v>#REF!</v>
      </c>
      <c r="D22" s="28" t="e">
        <f>PLANTILLA!#REF!</f>
        <v>#REF!</v>
      </c>
      <c r="E22" s="16" t="e">
        <f>PLANTILLA!#REF!</f>
        <v>#REF!</v>
      </c>
      <c r="F22" s="17" t="e">
        <f>PLANTILLA!#REF!</f>
        <v>#REF!</v>
      </c>
      <c r="G22" s="18"/>
      <c r="H22" s="4" t="e">
        <f>PLANTILLA!#REF!</f>
        <v>#REF!</v>
      </c>
      <c r="I22" s="27" t="e">
        <f>PLANTILLA!#REF!</f>
        <v>#REF!</v>
      </c>
      <c r="J22" s="19" t="e">
        <f>PLANTILLA!#REF!</f>
        <v>#REF!</v>
      </c>
      <c r="K22" s="6" t="e">
        <f t="shared" si="19"/>
        <v>#REF!</v>
      </c>
      <c r="L22" s="6" t="e">
        <f t="shared" si="20"/>
        <v>#REF!</v>
      </c>
      <c r="M22" s="21" t="e">
        <f>PLANTILLA!#REF!</f>
        <v>#REF!</v>
      </c>
      <c r="N22" s="21" t="e">
        <f>PLANTILLA!#REF!</f>
        <v>#REF!</v>
      </c>
      <c r="O22" s="21" t="e">
        <f>PLANTILLA!#REF!</f>
        <v>#REF!</v>
      </c>
      <c r="P22" s="21" t="e">
        <f>PLANTILLA!#REF!</f>
        <v>#REF!</v>
      </c>
      <c r="Q22" s="21" t="e">
        <f>PLANTILLA!#REF!</f>
        <v>#REF!</v>
      </c>
      <c r="R22" s="21" t="e">
        <f>PLANTILLA!#REF!</f>
        <v>#REF!</v>
      </c>
      <c r="S22" s="21" t="e">
        <f>PLANTILLA!#REF!</f>
        <v>#REF!</v>
      </c>
      <c r="T22" s="155">
        <v>0</v>
      </c>
      <c r="U22" s="155">
        <v>0</v>
      </c>
      <c r="V22" s="155">
        <v>0</v>
      </c>
      <c r="W22" s="155">
        <v>0</v>
      </c>
      <c r="X22" s="155">
        <v>0</v>
      </c>
      <c r="Y22" s="155">
        <v>0</v>
      </c>
      <c r="Z22" s="155">
        <v>0</v>
      </c>
      <c r="AA22" s="153" t="e">
        <f t="shared" si="17"/>
        <v>#REF!</v>
      </c>
      <c r="AB22" s="154" t="e">
        <f t="shared" si="18"/>
        <v>#REF!</v>
      </c>
      <c r="AC22" s="25" t="e">
        <f t="shared" si="21"/>
        <v>#REF!</v>
      </c>
      <c r="AD22" s="156" t="e">
        <f t="shared" si="10"/>
        <v>#REF!</v>
      </c>
      <c r="AE22" s="156" t="e">
        <f t="shared" si="11"/>
        <v>#REF!</v>
      </c>
      <c r="AF22" s="156" t="e">
        <f t="shared" si="12"/>
        <v>#REF!</v>
      </c>
      <c r="AG22" s="156" t="e">
        <f t="shared" si="13"/>
        <v>#REF!</v>
      </c>
      <c r="AH22" s="156" t="e">
        <f t="shared" si="14"/>
        <v>#REF!</v>
      </c>
      <c r="AI22" s="156" t="e">
        <f t="shared" si="15"/>
        <v>#REF!</v>
      </c>
      <c r="AJ22" s="156" t="e">
        <f t="shared" si="16"/>
        <v>#REF!</v>
      </c>
    </row>
    <row r="23" spans="1:36" ht="16.5" customHeight="1" x14ac:dyDescent="0.25">
      <c r="A23" s="15">
        <f>PLANTILLA!A22</f>
        <v>0</v>
      </c>
      <c r="B23" s="15">
        <f>PLANTILLA!B22</f>
        <v>0</v>
      </c>
      <c r="C23" s="121">
        <f>PLANTILLA!C22</f>
        <v>0</v>
      </c>
      <c r="D23" s="28" t="str">
        <f>PLANTILLA!D22</f>
        <v>A. Ilisie</v>
      </c>
      <c r="E23" s="16">
        <f>PLANTILLA!E22</f>
        <v>0</v>
      </c>
      <c r="F23" s="17">
        <f>PLANTILLA!F22</f>
        <v>0</v>
      </c>
      <c r="G23" s="18"/>
      <c r="H23" s="4">
        <f>PLANTILLA!H22</f>
        <v>0</v>
      </c>
      <c r="I23" s="27">
        <f>PLANTILLA!I22</f>
        <v>0</v>
      </c>
      <c r="J23" s="19">
        <f>PLANTILLA!O22</f>
        <v>0</v>
      </c>
      <c r="K23" s="6">
        <f t="shared" si="19"/>
        <v>0</v>
      </c>
      <c r="L23" s="6">
        <f t="shared" si="20"/>
        <v>0</v>
      </c>
      <c r="M23" s="21">
        <f>PLANTILLA!X22</f>
        <v>0</v>
      </c>
      <c r="N23" s="21">
        <f>PLANTILLA!Y22</f>
        <v>0</v>
      </c>
      <c r="O23" s="21">
        <f>PLANTILLA!Z22</f>
        <v>0</v>
      </c>
      <c r="P23" s="21">
        <f>PLANTILLA!AA22</f>
        <v>0</v>
      </c>
      <c r="Q23" s="21">
        <f>PLANTILLA!AB22</f>
        <v>0</v>
      </c>
      <c r="R23" s="21">
        <f>PLANTILLA!AC22</f>
        <v>0</v>
      </c>
      <c r="S23" s="21">
        <f>PLANTILLA!AD22</f>
        <v>0</v>
      </c>
      <c r="T23" s="155">
        <v>0</v>
      </c>
      <c r="U23" s="155">
        <v>0</v>
      </c>
      <c r="V23" s="155">
        <v>0</v>
      </c>
      <c r="W23" s="155">
        <v>0</v>
      </c>
      <c r="X23" s="155">
        <v>0</v>
      </c>
      <c r="Y23" s="155">
        <v>0</v>
      </c>
      <c r="Z23" s="155">
        <v>0</v>
      </c>
      <c r="AA23" s="153">
        <f t="shared" si="17"/>
        <v>0</v>
      </c>
      <c r="AB23" s="154">
        <f t="shared" si="18"/>
        <v>98</v>
      </c>
      <c r="AC23" s="25">
        <f t="shared" si="21"/>
        <v>0</v>
      </c>
      <c r="AD23" s="156">
        <f t="shared" si="10"/>
        <v>0</v>
      </c>
      <c r="AE23" s="156">
        <f t="shared" si="11"/>
        <v>0</v>
      </c>
      <c r="AF23" s="156">
        <f t="shared" si="12"/>
        <v>0</v>
      </c>
      <c r="AG23" s="156">
        <f t="shared" si="13"/>
        <v>0</v>
      </c>
      <c r="AH23" s="156">
        <f t="shared" si="14"/>
        <v>0</v>
      </c>
      <c r="AI23" s="156">
        <f t="shared" si="15"/>
        <v>0</v>
      </c>
      <c r="AJ23" s="156">
        <f t="shared" si="16"/>
        <v>0</v>
      </c>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3">
    <cfRule type="cellIs" dxfId="5" priority="57" operator="lessThan">
      <formula>0.2</formula>
    </cfRule>
    <cfRule type="cellIs" dxfId="4" priority="58" operator="greaterThan">
      <formula>0.9</formula>
    </cfRule>
  </conditionalFormatting>
  <conditionalFormatting sqref="I4:I23">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3">
    <cfRule type="cellIs" dxfId="0" priority="5225" operator="greaterThan">
      <formula>8</formula>
    </cfRule>
    <cfRule type="colorScale" priority="5226">
      <colorScale>
        <cfvo type="min"/>
        <cfvo type="max"/>
        <color rgb="FFFFEF9C"/>
        <color rgb="FFFF7128"/>
      </colorScale>
    </cfRule>
  </conditionalFormatting>
  <conditionalFormatting sqref="AD4:AJ23">
    <cfRule type="colorScale" priority="5227">
      <colorScale>
        <cfvo type="min"/>
        <cfvo type="max"/>
        <color rgb="FFFFEF9C"/>
        <color rgb="FF63BE7B"/>
      </colorScale>
    </cfRule>
  </conditionalFormatting>
  <conditionalFormatting sqref="C4:C23">
    <cfRule type="colorScale" priority="5228">
      <colorScale>
        <cfvo type="min"/>
        <cfvo type="max"/>
        <color rgb="FFFFEF9C"/>
        <color rgb="FF63BE7B"/>
      </colorScale>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4">
    <pageSetUpPr fitToPage="1"/>
  </sheetPr>
  <dimension ref="A1:N17"/>
  <sheetViews>
    <sheetView workbookViewId="0">
      <selection activeCell="M22" sqref="M22"/>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50</v>
      </c>
    </row>
    <row r="2" spans="1:14" x14ac:dyDescent="0.25">
      <c r="A2" s="10" t="s">
        <v>16</v>
      </c>
      <c r="B2">
        <v>0</v>
      </c>
      <c r="C2">
        <v>0</v>
      </c>
      <c r="N2" s="31" t="s">
        <v>51</v>
      </c>
    </row>
    <row r="3" spans="1:14" x14ac:dyDescent="0.25">
      <c r="A3" s="10" t="s">
        <v>17</v>
      </c>
      <c r="B3">
        <v>22460</v>
      </c>
      <c r="C3">
        <v>32580</v>
      </c>
      <c r="D3">
        <v>32580</v>
      </c>
      <c r="N3" s="31" t="s">
        <v>52</v>
      </c>
    </row>
    <row r="4" spans="1:14" x14ac:dyDescent="0.25">
      <c r="A4" s="10" t="s">
        <v>18</v>
      </c>
      <c r="B4">
        <v>2235</v>
      </c>
      <c r="C4">
        <f>B4</f>
        <v>2235</v>
      </c>
      <c r="N4" s="31" t="s">
        <v>53</v>
      </c>
    </row>
    <row r="5" spans="1:14" x14ac:dyDescent="0.25">
      <c r="A5" s="10" t="s">
        <v>19</v>
      </c>
      <c r="B5">
        <v>515</v>
      </c>
      <c r="C5">
        <v>515</v>
      </c>
      <c r="N5" s="31" t="s">
        <v>54</v>
      </c>
    </row>
    <row r="6" spans="1:14" x14ac:dyDescent="0.25">
      <c r="A6" s="10" t="s">
        <v>20</v>
      </c>
      <c r="B6">
        <v>405</v>
      </c>
      <c r="C6">
        <v>405</v>
      </c>
      <c r="N6" s="31" t="s">
        <v>55</v>
      </c>
    </row>
    <row r="7" spans="1:14" x14ac:dyDescent="0.25">
      <c r="A7" s="34" t="s">
        <v>46</v>
      </c>
      <c r="B7" s="36">
        <v>8.0000000000000002E-3</v>
      </c>
      <c r="C7" s="118">
        <f>B7</f>
        <v>8.0000000000000002E-3</v>
      </c>
      <c r="N7" s="31" t="s">
        <v>56</v>
      </c>
    </row>
    <row r="8" spans="1:14" x14ac:dyDescent="0.25">
      <c r="N8" s="31" t="s">
        <v>57</v>
      </c>
    </row>
    <row r="9" spans="1:14" x14ac:dyDescent="0.25">
      <c r="A9" s="35" t="s">
        <v>67</v>
      </c>
      <c r="B9" s="33">
        <f>SUM(B1:B6)*(1+B7)</f>
        <v>25819.920000000002</v>
      </c>
      <c r="C9" s="33">
        <f>SUM(C1:C6)*(1+C7)</f>
        <v>36020.879999999997</v>
      </c>
      <c r="N9" s="31" t="s">
        <v>58</v>
      </c>
    </row>
    <row r="10" spans="1:14" x14ac:dyDescent="0.25">
      <c r="A10" s="35" t="s">
        <v>68</v>
      </c>
      <c r="B10" s="33">
        <f>B9*1.2</f>
        <v>30983.904000000002</v>
      </c>
      <c r="C10" s="33">
        <f>C9*1.2</f>
        <v>43225.055999999997</v>
      </c>
      <c r="N10" s="31" t="s">
        <v>59</v>
      </c>
    </row>
    <row r="11" spans="1:14" x14ac:dyDescent="0.25">
      <c r="N11" s="31" t="s">
        <v>60</v>
      </c>
    </row>
    <row r="12" spans="1:14" x14ac:dyDescent="0.25">
      <c r="N12" s="31" t="s">
        <v>61</v>
      </c>
    </row>
    <row r="13" spans="1:14" x14ac:dyDescent="0.25">
      <c r="N13" s="31" t="s">
        <v>62</v>
      </c>
    </row>
    <row r="14" spans="1:14" x14ac:dyDescent="0.25">
      <c r="C14" s="37">
        <f>D3-B3</f>
        <v>10120</v>
      </c>
      <c r="N14" s="31" t="s">
        <v>63</v>
      </c>
    </row>
    <row r="15" spans="1:14" x14ac:dyDescent="0.25">
      <c r="C15">
        <f>(C3-B3)</f>
        <v>10120</v>
      </c>
      <c r="N15" s="31" t="s">
        <v>64</v>
      </c>
    </row>
    <row r="16" spans="1:14" x14ac:dyDescent="0.25">
      <c r="C16" s="119">
        <f>C15/C14</f>
        <v>1</v>
      </c>
      <c r="N16" s="31" t="s">
        <v>65</v>
      </c>
    </row>
    <row r="17" spans="14:14" x14ac:dyDescent="0.25">
      <c r="N17" s="31" t="s">
        <v>66</v>
      </c>
    </row>
  </sheetData>
  <pageMargins left="0.7" right="0.7" top="0.75" bottom="0.75" header="0.3" footer="0.3"/>
  <pageSetup paperSize="9" scale="5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100</v>
      </c>
      <c r="B1" s="53" t="s">
        <v>101</v>
      </c>
      <c r="D1" s="66" t="s">
        <v>100</v>
      </c>
      <c r="E1" s="66" t="s">
        <v>114</v>
      </c>
      <c r="F1" s="66" t="s">
        <v>115</v>
      </c>
      <c r="G1" s="66" t="s">
        <v>116</v>
      </c>
      <c r="H1" s="66" t="s">
        <v>117</v>
      </c>
      <c r="I1" s="66" t="s">
        <v>171</v>
      </c>
      <c r="J1" s="66" t="s">
        <v>110</v>
      </c>
      <c r="K1" s="52" t="s">
        <v>172</v>
      </c>
      <c r="L1" s="52" t="s">
        <v>267</v>
      </c>
      <c r="M1" s="52" t="s">
        <v>268</v>
      </c>
      <c r="N1" s="52" t="s">
        <v>269</v>
      </c>
      <c r="P1" s="53" t="s">
        <v>108</v>
      </c>
      <c r="Q1" s="53" t="s">
        <v>109</v>
      </c>
      <c r="R1" s="53" t="s">
        <v>110</v>
      </c>
      <c r="S1" s="53" t="s">
        <v>111</v>
      </c>
      <c r="T1" s="53" t="s">
        <v>112</v>
      </c>
      <c r="U1" s="53" t="s">
        <v>113</v>
      </c>
    </row>
    <row r="2" spans="1:25" x14ac:dyDescent="0.25">
      <c r="A2" s="57" t="s">
        <v>102</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103</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104</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105</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106</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107</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108</v>
      </c>
      <c r="Q14" s="53" t="s">
        <v>109</v>
      </c>
      <c r="R14" s="53" t="s">
        <v>110</v>
      </c>
      <c r="S14" s="53" t="s">
        <v>111</v>
      </c>
      <c r="T14" s="53" t="s">
        <v>112</v>
      </c>
      <c r="U14" s="53" t="s">
        <v>113</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299</v>
      </c>
      <c r="B1"/>
    </row>
    <row r="2" spans="1:40" x14ac:dyDescent="0.25">
      <c r="A2"/>
      <c r="B2" t="s">
        <v>300</v>
      </c>
    </row>
    <row r="3" spans="1:40" x14ac:dyDescent="0.25">
      <c r="A3" t="s">
        <v>301</v>
      </c>
      <c r="B3"/>
    </row>
    <row r="4" spans="1:40" x14ac:dyDescent="0.25">
      <c r="A4"/>
      <c r="B4" t="s">
        <v>302</v>
      </c>
    </row>
    <row r="5" spans="1:40" x14ac:dyDescent="0.25">
      <c r="A5"/>
      <c r="B5" t="s">
        <v>303</v>
      </c>
    </row>
    <row r="6" spans="1:40" x14ac:dyDescent="0.25">
      <c r="A6" t="s">
        <v>304</v>
      </c>
      <c r="B6"/>
    </row>
    <row r="7" spans="1:40" x14ac:dyDescent="0.25">
      <c r="A7"/>
      <c r="B7" t="s">
        <v>305</v>
      </c>
      <c r="X7">
        <f>X8-112</f>
        <v>80.5</v>
      </c>
    </row>
    <row r="8" spans="1:40" x14ac:dyDescent="0.25">
      <c r="A8" t="s">
        <v>306</v>
      </c>
      <c r="B8"/>
      <c r="X8">
        <f>(X9+X10)*7</f>
        <v>192.5</v>
      </c>
    </row>
    <row r="9" spans="1:40" x14ac:dyDescent="0.25">
      <c r="A9"/>
      <c r="B9" t="s">
        <v>307</v>
      </c>
      <c r="W9" s="197" t="s">
        <v>192</v>
      </c>
      <c r="X9" s="198">
        <v>13.5</v>
      </c>
    </row>
    <row r="10" spans="1:40" x14ac:dyDescent="0.25">
      <c r="A10"/>
      <c r="B10"/>
      <c r="W10" s="197" t="s">
        <v>308</v>
      </c>
      <c r="X10" s="197">
        <v>14</v>
      </c>
    </row>
    <row r="11" spans="1:40" x14ac:dyDescent="0.25">
      <c r="A11"/>
      <c r="B11"/>
      <c r="F11" s="193"/>
      <c r="G11" s="193"/>
      <c r="H11" s="193"/>
      <c r="I11" s="193"/>
      <c r="J11" s="193"/>
      <c r="K11" s="193"/>
      <c r="L11" s="193"/>
      <c r="M11" s="194">
        <f>SUM(M13:M27)</f>
        <v>970</v>
      </c>
      <c r="N11" s="193"/>
      <c r="O11" s="193"/>
      <c r="P11" s="193"/>
      <c r="Q11" s="193"/>
      <c r="R11" s="193"/>
      <c r="S11" s="193"/>
      <c r="T11" s="193"/>
      <c r="U11" s="193"/>
      <c r="Y11" s="193"/>
      <c r="Z11" s="193"/>
      <c r="AA11" s="193"/>
      <c r="AB11" s="193"/>
      <c r="AC11" s="193"/>
      <c r="AD11" s="193"/>
      <c r="AE11" s="193"/>
      <c r="AF11" s="194">
        <f>SUM(AF13:AF27)</f>
        <v>5644.4400000000005</v>
      </c>
      <c r="AG11" s="193"/>
      <c r="AH11" s="193"/>
      <c r="AI11" s="193"/>
      <c r="AJ11" s="193"/>
      <c r="AK11" s="193"/>
      <c r="AL11" s="193"/>
      <c r="AM11" s="193"/>
      <c r="AN11" s="193"/>
    </row>
    <row r="12" spans="1:40" x14ac:dyDescent="0.25">
      <c r="A12" s="10" t="s">
        <v>169</v>
      </c>
      <c r="B12" s="10" t="s">
        <v>309</v>
      </c>
      <c r="C12" s="10" t="s">
        <v>83</v>
      </c>
      <c r="D12" s="10" t="s">
        <v>310</v>
      </c>
      <c r="E12" s="10" t="s">
        <v>311</v>
      </c>
      <c r="F12" s="10" t="s">
        <v>15</v>
      </c>
      <c r="G12" s="10" t="s">
        <v>16</v>
      </c>
      <c r="H12" s="10" t="s">
        <v>17</v>
      </c>
      <c r="I12" s="10" t="s">
        <v>18</v>
      </c>
      <c r="J12" s="10" t="s">
        <v>19</v>
      </c>
      <c r="K12" s="10" t="s">
        <v>20</v>
      </c>
      <c r="L12" s="10" t="s">
        <v>6</v>
      </c>
      <c r="M12" s="10" t="s">
        <v>67</v>
      </c>
      <c r="N12" s="10" t="s">
        <v>312</v>
      </c>
      <c r="O12" s="10" t="s">
        <v>313</v>
      </c>
      <c r="P12" s="10" t="s">
        <v>314</v>
      </c>
      <c r="Q12" s="10" t="s">
        <v>315</v>
      </c>
      <c r="R12" s="10" t="s">
        <v>316</v>
      </c>
      <c r="S12" s="10" t="s">
        <v>317</v>
      </c>
      <c r="T12" s="10" t="s">
        <v>318</v>
      </c>
      <c r="U12" s="10" t="s">
        <v>319</v>
      </c>
      <c r="W12" s="10" t="s">
        <v>310</v>
      </c>
      <c r="X12" s="10" t="s">
        <v>311</v>
      </c>
      <c r="Y12" s="10" t="s">
        <v>15</v>
      </c>
      <c r="Z12" s="10" t="s">
        <v>16</v>
      </c>
      <c r="AA12" s="10" t="s">
        <v>17</v>
      </c>
      <c r="AB12" s="10" t="s">
        <v>18</v>
      </c>
      <c r="AC12" s="10" t="s">
        <v>19</v>
      </c>
      <c r="AD12" s="10" t="s">
        <v>20</v>
      </c>
      <c r="AE12" s="10" t="s">
        <v>6</v>
      </c>
      <c r="AF12" s="10" t="s">
        <v>67</v>
      </c>
      <c r="AG12" s="10" t="s">
        <v>312</v>
      </c>
      <c r="AH12" s="10" t="s">
        <v>313</v>
      </c>
      <c r="AI12" s="10" t="s">
        <v>314</v>
      </c>
      <c r="AJ12" s="10" t="s">
        <v>315</v>
      </c>
      <c r="AK12" s="10" t="s">
        <v>316</v>
      </c>
      <c r="AL12" s="10" t="s">
        <v>317</v>
      </c>
      <c r="AM12" s="10" t="s">
        <v>318</v>
      </c>
      <c r="AN12" s="10" t="s">
        <v>319</v>
      </c>
    </row>
    <row r="13" spans="1:40" x14ac:dyDescent="0.25">
      <c r="A13" t="s">
        <v>28</v>
      </c>
      <c r="B13" s="15"/>
      <c r="C13" s="18"/>
      <c r="D13" s="18"/>
      <c r="E13" s="18"/>
      <c r="F13" s="111">
        <v>2</v>
      </c>
      <c r="G13" s="19">
        <v>2</v>
      </c>
      <c r="H13" s="111">
        <v>0</v>
      </c>
      <c r="I13" s="19">
        <v>0</v>
      </c>
      <c r="J13" s="111">
        <v>0</v>
      </c>
      <c r="K13" s="19">
        <v>0</v>
      </c>
      <c r="L13" s="111">
        <v>2</v>
      </c>
      <c r="M13" s="47"/>
      <c r="N13" s="193">
        <v>0</v>
      </c>
      <c r="O13" s="193">
        <v>0</v>
      </c>
      <c r="P13" s="193">
        <v>0</v>
      </c>
      <c r="Q13" s="195">
        <v>0</v>
      </c>
      <c r="R13" s="195">
        <v>0</v>
      </c>
      <c r="S13" s="195">
        <v>0</v>
      </c>
      <c r="T13" s="195">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3">
        <v>0</v>
      </c>
      <c r="AH13" s="193">
        <v>0</v>
      </c>
      <c r="AI13" s="193">
        <v>0</v>
      </c>
      <c r="AJ13" s="195">
        <v>0</v>
      </c>
      <c r="AK13" s="195">
        <v>0</v>
      </c>
      <c r="AL13" s="195">
        <v>0</v>
      </c>
      <c r="AM13" s="195">
        <v>0</v>
      </c>
      <c r="AN13" s="66">
        <f>SUM(AG13:AM13)</f>
        <v>0</v>
      </c>
    </row>
    <row r="14" spans="1:40" x14ac:dyDescent="0.25">
      <c r="A14" t="s">
        <v>31</v>
      </c>
      <c r="B14" s="15"/>
      <c r="C14" s="3"/>
      <c r="D14" s="3"/>
      <c r="E14" s="3"/>
      <c r="F14" s="112">
        <v>0</v>
      </c>
      <c r="G14" s="25">
        <v>2</v>
      </c>
      <c r="H14" s="112">
        <v>2</v>
      </c>
      <c r="I14" s="25">
        <v>2</v>
      </c>
      <c r="J14" s="112">
        <v>2</v>
      </c>
      <c r="K14" s="25">
        <v>2</v>
      </c>
      <c r="L14" s="112">
        <v>2</v>
      </c>
      <c r="M14" s="47"/>
      <c r="N14" s="193">
        <v>0</v>
      </c>
      <c r="O14" s="193">
        <v>0</v>
      </c>
      <c r="P14" s="193">
        <v>0</v>
      </c>
      <c r="Q14" s="193">
        <v>0</v>
      </c>
      <c r="R14" s="193">
        <v>0</v>
      </c>
      <c r="S14" s="193">
        <v>0</v>
      </c>
      <c r="T14" s="193">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3">
        <v>0</v>
      </c>
      <c r="AH14" s="193">
        <v>0</v>
      </c>
      <c r="AI14" s="193">
        <v>0</v>
      </c>
      <c r="AJ14" s="193">
        <v>0</v>
      </c>
      <c r="AK14" s="193">
        <v>0</v>
      </c>
      <c r="AL14" s="193">
        <v>0</v>
      </c>
      <c r="AM14" s="193">
        <v>0</v>
      </c>
      <c r="AN14" s="66">
        <f>SUM(AG14:AM14)</f>
        <v>0</v>
      </c>
    </row>
    <row r="15" spans="1:40" x14ac:dyDescent="0.25">
      <c r="A15" t="s">
        <v>32</v>
      </c>
      <c r="B15" s="15"/>
      <c r="C15" s="3"/>
      <c r="D15" s="3"/>
      <c r="E15" s="3"/>
      <c r="F15" s="112">
        <v>0</v>
      </c>
      <c r="G15" s="25">
        <v>2</v>
      </c>
      <c r="H15" s="112">
        <v>2</v>
      </c>
      <c r="I15" s="25">
        <v>2</v>
      </c>
      <c r="J15" s="112">
        <v>2</v>
      </c>
      <c r="K15" s="25">
        <v>2</v>
      </c>
      <c r="L15" s="112">
        <v>2</v>
      </c>
      <c r="M15" s="47"/>
      <c r="N15" s="193">
        <v>0</v>
      </c>
      <c r="O15" s="193">
        <v>0</v>
      </c>
      <c r="P15" s="193">
        <v>0</v>
      </c>
      <c r="Q15" s="193">
        <v>0</v>
      </c>
      <c r="R15" s="193">
        <v>0</v>
      </c>
      <c r="S15" s="193">
        <v>0</v>
      </c>
      <c r="T15" s="193">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3">
        <v>0</v>
      </c>
      <c r="AH15" s="193">
        <v>0</v>
      </c>
      <c r="AI15" s="193">
        <v>0</v>
      </c>
      <c r="AJ15" s="193">
        <v>0</v>
      </c>
      <c r="AK15" s="193">
        <v>0</v>
      </c>
      <c r="AL15" s="193">
        <v>0</v>
      </c>
      <c r="AM15" s="193">
        <v>0</v>
      </c>
      <c r="AN15" s="66">
        <f>SUM(AG15:AM15)</f>
        <v>0</v>
      </c>
    </row>
    <row r="16" spans="1:40" x14ac:dyDescent="0.25">
      <c r="A16" t="s">
        <v>38</v>
      </c>
      <c r="B16" s="15"/>
      <c r="C16" s="3"/>
      <c r="D16" s="3"/>
      <c r="E16" s="3"/>
      <c r="F16" s="112">
        <v>0</v>
      </c>
      <c r="G16" s="25">
        <v>2</v>
      </c>
      <c r="H16" s="112">
        <v>2</v>
      </c>
      <c r="I16" s="25">
        <v>2</v>
      </c>
      <c r="J16" s="112">
        <v>2</v>
      </c>
      <c r="K16" s="25">
        <v>2</v>
      </c>
      <c r="L16" s="112">
        <v>2</v>
      </c>
      <c r="M16" s="47"/>
      <c r="N16" s="193">
        <v>0</v>
      </c>
      <c r="O16" s="193">
        <v>0</v>
      </c>
      <c r="P16" s="193">
        <v>0</v>
      </c>
      <c r="Q16" s="193">
        <v>0</v>
      </c>
      <c r="R16" s="193">
        <v>0</v>
      </c>
      <c r="S16" s="193">
        <v>0</v>
      </c>
      <c r="T16" s="193">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3">
        <v>0</v>
      </c>
      <c r="AH16" s="193">
        <v>0</v>
      </c>
      <c r="AI16" s="193">
        <v>0</v>
      </c>
      <c r="AJ16" s="193">
        <v>0</v>
      </c>
      <c r="AK16" s="193">
        <v>0</v>
      </c>
      <c r="AL16" s="193">
        <v>0</v>
      </c>
      <c r="AM16" s="193">
        <v>0</v>
      </c>
      <c r="AN16" s="66">
        <f>SUM(AG16:AM16)</f>
        <v>0</v>
      </c>
    </row>
    <row r="17" spans="1:40" x14ac:dyDescent="0.25">
      <c r="A17" t="s">
        <v>40</v>
      </c>
      <c r="B17" s="15"/>
      <c r="C17" s="3"/>
      <c r="D17" s="3"/>
      <c r="E17" s="3"/>
      <c r="F17" s="112">
        <v>0</v>
      </c>
      <c r="G17" s="25">
        <v>2</v>
      </c>
      <c r="H17" s="112">
        <v>2</v>
      </c>
      <c r="I17" s="25">
        <v>2</v>
      </c>
      <c r="J17" s="112">
        <v>2</v>
      </c>
      <c r="K17" s="25">
        <v>2</v>
      </c>
      <c r="L17" s="112">
        <v>2</v>
      </c>
      <c r="M17" s="47"/>
      <c r="N17" s="193">
        <v>0</v>
      </c>
      <c r="O17" s="193">
        <v>0</v>
      </c>
      <c r="P17" s="193">
        <v>0</v>
      </c>
      <c r="Q17" s="193">
        <v>0</v>
      </c>
      <c r="R17" s="193">
        <v>0</v>
      </c>
      <c r="S17" s="193">
        <v>0</v>
      </c>
      <c r="T17" s="193">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3">
        <v>0</v>
      </c>
      <c r="AH17" s="193">
        <v>0</v>
      </c>
      <c r="AI17" s="193">
        <v>0</v>
      </c>
      <c r="AJ17" s="193">
        <v>0</v>
      </c>
      <c r="AK17" s="193">
        <v>0</v>
      </c>
      <c r="AL17" s="193">
        <v>0</v>
      </c>
      <c r="AM17" s="193">
        <v>0</v>
      </c>
      <c r="AN17" s="66">
        <f t="shared" ref="AN17:AN24" si="3">SUM(AG17:AM17)</f>
        <v>0</v>
      </c>
    </row>
    <row r="18" spans="1:40" x14ac:dyDescent="0.25">
      <c r="A18" t="s">
        <v>37</v>
      </c>
      <c r="B18" s="15"/>
      <c r="C18" s="3"/>
      <c r="D18" s="3"/>
      <c r="E18" s="3"/>
      <c r="F18" s="112">
        <v>0</v>
      </c>
      <c r="G18" s="25">
        <v>2</v>
      </c>
      <c r="H18" s="112">
        <v>2</v>
      </c>
      <c r="I18" s="25">
        <v>2</v>
      </c>
      <c r="J18" s="112">
        <v>2</v>
      </c>
      <c r="K18" s="25">
        <v>2</v>
      </c>
      <c r="L18" s="112">
        <v>2</v>
      </c>
      <c r="M18" s="47"/>
      <c r="N18" s="193">
        <v>0</v>
      </c>
      <c r="O18" s="193">
        <v>0</v>
      </c>
      <c r="P18" s="193">
        <v>0</v>
      </c>
      <c r="Q18" s="193">
        <v>0</v>
      </c>
      <c r="R18" s="193">
        <v>0</v>
      </c>
      <c r="S18" s="193">
        <v>0</v>
      </c>
      <c r="T18" s="193">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3">
        <v>0</v>
      </c>
      <c r="AH18" s="193">
        <v>0</v>
      </c>
      <c r="AI18" s="193">
        <v>0</v>
      </c>
      <c r="AJ18" s="193">
        <v>0</v>
      </c>
      <c r="AK18" s="193">
        <v>0</v>
      </c>
      <c r="AL18" s="193">
        <v>0</v>
      </c>
      <c r="AM18" s="193">
        <v>0</v>
      </c>
      <c r="AN18" s="66">
        <f t="shared" si="3"/>
        <v>0</v>
      </c>
    </row>
    <row r="19" spans="1:40" x14ac:dyDescent="0.25">
      <c r="A19" t="s">
        <v>34</v>
      </c>
      <c r="B19" s="15"/>
      <c r="C19" s="3"/>
      <c r="D19" s="3"/>
      <c r="E19" s="3"/>
      <c r="F19" s="112">
        <v>0</v>
      </c>
      <c r="G19" s="25">
        <v>2</v>
      </c>
      <c r="H19" s="112">
        <v>2</v>
      </c>
      <c r="I19" s="25">
        <v>2</v>
      </c>
      <c r="J19" s="112">
        <v>2</v>
      </c>
      <c r="K19" s="25">
        <v>2</v>
      </c>
      <c r="L19" s="112">
        <v>2</v>
      </c>
      <c r="M19" s="47"/>
      <c r="N19" s="193">
        <v>0</v>
      </c>
      <c r="O19" s="193">
        <v>0</v>
      </c>
      <c r="P19" s="193">
        <v>0</v>
      </c>
      <c r="Q19" s="193">
        <v>0</v>
      </c>
      <c r="R19" s="193">
        <v>0</v>
      </c>
      <c r="S19" s="193">
        <v>0</v>
      </c>
      <c r="T19" s="193">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3">
        <v>0</v>
      </c>
      <c r="AH19" s="193">
        <v>0</v>
      </c>
      <c r="AI19" s="193">
        <v>0</v>
      </c>
      <c r="AJ19" s="193">
        <v>0</v>
      </c>
      <c r="AK19" s="193">
        <v>0</v>
      </c>
      <c r="AL19" s="193">
        <v>0</v>
      </c>
      <c r="AM19" s="193">
        <v>0</v>
      </c>
      <c r="AN19" s="66">
        <f t="shared" si="3"/>
        <v>0</v>
      </c>
    </row>
    <row r="20" spans="1:40" x14ac:dyDescent="0.25">
      <c r="A20" t="s">
        <v>30</v>
      </c>
      <c r="B20" s="15"/>
      <c r="C20" s="3"/>
      <c r="D20" s="3"/>
      <c r="E20" s="3"/>
      <c r="F20" s="112">
        <v>0</v>
      </c>
      <c r="G20" s="25">
        <v>2</v>
      </c>
      <c r="H20" s="112">
        <v>2</v>
      </c>
      <c r="I20" s="25">
        <v>2</v>
      </c>
      <c r="J20" s="112">
        <v>2</v>
      </c>
      <c r="K20" s="25">
        <v>2</v>
      </c>
      <c r="L20" s="112">
        <v>2</v>
      </c>
      <c r="M20" s="47"/>
      <c r="N20" s="193">
        <v>0</v>
      </c>
      <c r="O20" s="193">
        <v>0</v>
      </c>
      <c r="P20" s="193">
        <v>0</v>
      </c>
      <c r="Q20" s="193">
        <v>0</v>
      </c>
      <c r="R20" s="193">
        <v>0</v>
      </c>
      <c r="S20" s="193">
        <v>0</v>
      </c>
      <c r="T20" s="193">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3">
        <v>0</v>
      </c>
      <c r="AH20" s="193">
        <v>0</v>
      </c>
      <c r="AI20" s="193">
        <v>0</v>
      </c>
      <c r="AJ20" s="193">
        <v>0</v>
      </c>
      <c r="AK20" s="193">
        <v>0</v>
      </c>
      <c r="AL20" s="193">
        <v>0</v>
      </c>
      <c r="AM20" s="193">
        <v>0</v>
      </c>
      <c r="AN20" s="66">
        <f t="shared" si="3"/>
        <v>0</v>
      </c>
    </row>
    <row r="21" spans="1:40" x14ac:dyDescent="0.25">
      <c r="A21" t="s">
        <v>42</v>
      </c>
      <c r="B21" s="15"/>
      <c r="C21" s="3"/>
      <c r="D21" s="3"/>
      <c r="E21" s="3"/>
      <c r="F21" s="112">
        <v>0</v>
      </c>
      <c r="G21" s="25">
        <v>2</v>
      </c>
      <c r="H21" s="112">
        <v>2</v>
      </c>
      <c r="I21" s="25">
        <v>2</v>
      </c>
      <c r="J21" s="112">
        <v>2</v>
      </c>
      <c r="K21" s="25">
        <v>2</v>
      </c>
      <c r="L21" s="112">
        <v>2</v>
      </c>
      <c r="M21" s="47"/>
      <c r="N21" s="193">
        <v>0</v>
      </c>
      <c r="O21" s="193">
        <v>0</v>
      </c>
      <c r="P21" s="193">
        <v>0</v>
      </c>
      <c r="Q21" s="193">
        <v>0</v>
      </c>
      <c r="R21" s="193">
        <v>0</v>
      </c>
      <c r="S21" s="193">
        <v>0</v>
      </c>
      <c r="T21" s="193">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3">
        <v>0</v>
      </c>
      <c r="AH21" s="193">
        <v>0</v>
      </c>
      <c r="AI21" s="193">
        <v>0</v>
      </c>
      <c r="AJ21" s="193">
        <v>0</v>
      </c>
      <c r="AK21" s="193">
        <v>0</v>
      </c>
      <c r="AL21" s="193">
        <v>0</v>
      </c>
      <c r="AM21" s="193">
        <v>0</v>
      </c>
      <c r="AN21" s="66">
        <f t="shared" si="3"/>
        <v>0</v>
      </c>
    </row>
    <row r="22" spans="1:40" x14ac:dyDescent="0.25">
      <c r="A22" t="s">
        <v>36</v>
      </c>
      <c r="B22" s="15"/>
      <c r="C22" s="3"/>
      <c r="D22" s="3"/>
      <c r="E22" s="3"/>
      <c r="F22" s="112">
        <v>0</v>
      </c>
      <c r="G22" s="25">
        <v>2</v>
      </c>
      <c r="H22" s="112">
        <v>2</v>
      </c>
      <c r="I22" s="25">
        <v>2</v>
      </c>
      <c r="J22" s="112">
        <v>2</v>
      </c>
      <c r="K22" s="25">
        <v>2</v>
      </c>
      <c r="L22" s="112">
        <v>2</v>
      </c>
      <c r="M22" s="47"/>
      <c r="N22" s="193">
        <v>0</v>
      </c>
      <c r="O22" s="193">
        <v>0</v>
      </c>
      <c r="P22" s="193">
        <v>0</v>
      </c>
      <c r="Q22" s="193">
        <v>0</v>
      </c>
      <c r="R22" s="193">
        <v>0</v>
      </c>
      <c r="S22" s="193">
        <v>0</v>
      </c>
      <c r="T22" s="193">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3">
        <v>0</v>
      </c>
      <c r="AH22" s="193">
        <v>0</v>
      </c>
      <c r="AI22" s="193">
        <v>0</v>
      </c>
      <c r="AJ22" s="193">
        <v>0</v>
      </c>
      <c r="AK22" s="193">
        <v>0</v>
      </c>
      <c r="AL22" s="193">
        <v>0</v>
      </c>
      <c r="AM22" s="193">
        <v>0</v>
      </c>
      <c r="AN22" s="66">
        <f t="shared" si="3"/>
        <v>0</v>
      </c>
    </row>
    <row r="23" spans="1:40" x14ac:dyDescent="0.25">
      <c r="A23" t="s">
        <v>35</v>
      </c>
      <c r="B23" s="15"/>
      <c r="C23" s="3"/>
      <c r="D23" s="3"/>
      <c r="E23" s="3"/>
      <c r="F23" s="112">
        <v>0</v>
      </c>
      <c r="G23" s="25">
        <v>2</v>
      </c>
      <c r="H23" s="112">
        <v>2</v>
      </c>
      <c r="I23" s="25">
        <v>2</v>
      </c>
      <c r="J23" s="112">
        <v>2</v>
      </c>
      <c r="K23" s="25">
        <v>2</v>
      </c>
      <c r="L23" s="112">
        <v>2</v>
      </c>
      <c r="M23" s="47"/>
      <c r="N23" s="193">
        <v>0</v>
      </c>
      <c r="O23" s="193">
        <v>0</v>
      </c>
      <c r="P23" s="193">
        <v>0</v>
      </c>
      <c r="Q23" s="193">
        <v>0</v>
      </c>
      <c r="R23" s="193">
        <v>0</v>
      </c>
      <c r="S23" s="193">
        <v>0</v>
      </c>
      <c r="T23" s="193">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3">
        <v>0</v>
      </c>
      <c r="AH23" s="193">
        <v>0</v>
      </c>
      <c r="AI23" s="193">
        <v>0</v>
      </c>
      <c r="AJ23" s="193">
        <v>0</v>
      </c>
      <c r="AK23" s="193">
        <v>0</v>
      </c>
      <c r="AL23" s="193">
        <v>0</v>
      </c>
      <c r="AM23" s="193">
        <v>0</v>
      </c>
      <c r="AN23" s="66">
        <f t="shared" si="3"/>
        <v>0</v>
      </c>
    </row>
    <row r="24" spans="1:40" x14ac:dyDescent="0.25">
      <c r="A24" t="s">
        <v>39</v>
      </c>
      <c r="B24" s="15" t="s">
        <v>320</v>
      </c>
      <c r="C24" s="3" t="s">
        <v>44</v>
      </c>
      <c r="D24" s="3">
        <v>17</v>
      </c>
      <c r="E24" s="3">
        <v>15</v>
      </c>
      <c r="F24" s="112">
        <v>0</v>
      </c>
      <c r="G24" s="25">
        <v>2</v>
      </c>
      <c r="H24" s="112">
        <v>5.7</v>
      </c>
      <c r="I24" s="25">
        <v>5.5</v>
      </c>
      <c r="J24" s="112">
        <v>5</v>
      </c>
      <c r="K24" s="25">
        <v>3</v>
      </c>
      <c r="L24" s="112">
        <v>2</v>
      </c>
      <c r="M24" s="47">
        <v>350</v>
      </c>
      <c r="N24" s="193">
        <v>0</v>
      </c>
      <c r="O24" s="193">
        <v>0</v>
      </c>
      <c r="P24" s="193">
        <v>11</v>
      </c>
      <c r="Q24" s="193">
        <f>5.5+1.5</f>
        <v>7</v>
      </c>
      <c r="R24" s="193">
        <v>7</v>
      </c>
      <c r="S24" s="193">
        <v>2</v>
      </c>
      <c r="T24" s="193">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3">
        <f>N24</f>
        <v>0</v>
      </c>
      <c r="AH24" s="193">
        <f t="shared" ref="AH24:AM26" si="4">O24</f>
        <v>0</v>
      </c>
      <c r="AI24" s="193">
        <f t="shared" si="4"/>
        <v>11</v>
      </c>
      <c r="AJ24" s="39">
        <f>Q24+X9</f>
        <v>20.5</v>
      </c>
      <c r="AK24" s="193">
        <f>R24+X10</f>
        <v>21</v>
      </c>
      <c r="AL24" s="193">
        <f t="shared" si="4"/>
        <v>2</v>
      </c>
      <c r="AM24" s="193">
        <f t="shared" si="4"/>
        <v>0</v>
      </c>
      <c r="AN24" s="66">
        <f t="shared" si="3"/>
        <v>54.5</v>
      </c>
    </row>
    <row r="25" spans="1:40" x14ac:dyDescent="0.25">
      <c r="A25" t="s">
        <v>33</v>
      </c>
      <c r="B25" s="15" t="s">
        <v>321</v>
      </c>
      <c r="C25" s="3" t="s">
        <v>294</v>
      </c>
      <c r="D25" s="3">
        <v>17</v>
      </c>
      <c r="E25" s="3">
        <v>19</v>
      </c>
      <c r="F25" s="112">
        <v>0</v>
      </c>
      <c r="G25" s="25">
        <v>6</v>
      </c>
      <c r="H25" s="112">
        <v>3</v>
      </c>
      <c r="I25" s="25">
        <v>3</v>
      </c>
      <c r="J25" s="112">
        <v>5</v>
      </c>
      <c r="K25" s="25">
        <v>2</v>
      </c>
      <c r="L25" s="112">
        <v>0</v>
      </c>
      <c r="M25" s="47">
        <v>330</v>
      </c>
      <c r="N25" s="193">
        <v>0</v>
      </c>
      <c r="O25" s="193">
        <v>14</v>
      </c>
      <c r="P25" s="193">
        <v>3</v>
      </c>
      <c r="Q25" s="193">
        <v>1.5</v>
      </c>
      <c r="R25" s="193">
        <v>7</v>
      </c>
      <c r="S25" s="193">
        <v>0</v>
      </c>
      <c r="T25" s="193">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3">
        <f>N25</f>
        <v>0</v>
      </c>
      <c r="AH25" s="193">
        <f t="shared" si="4"/>
        <v>14</v>
      </c>
      <c r="AI25" s="193">
        <f t="shared" si="4"/>
        <v>3</v>
      </c>
      <c r="AJ25" s="39">
        <f>Q25+X9</f>
        <v>15</v>
      </c>
      <c r="AK25" s="193">
        <f>R25+X10</f>
        <v>21</v>
      </c>
      <c r="AL25" s="193">
        <f t="shared" si="4"/>
        <v>0</v>
      </c>
      <c r="AM25" s="193">
        <f t="shared" si="4"/>
        <v>-2</v>
      </c>
      <c r="AN25" s="66">
        <f>SUM(AG25:AM25)</f>
        <v>51</v>
      </c>
    </row>
    <row r="26" spans="1:40" x14ac:dyDescent="0.25">
      <c r="A26" t="s">
        <v>41</v>
      </c>
      <c r="B26" s="15" t="s">
        <v>322</v>
      </c>
      <c r="C26" s="3" t="s">
        <v>294</v>
      </c>
      <c r="D26" s="3">
        <v>17</v>
      </c>
      <c r="E26" s="3">
        <v>15</v>
      </c>
      <c r="F26" s="112">
        <v>0</v>
      </c>
      <c r="G26" s="25">
        <v>3</v>
      </c>
      <c r="H26" s="112">
        <v>5</v>
      </c>
      <c r="I26" s="25">
        <v>4</v>
      </c>
      <c r="J26" s="112">
        <v>4</v>
      </c>
      <c r="K26" s="25">
        <v>3</v>
      </c>
      <c r="L26" s="112">
        <v>0</v>
      </c>
      <c r="M26" s="47">
        <v>290</v>
      </c>
      <c r="N26" s="193">
        <v>0</v>
      </c>
      <c r="O26" s="193">
        <v>3</v>
      </c>
      <c r="P26" s="193">
        <v>9</v>
      </c>
      <c r="Q26" s="193">
        <v>3.5</v>
      </c>
      <c r="R26" s="193">
        <v>4</v>
      </c>
      <c r="S26" s="193">
        <v>2</v>
      </c>
      <c r="T26" s="193">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3">
        <f>N26</f>
        <v>0</v>
      </c>
      <c r="AH26" s="193">
        <f t="shared" si="4"/>
        <v>3</v>
      </c>
      <c r="AI26" s="193">
        <f t="shared" si="4"/>
        <v>9</v>
      </c>
      <c r="AJ26" s="193">
        <f>Q26+X10</f>
        <v>17.5</v>
      </c>
      <c r="AK26" s="193">
        <f>R26+X10</f>
        <v>18</v>
      </c>
      <c r="AL26" s="193">
        <f t="shared" si="4"/>
        <v>2</v>
      </c>
      <c r="AM26" s="193">
        <f t="shared" si="4"/>
        <v>-2</v>
      </c>
      <c r="AN26" s="66">
        <f>SUM(AG26:AM26)</f>
        <v>47.5</v>
      </c>
    </row>
    <row r="27" spans="1:40" x14ac:dyDescent="0.25">
      <c r="A27" t="s">
        <v>45</v>
      </c>
      <c r="B27" s="15"/>
      <c r="C27" s="3"/>
      <c r="D27" s="3"/>
      <c r="E27" s="3"/>
      <c r="F27" s="112">
        <v>0</v>
      </c>
      <c r="G27" s="25">
        <v>2</v>
      </c>
      <c r="H27" s="112">
        <v>2</v>
      </c>
      <c r="I27" s="25">
        <v>2</v>
      </c>
      <c r="J27" s="112">
        <v>2</v>
      </c>
      <c r="K27" s="25">
        <v>2</v>
      </c>
      <c r="L27" s="112">
        <v>2</v>
      </c>
      <c r="M27" s="47"/>
      <c r="N27" s="193">
        <v>0</v>
      </c>
      <c r="O27" s="193">
        <v>0</v>
      </c>
      <c r="P27" s="193">
        <v>0</v>
      </c>
      <c r="Q27" s="193">
        <v>0</v>
      </c>
      <c r="R27" s="193">
        <v>0</v>
      </c>
      <c r="S27" s="193">
        <v>0</v>
      </c>
      <c r="T27" s="193">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3">
        <v>0</v>
      </c>
      <c r="AH27" s="193">
        <v>0</v>
      </c>
      <c r="AI27" s="193">
        <v>0</v>
      </c>
      <c r="AJ27" s="193">
        <v>0</v>
      </c>
      <c r="AK27" s="193">
        <v>0</v>
      </c>
      <c r="AL27" s="193">
        <v>0</v>
      </c>
      <c r="AM27" s="193">
        <v>0</v>
      </c>
      <c r="AN27" s="66">
        <f>SUM(AG27:AM27)</f>
        <v>0</v>
      </c>
    </row>
    <row r="28" spans="1:40" x14ac:dyDescent="0.25">
      <c r="A28" t="s">
        <v>323</v>
      </c>
      <c r="B28" s="15"/>
      <c r="C28" s="3"/>
      <c r="D28" s="3"/>
      <c r="E28" s="3"/>
      <c r="F28" s="112">
        <v>0</v>
      </c>
      <c r="G28" s="25">
        <v>2</v>
      </c>
      <c r="H28" s="112">
        <v>2</v>
      </c>
      <c r="I28" s="25">
        <v>2</v>
      </c>
      <c r="J28" s="112">
        <v>2</v>
      </c>
      <c r="K28" s="25">
        <v>2</v>
      </c>
      <c r="L28" s="112">
        <v>2</v>
      </c>
      <c r="M28" s="47"/>
      <c r="N28" s="193">
        <v>0</v>
      </c>
      <c r="O28" s="193">
        <v>0</v>
      </c>
      <c r="P28" s="193">
        <v>0</v>
      </c>
      <c r="Q28" s="193">
        <v>0</v>
      </c>
      <c r="R28" s="193">
        <v>0</v>
      </c>
      <c r="S28" s="193">
        <v>0</v>
      </c>
      <c r="T28" s="193">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3">
        <v>0</v>
      </c>
      <c r="AH28" s="193">
        <v>0</v>
      </c>
      <c r="AI28" s="193">
        <v>0</v>
      </c>
      <c r="AJ28" s="193">
        <v>0</v>
      </c>
      <c r="AK28" s="193">
        <v>0</v>
      </c>
      <c r="AL28" s="193">
        <v>0</v>
      </c>
      <c r="AM28" s="193">
        <v>0</v>
      </c>
      <c r="AN28" s="66">
        <f>SUM(AG28:AM28)</f>
        <v>0</v>
      </c>
    </row>
    <row r="29" spans="1:40" x14ac:dyDescent="0.25">
      <c r="A29"/>
      <c r="B29"/>
      <c r="F29" s="193"/>
      <c r="G29" s="193"/>
      <c r="H29" s="193"/>
      <c r="I29" s="193"/>
      <c r="J29" s="193"/>
      <c r="K29" s="193"/>
      <c r="L29" s="193"/>
      <c r="M29" s="194">
        <f>SUM(M31:M45)</f>
        <v>15124.68</v>
      </c>
      <c r="N29" s="193"/>
      <c r="O29" s="193"/>
      <c r="P29" s="193"/>
      <c r="Q29" s="193"/>
      <c r="R29" s="193"/>
      <c r="S29" s="193"/>
      <c r="T29" s="193"/>
      <c r="U29" s="193"/>
      <c r="Y29" s="193"/>
      <c r="Z29" s="193"/>
      <c r="AA29" s="193"/>
      <c r="AB29" s="193"/>
      <c r="AC29" s="193"/>
      <c r="AD29" s="193"/>
      <c r="AE29" s="193"/>
      <c r="AF29" s="194">
        <f>SUM(AF31:AF45)</f>
        <v>42675.44</v>
      </c>
      <c r="AG29" s="193"/>
      <c r="AH29" s="193"/>
      <c r="AI29" s="193"/>
      <c r="AJ29" s="193"/>
      <c r="AK29" s="193"/>
      <c r="AL29" s="193"/>
      <c r="AM29" s="193"/>
      <c r="AN29" s="193"/>
    </row>
    <row r="30" spans="1:40" x14ac:dyDescent="0.25">
      <c r="A30" s="10" t="s">
        <v>169</v>
      </c>
      <c r="B30" s="10" t="s">
        <v>2</v>
      </c>
      <c r="C30" s="10" t="s">
        <v>83</v>
      </c>
      <c r="D30" s="10" t="s">
        <v>310</v>
      </c>
      <c r="E30" s="10" t="s">
        <v>311</v>
      </c>
      <c r="F30" s="10" t="s">
        <v>15</v>
      </c>
      <c r="G30" s="10" t="s">
        <v>16</v>
      </c>
      <c r="H30" s="10" t="s">
        <v>17</v>
      </c>
      <c r="I30" s="10" t="s">
        <v>18</v>
      </c>
      <c r="J30" s="10" t="s">
        <v>19</v>
      </c>
      <c r="K30" s="10" t="s">
        <v>20</v>
      </c>
      <c r="L30" s="10" t="s">
        <v>6</v>
      </c>
      <c r="M30" s="10" t="s">
        <v>67</v>
      </c>
      <c r="N30" s="10" t="s">
        <v>312</v>
      </c>
      <c r="O30" s="10" t="s">
        <v>313</v>
      </c>
      <c r="P30" s="10" t="s">
        <v>314</v>
      </c>
      <c r="Q30" s="10" t="s">
        <v>315</v>
      </c>
      <c r="R30" s="10" t="s">
        <v>316</v>
      </c>
      <c r="S30" s="10" t="s">
        <v>317</v>
      </c>
      <c r="T30" s="10" t="s">
        <v>318</v>
      </c>
      <c r="U30" s="10" t="s">
        <v>319</v>
      </c>
      <c r="W30" s="10" t="s">
        <v>310</v>
      </c>
      <c r="X30" s="10" t="s">
        <v>311</v>
      </c>
      <c r="Y30" s="10" t="s">
        <v>15</v>
      </c>
      <c r="Z30" s="10" t="s">
        <v>16</v>
      </c>
      <c r="AA30" s="10" t="s">
        <v>17</v>
      </c>
      <c r="AB30" s="10" t="s">
        <v>18</v>
      </c>
      <c r="AC30" s="10" t="s">
        <v>19</v>
      </c>
      <c r="AD30" s="10" t="s">
        <v>20</v>
      </c>
      <c r="AE30" s="10" t="s">
        <v>6</v>
      </c>
      <c r="AF30" s="10" t="s">
        <v>67</v>
      </c>
      <c r="AG30" s="10" t="s">
        <v>312</v>
      </c>
      <c r="AH30" s="10" t="s">
        <v>313</v>
      </c>
      <c r="AI30" s="10" t="s">
        <v>314</v>
      </c>
      <c r="AJ30" s="10" t="s">
        <v>315</v>
      </c>
      <c r="AK30" s="10" t="s">
        <v>316</v>
      </c>
      <c r="AL30" s="10" t="s">
        <v>317</v>
      </c>
      <c r="AM30" s="10" t="s">
        <v>318</v>
      </c>
      <c r="AN30" s="10" t="s">
        <v>319</v>
      </c>
    </row>
    <row r="31" spans="1:40" x14ac:dyDescent="0.25">
      <c r="A31" t="s">
        <v>28</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3">
        <f>AG13</f>
        <v>0</v>
      </c>
      <c r="O31" s="193">
        <f t="shared" ref="O31:T46" si="6">AH13</f>
        <v>0</v>
      </c>
      <c r="P31" s="193">
        <f t="shared" si="6"/>
        <v>0</v>
      </c>
      <c r="Q31" s="193">
        <f t="shared" si="6"/>
        <v>0</v>
      </c>
      <c r="R31" s="193">
        <f t="shared" si="6"/>
        <v>0</v>
      </c>
      <c r="S31" s="193">
        <f t="shared" si="6"/>
        <v>0</v>
      </c>
      <c r="T31" s="193">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3">
        <f>N31</f>
        <v>0</v>
      </c>
      <c r="AH31" s="193">
        <f t="shared" ref="AH31:AM46" si="8">O31</f>
        <v>0</v>
      </c>
      <c r="AI31" s="193">
        <f t="shared" si="8"/>
        <v>0</v>
      </c>
      <c r="AJ31" s="193">
        <f t="shared" si="8"/>
        <v>0</v>
      </c>
      <c r="AK31" s="193">
        <f t="shared" si="8"/>
        <v>0</v>
      </c>
      <c r="AL31" s="193">
        <f t="shared" si="8"/>
        <v>0</v>
      </c>
      <c r="AM31" s="193">
        <f t="shared" si="8"/>
        <v>0</v>
      </c>
      <c r="AN31" s="66">
        <f>SUM(AG31:AM31)</f>
        <v>0</v>
      </c>
    </row>
    <row r="32" spans="1:40" x14ac:dyDescent="0.25">
      <c r="A32" t="s">
        <v>31</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3">
        <f t="shared" ref="N32:N46" si="10">AG14</f>
        <v>0</v>
      </c>
      <c r="O32" s="193">
        <f t="shared" si="6"/>
        <v>0</v>
      </c>
      <c r="P32" s="193">
        <f t="shared" si="6"/>
        <v>0</v>
      </c>
      <c r="Q32" s="193">
        <f t="shared" si="6"/>
        <v>0</v>
      </c>
      <c r="R32" s="193">
        <f t="shared" si="6"/>
        <v>0</v>
      </c>
      <c r="S32" s="193">
        <f t="shared" si="6"/>
        <v>0</v>
      </c>
      <c r="T32" s="193">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3">
        <f t="shared" ref="AG32:AG46" si="12">N32</f>
        <v>0</v>
      </c>
      <c r="AH32" s="193">
        <f t="shared" si="8"/>
        <v>0</v>
      </c>
      <c r="AI32" s="193">
        <f t="shared" si="8"/>
        <v>0</v>
      </c>
      <c r="AJ32" s="193">
        <f t="shared" si="8"/>
        <v>0</v>
      </c>
      <c r="AK32" s="193">
        <f t="shared" si="8"/>
        <v>0</v>
      </c>
      <c r="AL32" s="193">
        <f t="shared" si="8"/>
        <v>0</v>
      </c>
      <c r="AM32" s="193">
        <f t="shared" si="8"/>
        <v>0</v>
      </c>
      <c r="AN32" s="66">
        <f>SUM(AG32:AM32)</f>
        <v>0</v>
      </c>
    </row>
    <row r="33" spans="1:46" x14ac:dyDescent="0.25">
      <c r="A33" t="s">
        <v>32</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3">
        <f t="shared" si="10"/>
        <v>0</v>
      </c>
      <c r="O33" s="193">
        <f t="shared" si="6"/>
        <v>0</v>
      </c>
      <c r="P33" s="193">
        <f t="shared" si="6"/>
        <v>0</v>
      </c>
      <c r="Q33" s="193">
        <f t="shared" si="6"/>
        <v>0</v>
      </c>
      <c r="R33" s="193">
        <f t="shared" si="6"/>
        <v>0</v>
      </c>
      <c r="S33" s="193">
        <f t="shared" si="6"/>
        <v>0</v>
      </c>
      <c r="T33" s="193">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3">
        <f t="shared" si="12"/>
        <v>0</v>
      </c>
      <c r="AH33" s="193">
        <f t="shared" si="8"/>
        <v>0</v>
      </c>
      <c r="AI33" s="193">
        <f t="shared" si="8"/>
        <v>0</v>
      </c>
      <c r="AJ33" s="193">
        <f t="shared" si="8"/>
        <v>0</v>
      </c>
      <c r="AK33" s="193">
        <f t="shared" si="8"/>
        <v>0</v>
      </c>
      <c r="AL33" s="193">
        <f t="shared" si="8"/>
        <v>0</v>
      </c>
      <c r="AM33" s="193">
        <f t="shared" si="8"/>
        <v>0</v>
      </c>
      <c r="AN33" s="66">
        <f>SUM(AG33:AM33)</f>
        <v>0</v>
      </c>
    </row>
    <row r="34" spans="1:46" x14ac:dyDescent="0.25">
      <c r="A34" t="s">
        <v>38</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3">
        <f t="shared" si="10"/>
        <v>0</v>
      </c>
      <c r="O34" s="193">
        <f t="shared" si="6"/>
        <v>0</v>
      </c>
      <c r="P34" s="193">
        <f t="shared" si="6"/>
        <v>0</v>
      </c>
      <c r="Q34" s="193">
        <f t="shared" si="6"/>
        <v>0</v>
      </c>
      <c r="R34" s="193">
        <f t="shared" si="6"/>
        <v>0</v>
      </c>
      <c r="S34" s="193">
        <f t="shared" si="6"/>
        <v>0</v>
      </c>
      <c r="T34" s="193">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3">
        <f t="shared" si="12"/>
        <v>0</v>
      </c>
      <c r="AH34" s="193">
        <f t="shared" si="8"/>
        <v>0</v>
      </c>
      <c r="AI34" s="193">
        <f t="shared" si="8"/>
        <v>0</v>
      </c>
      <c r="AJ34" s="193">
        <f t="shared" si="8"/>
        <v>0</v>
      </c>
      <c r="AK34" s="193">
        <f t="shared" si="8"/>
        <v>0</v>
      </c>
      <c r="AL34" s="193">
        <f t="shared" si="8"/>
        <v>0</v>
      </c>
      <c r="AM34" s="193">
        <f t="shared" si="8"/>
        <v>0</v>
      </c>
      <c r="AN34" s="66">
        <f>SUM(AG34:AM34)</f>
        <v>0</v>
      </c>
    </row>
    <row r="35" spans="1:46" x14ac:dyDescent="0.25">
      <c r="A35" t="s">
        <v>40</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3">
        <f t="shared" si="10"/>
        <v>0</v>
      </c>
      <c r="O35" s="193">
        <f t="shared" si="6"/>
        <v>0</v>
      </c>
      <c r="P35" s="193">
        <f t="shared" si="6"/>
        <v>0</v>
      </c>
      <c r="Q35" s="193">
        <f t="shared" si="6"/>
        <v>0</v>
      </c>
      <c r="R35" s="193">
        <f t="shared" si="6"/>
        <v>0</v>
      </c>
      <c r="S35" s="193">
        <f t="shared" si="6"/>
        <v>0</v>
      </c>
      <c r="T35" s="193">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3">
        <f t="shared" si="12"/>
        <v>0</v>
      </c>
      <c r="AH35" s="193">
        <f t="shared" si="8"/>
        <v>0</v>
      </c>
      <c r="AI35" s="193">
        <f t="shared" si="8"/>
        <v>0</v>
      </c>
      <c r="AJ35" s="193">
        <f t="shared" si="8"/>
        <v>0</v>
      </c>
      <c r="AK35" s="193">
        <f t="shared" si="8"/>
        <v>0</v>
      </c>
      <c r="AL35" s="193">
        <f t="shared" si="8"/>
        <v>0</v>
      </c>
      <c r="AM35" s="193">
        <f t="shared" si="8"/>
        <v>0</v>
      </c>
      <c r="AN35" s="66">
        <f t="shared" ref="AN35:AN42" si="14">SUM(AG35:AM35)</f>
        <v>0</v>
      </c>
    </row>
    <row r="36" spans="1:46" x14ac:dyDescent="0.25">
      <c r="A36" t="s">
        <v>37</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3">
        <f t="shared" si="10"/>
        <v>0</v>
      </c>
      <c r="O36" s="193">
        <f t="shared" si="6"/>
        <v>0</v>
      </c>
      <c r="P36" s="193">
        <f t="shared" si="6"/>
        <v>0</v>
      </c>
      <c r="Q36" s="193">
        <f t="shared" si="6"/>
        <v>0</v>
      </c>
      <c r="R36" s="193">
        <f t="shared" si="6"/>
        <v>0</v>
      </c>
      <c r="S36" s="193">
        <f t="shared" si="6"/>
        <v>0</v>
      </c>
      <c r="T36" s="193">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3">
        <f t="shared" si="12"/>
        <v>0</v>
      </c>
      <c r="AH36" s="193">
        <f t="shared" si="8"/>
        <v>0</v>
      </c>
      <c r="AI36" s="193">
        <f t="shared" si="8"/>
        <v>0</v>
      </c>
      <c r="AJ36" s="193">
        <f t="shared" si="8"/>
        <v>0</v>
      </c>
      <c r="AK36" s="193">
        <f t="shared" si="8"/>
        <v>0</v>
      </c>
      <c r="AL36" s="193">
        <f t="shared" si="8"/>
        <v>0</v>
      </c>
      <c r="AM36" s="193">
        <f t="shared" si="8"/>
        <v>0</v>
      </c>
      <c r="AN36" s="66">
        <f t="shared" si="14"/>
        <v>0</v>
      </c>
    </row>
    <row r="37" spans="1:46" x14ac:dyDescent="0.25">
      <c r="A37" t="s">
        <v>34</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3">
        <f t="shared" si="10"/>
        <v>0</v>
      </c>
      <c r="O37" s="193">
        <f t="shared" si="6"/>
        <v>0</v>
      </c>
      <c r="P37" s="193">
        <f t="shared" si="6"/>
        <v>0</v>
      </c>
      <c r="Q37" s="193">
        <f t="shared" si="6"/>
        <v>0</v>
      </c>
      <c r="R37" s="193">
        <f t="shared" si="6"/>
        <v>0</v>
      </c>
      <c r="S37" s="193">
        <f t="shared" si="6"/>
        <v>0</v>
      </c>
      <c r="T37" s="193">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3">
        <f t="shared" si="12"/>
        <v>0</v>
      </c>
      <c r="AH37" s="193">
        <f t="shared" si="8"/>
        <v>0</v>
      </c>
      <c r="AI37" s="193">
        <f t="shared" si="8"/>
        <v>0</v>
      </c>
      <c r="AJ37" s="193">
        <f t="shared" si="8"/>
        <v>0</v>
      </c>
      <c r="AK37" s="193">
        <f t="shared" si="8"/>
        <v>0</v>
      </c>
      <c r="AL37" s="193">
        <f t="shared" si="8"/>
        <v>0</v>
      </c>
      <c r="AM37" s="193">
        <f t="shared" si="8"/>
        <v>0</v>
      </c>
      <c r="AN37" s="66">
        <f t="shared" si="14"/>
        <v>0</v>
      </c>
      <c r="AP37" s="197" t="s">
        <v>89</v>
      </c>
      <c r="AQ37" s="197">
        <v>33</v>
      </c>
      <c r="AR37" s="197" t="s">
        <v>87</v>
      </c>
      <c r="AS37" s="197">
        <v>15</v>
      </c>
    </row>
    <row r="38" spans="1:46" x14ac:dyDescent="0.25">
      <c r="A38" t="s">
        <v>30</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3">
        <f t="shared" si="10"/>
        <v>0</v>
      </c>
      <c r="O38" s="193">
        <f t="shared" si="6"/>
        <v>0</v>
      </c>
      <c r="P38" s="193">
        <f t="shared" si="6"/>
        <v>0</v>
      </c>
      <c r="Q38" s="193">
        <f t="shared" si="6"/>
        <v>0</v>
      </c>
      <c r="R38" s="193">
        <f t="shared" si="6"/>
        <v>0</v>
      </c>
      <c r="S38" s="193">
        <f t="shared" si="6"/>
        <v>0</v>
      </c>
      <c r="T38" s="193">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3">
        <f t="shared" si="12"/>
        <v>0</v>
      </c>
      <c r="AH38" s="193">
        <f t="shared" si="8"/>
        <v>0</v>
      </c>
      <c r="AI38" s="193">
        <f t="shared" si="8"/>
        <v>0</v>
      </c>
      <c r="AJ38" s="193">
        <f t="shared" si="8"/>
        <v>0</v>
      </c>
      <c r="AK38" s="193">
        <f t="shared" si="8"/>
        <v>0</v>
      </c>
      <c r="AL38" s="193">
        <f t="shared" si="8"/>
        <v>0</v>
      </c>
      <c r="AM38" s="193">
        <f t="shared" si="8"/>
        <v>0</v>
      </c>
      <c r="AN38" s="66">
        <f t="shared" si="14"/>
        <v>0</v>
      </c>
      <c r="AQ38">
        <f>AQ37*7</f>
        <v>231</v>
      </c>
      <c r="AS38">
        <f>AS37*7</f>
        <v>105</v>
      </c>
      <c r="AT38">
        <f>AQ38+AS38</f>
        <v>336</v>
      </c>
    </row>
    <row r="39" spans="1:46" x14ac:dyDescent="0.25">
      <c r="A39" t="s">
        <v>42</v>
      </c>
      <c r="B39" s="15" t="s">
        <v>324</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3">
        <f t="shared" si="10"/>
        <v>0</v>
      </c>
      <c r="O39" s="193">
        <v>18</v>
      </c>
      <c r="P39" s="193">
        <v>33</v>
      </c>
      <c r="Q39" s="193">
        <f t="shared" si="6"/>
        <v>0</v>
      </c>
      <c r="R39" s="193">
        <f t="shared" si="6"/>
        <v>0</v>
      </c>
      <c r="S39" s="193">
        <f t="shared" si="6"/>
        <v>0</v>
      </c>
      <c r="T39" s="193">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3">
        <f t="shared" si="12"/>
        <v>0</v>
      </c>
      <c r="AH39" s="193">
        <f t="shared" si="8"/>
        <v>18</v>
      </c>
      <c r="AI39" s="193">
        <v>48</v>
      </c>
      <c r="AJ39" s="193">
        <f t="shared" si="8"/>
        <v>0</v>
      </c>
      <c r="AK39" s="193">
        <f t="shared" si="8"/>
        <v>0</v>
      </c>
      <c r="AL39" s="193">
        <v>33</v>
      </c>
      <c r="AM39" s="193">
        <f t="shared" si="8"/>
        <v>0</v>
      </c>
      <c r="AN39" s="66">
        <f t="shared" si="14"/>
        <v>99</v>
      </c>
      <c r="AQ39">
        <f>AQ38-112</f>
        <v>119</v>
      </c>
      <c r="AT39">
        <f>AT38-112</f>
        <v>224</v>
      </c>
    </row>
    <row r="40" spans="1:46" x14ac:dyDescent="0.25">
      <c r="A40" t="s">
        <v>36</v>
      </c>
      <c r="B40" s="15" t="s">
        <v>324</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3">
        <f t="shared" si="10"/>
        <v>0</v>
      </c>
      <c r="O40" s="193">
        <v>18</v>
      </c>
      <c r="P40" s="193">
        <v>33</v>
      </c>
      <c r="Q40" s="193">
        <f t="shared" si="6"/>
        <v>0</v>
      </c>
      <c r="R40" s="193">
        <f t="shared" si="6"/>
        <v>0</v>
      </c>
      <c r="S40" s="193">
        <f t="shared" si="6"/>
        <v>0</v>
      </c>
      <c r="T40" s="193">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3">
        <f t="shared" si="12"/>
        <v>0</v>
      </c>
      <c r="AH40" s="193">
        <f t="shared" si="8"/>
        <v>18</v>
      </c>
      <c r="AI40" s="193">
        <v>48</v>
      </c>
      <c r="AJ40" s="193">
        <f t="shared" si="8"/>
        <v>0</v>
      </c>
      <c r="AK40" s="193">
        <f t="shared" si="8"/>
        <v>0</v>
      </c>
      <c r="AL40" s="193">
        <v>33</v>
      </c>
      <c r="AM40" s="193">
        <f t="shared" si="8"/>
        <v>0</v>
      </c>
      <c r="AN40" s="66">
        <f t="shared" si="14"/>
        <v>99</v>
      </c>
      <c r="AQ40">
        <f>AQ39-112</f>
        <v>7</v>
      </c>
      <c r="AT40">
        <f>AT39-112</f>
        <v>112</v>
      </c>
    </row>
    <row r="41" spans="1:46" x14ac:dyDescent="0.25">
      <c r="A41" t="s">
        <v>35</v>
      </c>
      <c r="B41" s="15" t="s">
        <v>324</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3">
        <f t="shared" si="10"/>
        <v>0</v>
      </c>
      <c r="O41" s="193">
        <v>18</v>
      </c>
      <c r="P41" s="193">
        <v>33</v>
      </c>
      <c r="Q41" s="193">
        <f t="shared" si="6"/>
        <v>0</v>
      </c>
      <c r="R41" s="193">
        <f t="shared" si="6"/>
        <v>0</v>
      </c>
      <c r="S41" s="193">
        <f t="shared" si="6"/>
        <v>0</v>
      </c>
      <c r="T41" s="193">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3">
        <f t="shared" si="12"/>
        <v>0</v>
      </c>
      <c r="AH41" s="193">
        <f t="shared" si="8"/>
        <v>18</v>
      </c>
      <c r="AI41" s="193">
        <v>48</v>
      </c>
      <c r="AJ41" s="193">
        <f t="shared" si="8"/>
        <v>0</v>
      </c>
      <c r="AK41" s="193">
        <f t="shared" si="8"/>
        <v>0</v>
      </c>
      <c r="AL41" s="193">
        <v>33</v>
      </c>
      <c r="AM41" s="193">
        <f t="shared" si="8"/>
        <v>0</v>
      </c>
      <c r="AN41" s="66">
        <f t="shared" si="14"/>
        <v>99</v>
      </c>
      <c r="AT41">
        <f>AT40-112</f>
        <v>0</v>
      </c>
    </row>
    <row r="42" spans="1:46" x14ac:dyDescent="0.25">
      <c r="A42" t="s">
        <v>39</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3">
        <f t="shared" si="10"/>
        <v>0</v>
      </c>
      <c r="O42" s="193">
        <f t="shared" si="6"/>
        <v>0</v>
      </c>
      <c r="P42" s="193">
        <f t="shared" si="6"/>
        <v>11</v>
      </c>
      <c r="Q42" s="193">
        <f t="shared" si="6"/>
        <v>20.5</v>
      </c>
      <c r="R42" s="193">
        <f t="shared" si="6"/>
        <v>21</v>
      </c>
      <c r="S42" s="193">
        <f t="shared" si="6"/>
        <v>2</v>
      </c>
      <c r="T42" s="193">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3">
        <f t="shared" si="12"/>
        <v>0</v>
      </c>
      <c r="AH42" s="193">
        <f t="shared" si="8"/>
        <v>0</v>
      </c>
      <c r="AI42" s="193">
        <f>P42+15</f>
        <v>26</v>
      </c>
      <c r="AJ42" s="193">
        <f t="shared" si="8"/>
        <v>20.5</v>
      </c>
      <c r="AK42" s="193">
        <f t="shared" si="8"/>
        <v>21</v>
      </c>
      <c r="AL42" s="193">
        <f>2+33</f>
        <v>35</v>
      </c>
      <c r="AM42" s="193">
        <f t="shared" si="8"/>
        <v>0</v>
      </c>
      <c r="AN42" s="66">
        <f t="shared" si="14"/>
        <v>102.5</v>
      </c>
    </row>
    <row r="43" spans="1:46" x14ac:dyDescent="0.25">
      <c r="A43" t="s">
        <v>33</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3">
        <f t="shared" si="10"/>
        <v>0</v>
      </c>
      <c r="O43" s="193">
        <f t="shared" si="6"/>
        <v>14</v>
      </c>
      <c r="P43" s="193">
        <f t="shared" si="6"/>
        <v>3</v>
      </c>
      <c r="Q43" s="193">
        <f t="shared" si="6"/>
        <v>15</v>
      </c>
      <c r="R43" s="193">
        <f t="shared" si="6"/>
        <v>21</v>
      </c>
      <c r="S43" s="193">
        <f t="shared" si="6"/>
        <v>0</v>
      </c>
      <c r="T43" s="193">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3">
        <f t="shared" si="12"/>
        <v>0</v>
      </c>
      <c r="AH43" s="193">
        <f t="shared" si="8"/>
        <v>14</v>
      </c>
      <c r="AI43" s="193">
        <f>P43+15</f>
        <v>18</v>
      </c>
      <c r="AJ43" s="193">
        <f t="shared" si="8"/>
        <v>15</v>
      </c>
      <c r="AK43" s="193">
        <f t="shared" si="8"/>
        <v>21</v>
      </c>
      <c r="AL43" s="193">
        <v>33</v>
      </c>
      <c r="AM43" s="193">
        <f t="shared" si="8"/>
        <v>-2</v>
      </c>
      <c r="AN43" s="66">
        <f>SUM(AG43:AM43)</f>
        <v>99</v>
      </c>
    </row>
    <row r="44" spans="1:46" x14ac:dyDescent="0.25">
      <c r="A44" t="s">
        <v>41</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3">
        <f t="shared" si="10"/>
        <v>0</v>
      </c>
      <c r="O44" s="193">
        <f t="shared" si="6"/>
        <v>3</v>
      </c>
      <c r="P44" s="193">
        <f t="shared" si="6"/>
        <v>9</v>
      </c>
      <c r="Q44" s="193">
        <f t="shared" si="6"/>
        <v>17.5</v>
      </c>
      <c r="R44" s="193">
        <f t="shared" si="6"/>
        <v>18</v>
      </c>
      <c r="S44" s="193">
        <f t="shared" si="6"/>
        <v>2</v>
      </c>
      <c r="T44" s="193">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3">
        <f t="shared" si="12"/>
        <v>0</v>
      </c>
      <c r="AH44" s="193">
        <f t="shared" si="8"/>
        <v>3</v>
      </c>
      <c r="AI44" s="193">
        <f>P44+15</f>
        <v>24</v>
      </c>
      <c r="AJ44" s="193">
        <f t="shared" si="8"/>
        <v>17.5</v>
      </c>
      <c r="AK44" s="193">
        <f t="shared" si="8"/>
        <v>18</v>
      </c>
      <c r="AL44" s="193">
        <f>2+33</f>
        <v>35</v>
      </c>
      <c r="AM44" s="193">
        <f t="shared" si="8"/>
        <v>-2</v>
      </c>
      <c r="AN44" s="66">
        <f>SUM(AG44:AM44)</f>
        <v>95.5</v>
      </c>
    </row>
    <row r="45" spans="1:46" x14ac:dyDescent="0.25">
      <c r="A45" t="s">
        <v>45</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3">
        <f t="shared" si="10"/>
        <v>0</v>
      </c>
      <c r="O45" s="193">
        <f t="shared" si="6"/>
        <v>0</v>
      </c>
      <c r="P45" s="193">
        <f t="shared" si="6"/>
        <v>0</v>
      </c>
      <c r="Q45" s="193">
        <f t="shared" si="6"/>
        <v>0</v>
      </c>
      <c r="R45" s="193">
        <f t="shared" si="6"/>
        <v>0</v>
      </c>
      <c r="S45" s="193">
        <f t="shared" si="6"/>
        <v>0</v>
      </c>
      <c r="T45" s="193">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3">
        <f t="shared" si="12"/>
        <v>0</v>
      </c>
      <c r="AH45" s="193">
        <f t="shared" si="8"/>
        <v>0</v>
      </c>
      <c r="AI45" s="193">
        <f t="shared" si="8"/>
        <v>0</v>
      </c>
      <c r="AJ45" s="193">
        <f t="shared" si="8"/>
        <v>0</v>
      </c>
      <c r="AK45" s="193">
        <f t="shared" si="8"/>
        <v>0</v>
      </c>
      <c r="AL45" s="193">
        <f t="shared" si="8"/>
        <v>0</v>
      </c>
      <c r="AM45" s="193">
        <f t="shared" si="8"/>
        <v>0</v>
      </c>
      <c r="AN45" s="66">
        <f>SUM(AG45:AM45)</f>
        <v>0</v>
      </c>
    </row>
    <row r="46" spans="1:46" x14ac:dyDescent="0.25">
      <c r="A46" t="s">
        <v>323</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3">
        <f t="shared" si="10"/>
        <v>0</v>
      </c>
      <c r="O46" s="193">
        <f t="shared" si="6"/>
        <v>0</v>
      </c>
      <c r="P46" s="193">
        <f t="shared" si="6"/>
        <v>0</v>
      </c>
      <c r="Q46" s="193">
        <f t="shared" si="6"/>
        <v>0</v>
      </c>
      <c r="R46" s="193">
        <f t="shared" si="6"/>
        <v>0</v>
      </c>
      <c r="S46" s="193">
        <f t="shared" si="6"/>
        <v>0</v>
      </c>
      <c r="T46" s="193">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3">
        <f t="shared" si="12"/>
        <v>0</v>
      </c>
      <c r="AH46" s="193">
        <f t="shared" si="8"/>
        <v>0</v>
      </c>
      <c r="AI46" s="193">
        <f t="shared" si="8"/>
        <v>0</v>
      </c>
      <c r="AJ46" s="193">
        <f t="shared" si="8"/>
        <v>0</v>
      </c>
      <c r="AK46" s="193">
        <f t="shared" si="8"/>
        <v>0</v>
      </c>
      <c r="AL46" s="193">
        <f t="shared" si="8"/>
        <v>0</v>
      </c>
      <c r="AM46" s="193">
        <f t="shared" si="8"/>
        <v>0</v>
      </c>
      <c r="AN46" s="66">
        <f>SUM(AG46:AM46)</f>
        <v>0</v>
      </c>
    </row>
    <row r="47" spans="1:46" x14ac:dyDescent="0.25">
      <c r="A47"/>
      <c r="B47"/>
      <c r="F47" s="193"/>
      <c r="G47" s="193"/>
      <c r="H47" s="193"/>
      <c r="I47" s="193"/>
      <c r="J47" s="193"/>
      <c r="K47" s="193"/>
      <c r="L47" s="193"/>
      <c r="M47" s="194">
        <f>SUM(M49:M63)</f>
        <v>64407.92</v>
      </c>
      <c r="N47" s="193"/>
      <c r="O47" s="193"/>
      <c r="P47" s="193"/>
      <c r="Q47" s="193"/>
      <c r="R47" s="193"/>
      <c r="S47" s="193"/>
      <c r="T47" s="193"/>
      <c r="U47" s="193"/>
      <c r="Y47" s="193"/>
      <c r="Z47" s="193"/>
      <c r="AA47" s="193"/>
      <c r="AB47" s="193"/>
      <c r="AC47" s="193"/>
      <c r="AD47" s="193"/>
      <c r="AE47" s="193"/>
      <c r="AF47" s="194">
        <f>SUM(AF49:AF63)</f>
        <v>89732.88</v>
      </c>
      <c r="AG47" s="193"/>
      <c r="AH47" s="193"/>
      <c r="AI47" s="193"/>
      <c r="AJ47" s="193"/>
      <c r="AK47" s="193"/>
      <c r="AL47" s="193"/>
      <c r="AM47" s="193"/>
      <c r="AN47" s="193"/>
    </row>
    <row r="48" spans="1:46" x14ac:dyDescent="0.25">
      <c r="A48" s="10" t="s">
        <v>169</v>
      </c>
      <c r="B48" s="10" t="s">
        <v>2</v>
      </c>
      <c r="C48" s="10" t="s">
        <v>83</v>
      </c>
      <c r="D48" s="10" t="s">
        <v>310</v>
      </c>
      <c r="E48" s="10" t="s">
        <v>311</v>
      </c>
      <c r="F48" s="10" t="s">
        <v>15</v>
      </c>
      <c r="G48" s="10" t="s">
        <v>16</v>
      </c>
      <c r="H48" s="10" t="s">
        <v>17</v>
      </c>
      <c r="I48" s="10" t="s">
        <v>18</v>
      </c>
      <c r="J48" s="10" t="s">
        <v>19</v>
      </c>
      <c r="K48" s="10" t="s">
        <v>20</v>
      </c>
      <c r="L48" s="10" t="s">
        <v>6</v>
      </c>
      <c r="M48" s="10" t="s">
        <v>67</v>
      </c>
      <c r="N48" s="10" t="s">
        <v>312</v>
      </c>
      <c r="O48" s="10" t="s">
        <v>313</v>
      </c>
      <c r="P48" s="10" t="s">
        <v>314</v>
      </c>
      <c r="Q48" s="10" t="s">
        <v>315</v>
      </c>
      <c r="R48" s="10" t="s">
        <v>316</v>
      </c>
      <c r="S48" s="10" t="s">
        <v>317</v>
      </c>
      <c r="T48" s="10" t="s">
        <v>318</v>
      </c>
      <c r="U48" s="10" t="s">
        <v>319</v>
      </c>
      <c r="W48" s="10" t="s">
        <v>310</v>
      </c>
      <c r="X48" s="10" t="s">
        <v>311</v>
      </c>
      <c r="Y48" s="10" t="s">
        <v>15</v>
      </c>
      <c r="Z48" s="10" t="s">
        <v>16</v>
      </c>
      <c r="AA48" s="10" t="s">
        <v>17</v>
      </c>
      <c r="AB48" s="10" t="s">
        <v>18</v>
      </c>
      <c r="AC48" s="10" t="s">
        <v>19</v>
      </c>
      <c r="AD48" s="10" t="s">
        <v>20</v>
      </c>
      <c r="AE48" s="10" t="s">
        <v>6</v>
      </c>
      <c r="AF48" s="10" t="s">
        <v>67</v>
      </c>
      <c r="AG48" s="10" t="s">
        <v>312</v>
      </c>
      <c r="AH48" s="10" t="s">
        <v>313</v>
      </c>
      <c r="AI48" s="10" t="s">
        <v>314</v>
      </c>
      <c r="AJ48" s="10" t="s">
        <v>315</v>
      </c>
      <c r="AK48" s="10" t="s">
        <v>316</v>
      </c>
      <c r="AL48" s="10" t="s">
        <v>317</v>
      </c>
      <c r="AM48" s="10" t="s">
        <v>318</v>
      </c>
      <c r="AN48" s="10" t="s">
        <v>319</v>
      </c>
    </row>
    <row r="49" spans="1:43" x14ac:dyDescent="0.25">
      <c r="A49" t="s">
        <v>28</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3">
        <f>AG31</f>
        <v>0</v>
      </c>
      <c r="O49" s="193">
        <f t="shared" ref="O49:T64" si="20">AH31</f>
        <v>0</v>
      </c>
      <c r="P49" s="193">
        <f t="shared" si="20"/>
        <v>0</v>
      </c>
      <c r="Q49" s="193">
        <f t="shared" si="20"/>
        <v>0</v>
      </c>
      <c r="R49" s="193">
        <f t="shared" si="20"/>
        <v>0</v>
      </c>
      <c r="S49" s="193">
        <f t="shared" si="20"/>
        <v>0</v>
      </c>
      <c r="T49" s="193">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3">
        <f>N49</f>
        <v>0</v>
      </c>
      <c r="AH49" s="193">
        <f t="shared" ref="AH49:AM64" si="22">O49</f>
        <v>0</v>
      </c>
      <c r="AI49" s="193">
        <f t="shared" si="22"/>
        <v>0</v>
      </c>
      <c r="AJ49" s="193">
        <f t="shared" si="22"/>
        <v>0</v>
      </c>
      <c r="AK49" s="193">
        <f t="shared" si="22"/>
        <v>0</v>
      </c>
      <c r="AL49" s="193">
        <f t="shared" si="22"/>
        <v>0</v>
      </c>
      <c r="AM49" s="193">
        <f t="shared" si="22"/>
        <v>0</v>
      </c>
      <c r="AN49" s="66">
        <f>SUM(AG49:AM49)</f>
        <v>0</v>
      </c>
    </row>
    <row r="50" spans="1:43" x14ac:dyDescent="0.25">
      <c r="A50" t="s">
        <v>31</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3">
        <f t="shared" si="19"/>
        <v>0</v>
      </c>
      <c r="O50" s="193">
        <f t="shared" si="20"/>
        <v>0</v>
      </c>
      <c r="P50" s="193">
        <f t="shared" si="20"/>
        <v>0</v>
      </c>
      <c r="Q50" s="193">
        <f t="shared" si="20"/>
        <v>0</v>
      </c>
      <c r="R50" s="193">
        <f t="shared" si="20"/>
        <v>0</v>
      </c>
      <c r="S50" s="193">
        <f t="shared" si="20"/>
        <v>0</v>
      </c>
      <c r="T50" s="193">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3">
        <f t="shared" ref="AG50:AG64" si="25">N50</f>
        <v>0</v>
      </c>
      <c r="AH50" s="193">
        <f t="shared" si="22"/>
        <v>0</v>
      </c>
      <c r="AI50" s="193">
        <f t="shared" si="22"/>
        <v>0</v>
      </c>
      <c r="AJ50" s="193">
        <f t="shared" si="22"/>
        <v>0</v>
      </c>
      <c r="AK50" s="193">
        <f t="shared" si="22"/>
        <v>0</v>
      </c>
      <c r="AL50" s="193">
        <f t="shared" si="22"/>
        <v>0</v>
      </c>
      <c r="AM50" s="193">
        <f t="shared" si="22"/>
        <v>0</v>
      </c>
      <c r="AN50" s="66">
        <f>SUM(AG50:AM50)</f>
        <v>0</v>
      </c>
    </row>
    <row r="51" spans="1:43" x14ac:dyDescent="0.25">
      <c r="A51" t="s">
        <v>32</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3">
        <f t="shared" si="19"/>
        <v>0</v>
      </c>
      <c r="O51" s="193">
        <f t="shared" si="20"/>
        <v>0</v>
      </c>
      <c r="P51" s="193">
        <f t="shared" si="20"/>
        <v>0</v>
      </c>
      <c r="Q51" s="193">
        <f t="shared" si="20"/>
        <v>0</v>
      </c>
      <c r="R51" s="193">
        <f t="shared" si="20"/>
        <v>0</v>
      </c>
      <c r="S51" s="193">
        <f t="shared" si="20"/>
        <v>0</v>
      </c>
      <c r="T51" s="193">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3">
        <f t="shared" si="25"/>
        <v>0</v>
      </c>
      <c r="AH51" s="193">
        <f t="shared" si="22"/>
        <v>0</v>
      </c>
      <c r="AI51" s="193">
        <f t="shared" si="22"/>
        <v>0</v>
      </c>
      <c r="AJ51" s="193">
        <f t="shared" si="22"/>
        <v>0</v>
      </c>
      <c r="AK51" s="193">
        <f t="shared" si="22"/>
        <v>0</v>
      </c>
      <c r="AL51" s="193">
        <f t="shared" si="22"/>
        <v>0</v>
      </c>
      <c r="AM51" s="193">
        <f t="shared" si="22"/>
        <v>0</v>
      </c>
      <c r="AN51" s="66">
        <f>SUM(AG51:AM51)</f>
        <v>0</v>
      </c>
    </row>
    <row r="52" spans="1:43" x14ac:dyDescent="0.25">
      <c r="A52" t="s">
        <v>38</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3">
        <f t="shared" si="19"/>
        <v>0</v>
      </c>
      <c r="O52" s="193">
        <f t="shared" si="20"/>
        <v>0</v>
      </c>
      <c r="P52" s="193">
        <f t="shared" si="20"/>
        <v>0</v>
      </c>
      <c r="Q52" s="193">
        <f t="shared" si="20"/>
        <v>0</v>
      </c>
      <c r="R52" s="193">
        <f t="shared" si="20"/>
        <v>0</v>
      </c>
      <c r="S52" s="193">
        <f t="shared" si="20"/>
        <v>0</v>
      </c>
      <c r="T52" s="193">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3">
        <f t="shared" si="25"/>
        <v>0</v>
      </c>
      <c r="AH52" s="193">
        <f t="shared" si="22"/>
        <v>0</v>
      </c>
      <c r="AI52" s="193">
        <f t="shared" si="22"/>
        <v>0</v>
      </c>
      <c r="AJ52" s="193">
        <f t="shared" si="22"/>
        <v>0</v>
      </c>
      <c r="AK52" s="193">
        <f t="shared" si="22"/>
        <v>0</v>
      </c>
      <c r="AL52" s="193">
        <f t="shared" si="22"/>
        <v>0</v>
      </c>
      <c r="AM52" s="193">
        <f t="shared" si="22"/>
        <v>0</v>
      </c>
      <c r="AN52" s="66">
        <f>SUM(AG52:AM52)</f>
        <v>0</v>
      </c>
    </row>
    <row r="53" spans="1:43" x14ac:dyDescent="0.25">
      <c r="A53" t="s">
        <v>40</v>
      </c>
      <c r="B53" s="15" t="s">
        <v>325</v>
      </c>
      <c r="C53" s="3" t="s">
        <v>176</v>
      </c>
      <c r="D53" s="3">
        <v>21</v>
      </c>
      <c r="E53" s="3">
        <v>70</v>
      </c>
      <c r="F53" s="111">
        <f t="shared" si="23"/>
        <v>0</v>
      </c>
      <c r="G53" s="111">
        <v>9</v>
      </c>
      <c r="H53" s="111">
        <v>10</v>
      </c>
      <c r="I53" s="111">
        <f t="shared" si="19"/>
        <v>2</v>
      </c>
      <c r="J53" s="111">
        <f t="shared" si="19"/>
        <v>2</v>
      </c>
      <c r="K53" s="111">
        <v>10</v>
      </c>
      <c r="L53" s="111">
        <f t="shared" si="19"/>
        <v>2</v>
      </c>
      <c r="M53" s="47">
        <f>(2910+1315+1165)*1.008</f>
        <v>5433.12</v>
      </c>
      <c r="N53" s="193">
        <f t="shared" si="19"/>
        <v>0</v>
      </c>
      <c r="O53" s="193">
        <v>30</v>
      </c>
      <c r="P53" s="193">
        <v>33</v>
      </c>
      <c r="Q53" s="193">
        <f t="shared" si="20"/>
        <v>0</v>
      </c>
      <c r="R53" s="193">
        <f t="shared" si="20"/>
        <v>0</v>
      </c>
      <c r="S53" s="193">
        <v>33</v>
      </c>
      <c r="T53" s="193">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3">
        <f t="shared" si="25"/>
        <v>0</v>
      </c>
      <c r="AH53" s="193">
        <f>O53+$AQ$54</f>
        <v>56</v>
      </c>
      <c r="AI53" s="193">
        <f t="shared" si="22"/>
        <v>33</v>
      </c>
      <c r="AJ53" s="193">
        <f t="shared" si="22"/>
        <v>0</v>
      </c>
      <c r="AK53" s="193">
        <f t="shared" si="22"/>
        <v>0</v>
      </c>
      <c r="AL53" s="193">
        <f t="shared" si="22"/>
        <v>33</v>
      </c>
      <c r="AM53" s="193">
        <f t="shared" si="22"/>
        <v>0</v>
      </c>
      <c r="AN53" s="66">
        <f t="shared" ref="AN53:AN60" si="27">SUM(AG53:AM53)</f>
        <v>122</v>
      </c>
    </row>
    <row r="54" spans="1:43" x14ac:dyDescent="0.25">
      <c r="A54" t="s">
        <v>37</v>
      </c>
      <c r="B54" s="15" t="s">
        <v>325</v>
      </c>
      <c r="C54" s="3" t="s">
        <v>176</v>
      </c>
      <c r="D54" s="3">
        <v>21</v>
      </c>
      <c r="E54" s="3">
        <v>70</v>
      </c>
      <c r="F54" s="111">
        <f t="shared" si="23"/>
        <v>0</v>
      </c>
      <c r="G54" s="111">
        <v>9</v>
      </c>
      <c r="H54" s="111">
        <v>10</v>
      </c>
      <c r="I54" s="111">
        <f t="shared" si="19"/>
        <v>2</v>
      </c>
      <c r="J54" s="111">
        <f t="shared" si="19"/>
        <v>2</v>
      </c>
      <c r="K54" s="111">
        <v>10</v>
      </c>
      <c r="L54" s="111">
        <f t="shared" si="19"/>
        <v>2</v>
      </c>
      <c r="M54" s="47">
        <f>(2910+1315+1165)*1.008</f>
        <v>5433.12</v>
      </c>
      <c r="N54" s="193">
        <f t="shared" si="19"/>
        <v>0</v>
      </c>
      <c r="O54" s="193">
        <v>30</v>
      </c>
      <c r="P54" s="193">
        <v>33</v>
      </c>
      <c r="Q54" s="193">
        <f t="shared" si="20"/>
        <v>0</v>
      </c>
      <c r="R54" s="193">
        <f t="shared" si="20"/>
        <v>0</v>
      </c>
      <c r="S54" s="193">
        <v>33</v>
      </c>
      <c r="T54" s="193">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3">
        <f t="shared" si="25"/>
        <v>0</v>
      </c>
      <c r="AH54" s="193">
        <f t="shared" ref="AH54:AH62" si="30">O54+$AQ$54</f>
        <v>56</v>
      </c>
      <c r="AI54" s="193">
        <f t="shared" si="22"/>
        <v>33</v>
      </c>
      <c r="AJ54" s="193">
        <f t="shared" si="22"/>
        <v>0</v>
      </c>
      <c r="AK54" s="193">
        <f t="shared" si="22"/>
        <v>0</v>
      </c>
      <c r="AL54" s="193">
        <f t="shared" si="22"/>
        <v>33</v>
      </c>
      <c r="AM54" s="193">
        <f t="shared" si="22"/>
        <v>0</v>
      </c>
      <c r="AN54" s="66">
        <f t="shared" si="27"/>
        <v>122</v>
      </c>
      <c r="AP54" s="197" t="s">
        <v>29</v>
      </c>
      <c r="AQ54" s="197">
        <v>26</v>
      </c>
    </row>
    <row r="55" spans="1:43" x14ac:dyDescent="0.25">
      <c r="A55" t="s">
        <v>34</v>
      </c>
      <c r="B55" s="15" t="s">
        <v>325</v>
      </c>
      <c r="C55" s="3" t="s">
        <v>294</v>
      </c>
      <c r="D55" s="3">
        <v>21</v>
      </c>
      <c r="E55" s="3">
        <v>70</v>
      </c>
      <c r="F55" s="111">
        <f t="shared" si="23"/>
        <v>0</v>
      </c>
      <c r="G55" s="111">
        <v>9</v>
      </c>
      <c r="H55" s="111">
        <v>10</v>
      </c>
      <c r="I55" s="111">
        <f t="shared" si="19"/>
        <v>2</v>
      </c>
      <c r="J55" s="111">
        <f t="shared" si="19"/>
        <v>2</v>
      </c>
      <c r="K55" s="111">
        <v>10</v>
      </c>
      <c r="L55" s="111">
        <f t="shared" si="19"/>
        <v>2</v>
      </c>
      <c r="M55" s="47">
        <f>(2910+1315+1165)*1.008</f>
        <v>5433.12</v>
      </c>
      <c r="N55" s="193">
        <f t="shared" si="19"/>
        <v>0</v>
      </c>
      <c r="O55" s="193">
        <v>30</v>
      </c>
      <c r="P55" s="193">
        <v>33</v>
      </c>
      <c r="Q55" s="193">
        <f t="shared" si="20"/>
        <v>0</v>
      </c>
      <c r="R55" s="193">
        <f t="shared" si="20"/>
        <v>0</v>
      </c>
      <c r="S55" s="193">
        <v>33</v>
      </c>
      <c r="T55" s="193">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3">
        <f t="shared" si="25"/>
        <v>0</v>
      </c>
      <c r="AH55" s="193">
        <f t="shared" si="30"/>
        <v>56</v>
      </c>
      <c r="AI55" s="193">
        <f t="shared" si="22"/>
        <v>33</v>
      </c>
      <c r="AJ55" s="193">
        <f t="shared" si="22"/>
        <v>0</v>
      </c>
      <c r="AK55" s="193">
        <f t="shared" si="22"/>
        <v>0</v>
      </c>
      <c r="AL55" s="193">
        <f t="shared" si="22"/>
        <v>33</v>
      </c>
      <c r="AM55" s="193">
        <f t="shared" si="22"/>
        <v>0</v>
      </c>
      <c r="AN55" s="66">
        <f t="shared" si="27"/>
        <v>122</v>
      </c>
      <c r="AQ55">
        <f>AQ54*7</f>
        <v>182</v>
      </c>
    </row>
    <row r="56" spans="1:43" x14ac:dyDescent="0.25">
      <c r="A56" t="s">
        <v>30</v>
      </c>
      <c r="B56" s="15" t="s">
        <v>325</v>
      </c>
      <c r="C56" s="3" t="s">
        <v>294</v>
      </c>
      <c r="D56" s="3">
        <v>21</v>
      </c>
      <c r="E56" s="3">
        <v>70</v>
      </c>
      <c r="F56" s="111">
        <f t="shared" si="23"/>
        <v>0</v>
      </c>
      <c r="G56" s="111">
        <v>9</v>
      </c>
      <c r="H56" s="111">
        <v>10</v>
      </c>
      <c r="I56" s="111">
        <f t="shared" si="19"/>
        <v>2</v>
      </c>
      <c r="J56" s="111">
        <f t="shared" si="19"/>
        <v>2</v>
      </c>
      <c r="K56" s="111">
        <v>10</v>
      </c>
      <c r="L56" s="111">
        <f t="shared" si="19"/>
        <v>2</v>
      </c>
      <c r="M56" s="47">
        <f>(2910+1315+1165)*1.008</f>
        <v>5433.12</v>
      </c>
      <c r="N56" s="193">
        <f t="shared" si="19"/>
        <v>0</v>
      </c>
      <c r="O56" s="193">
        <v>30</v>
      </c>
      <c r="P56" s="193">
        <v>33</v>
      </c>
      <c r="Q56" s="193">
        <f t="shared" si="20"/>
        <v>0</v>
      </c>
      <c r="R56" s="193">
        <f t="shared" si="20"/>
        <v>0</v>
      </c>
      <c r="S56" s="193">
        <v>33</v>
      </c>
      <c r="T56" s="193">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3">
        <f t="shared" si="25"/>
        <v>0</v>
      </c>
      <c r="AH56" s="193">
        <f t="shared" si="30"/>
        <v>56</v>
      </c>
      <c r="AI56" s="193">
        <f t="shared" si="22"/>
        <v>33</v>
      </c>
      <c r="AJ56" s="193">
        <f t="shared" si="22"/>
        <v>0</v>
      </c>
      <c r="AK56" s="193">
        <f t="shared" si="22"/>
        <v>0</v>
      </c>
      <c r="AL56" s="193">
        <f t="shared" si="22"/>
        <v>33</v>
      </c>
      <c r="AM56" s="193">
        <f t="shared" si="22"/>
        <v>0</v>
      </c>
      <c r="AN56" s="66">
        <f t="shared" si="27"/>
        <v>122</v>
      </c>
      <c r="AQ56">
        <f>AQ55-112</f>
        <v>70</v>
      </c>
    </row>
    <row r="57" spans="1:43" x14ac:dyDescent="0.25">
      <c r="A57" t="s">
        <v>42</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3">
        <f t="shared" si="19"/>
        <v>0</v>
      </c>
      <c r="O57" s="193">
        <f t="shared" si="20"/>
        <v>18</v>
      </c>
      <c r="P57" s="193">
        <f t="shared" si="20"/>
        <v>48</v>
      </c>
      <c r="Q57" s="193">
        <f t="shared" si="20"/>
        <v>0</v>
      </c>
      <c r="R57" s="193">
        <f t="shared" si="20"/>
        <v>0</v>
      </c>
      <c r="S57" s="193">
        <f t="shared" si="20"/>
        <v>33</v>
      </c>
      <c r="T57" s="193">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3">
        <f t="shared" si="25"/>
        <v>0</v>
      </c>
      <c r="AH57" s="193">
        <f t="shared" si="30"/>
        <v>44</v>
      </c>
      <c r="AI57" s="193">
        <f t="shared" si="22"/>
        <v>48</v>
      </c>
      <c r="AJ57" s="193">
        <f t="shared" si="22"/>
        <v>0</v>
      </c>
      <c r="AK57" s="193">
        <f t="shared" si="22"/>
        <v>0</v>
      </c>
      <c r="AL57" s="193">
        <f t="shared" si="22"/>
        <v>33</v>
      </c>
      <c r="AM57" s="193">
        <f t="shared" si="22"/>
        <v>0</v>
      </c>
      <c r="AN57" s="66">
        <f t="shared" si="27"/>
        <v>125</v>
      </c>
    </row>
    <row r="58" spans="1:43" x14ac:dyDescent="0.25">
      <c r="A58" t="s">
        <v>36</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3">
        <f t="shared" si="19"/>
        <v>0</v>
      </c>
      <c r="O58" s="193">
        <f t="shared" si="20"/>
        <v>18</v>
      </c>
      <c r="P58" s="193">
        <f t="shared" si="20"/>
        <v>48</v>
      </c>
      <c r="Q58" s="193">
        <f t="shared" si="20"/>
        <v>0</v>
      </c>
      <c r="R58" s="193">
        <f t="shared" si="20"/>
        <v>0</v>
      </c>
      <c r="S58" s="193">
        <f t="shared" si="20"/>
        <v>33</v>
      </c>
      <c r="T58" s="193">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3">
        <f t="shared" si="25"/>
        <v>0</v>
      </c>
      <c r="AH58" s="193">
        <f t="shared" si="30"/>
        <v>44</v>
      </c>
      <c r="AI58" s="193">
        <f t="shared" si="22"/>
        <v>48</v>
      </c>
      <c r="AJ58" s="193">
        <f t="shared" si="22"/>
        <v>0</v>
      </c>
      <c r="AK58" s="193">
        <f t="shared" si="22"/>
        <v>0</v>
      </c>
      <c r="AL58" s="193">
        <f t="shared" si="22"/>
        <v>33</v>
      </c>
      <c r="AM58" s="193">
        <f t="shared" si="22"/>
        <v>0</v>
      </c>
      <c r="AN58" s="66">
        <f t="shared" si="27"/>
        <v>125</v>
      </c>
    </row>
    <row r="59" spans="1:43" x14ac:dyDescent="0.25">
      <c r="A59" t="s">
        <v>35</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3">
        <f t="shared" si="19"/>
        <v>0</v>
      </c>
      <c r="O59" s="193">
        <f t="shared" si="20"/>
        <v>18</v>
      </c>
      <c r="P59" s="193">
        <f t="shared" si="20"/>
        <v>48</v>
      </c>
      <c r="Q59" s="193">
        <f t="shared" si="20"/>
        <v>0</v>
      </c>
      <c r="R59" s="193">
        <f t="shared" si="20"/>
        <v>0</v>
      </c>
      <c r="S59" s="193">
        <f t="shared" si="20"/>
        <v>33</v>
      </c>
      <c r="T59" s="193">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3">
        <f t="shared" si="25"/>
        <v>0</v>
      </c>
      <c r="AH59" s="193">
        <f t="shared" si="30"/>
        <v>44</v>
      </c>
      <c r="AI59" s="193">
        <f t="shared" si="22"/>
        <v>48</v>
      </c>
      <c r="AJ59" s="193">
        <f t="shared" si="22"/>
        <v>0</v>
      </c>
      <c r="AK59" s="193">
        <f t="shared" si="22"/>
        <v>0</v>
      </c>
      <c r="AL59" s="193">
        <f t="shared" si="22"/>
        <v>33</v>
      </c>
      <c r="AM59" s="193">
        <f t="shared" si="22"/>
        <v>0</v>
      </c>
      <c r="AN59" s="66">
        <f t="shared" si="27"/>
        <v>125</v>
      </c>
    </row>
    <row r="60" spans="1:43" x14ac:dyDescent="0.25">
      <c r="A60" t="s">
        <v>39</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3">
        <f t="shared" si="19"/>
        <v>0</v>
      </c>
      <c r="O60" s="193">
        <f t="shared" si="20"/>
        <v>0</v>
      </c>
      <c r="P60" s="193">
        <f t="shared" si="20"/>
        <v>26</v>
      </c>
      <c r="Q60" s="193">
        <f t="shared" si="20"/>
        <v>20.5</v>
      </c>
      <c r="R60" s="193">
        <f t="shared" si="20"/>
        <v>21</v>
      </c>
      <c r="S60" s="193">
        <f t="shared" si="20"/>
        <v>35</v>
      </c>
      <c r="T60" s="193">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3">
        <f t="shared" si="25"/>
        <v>0</v>
      </c>
      <c r="AH60" s="193">
        <f t="shared" si="30"/>
        <v>26</v>
      </c>
      <c r="AI60" s="193">
        <f t="shared" si="22"/>
        <v>26</v>
      </c>
      <c r="AJ60" s="193">
        <f t="shared" si="22"/>
        <v>20.5</v>
      </c>
      <c r="AK60" s="193">
        <f t="shared" si="22"/>
        <v>21</v>
      </c>
      <c r="AL60" s="193">
        <f t="shared" si="22"/>
        <v>35</v>
      </c>
      <c r="AM60" s="193">
        <f t="shared" si="22"/>
        <v>0</v>
      </c>
      <c r="AN60" s="66">
        <f t="shared" si="27"/>
        <v>128.5</v>
      </c>
    </row>
    <row r="61" spans="1:43" x14ac:dyDescent="0.25">
      <c r="A61" t="s">
        <v>33</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3">
        <f t="shared" si="19"/>
        <v>0</v>
      </c>
      <c r="O61" s="193">
        <f t="shared" si="20"/>
        <v>14</v>
      </c>
      <c r="P61" s="193">
        <f t="shared" si="20"/>
        <v>18</v>
      </c>
      <c r="Q61" s="193">
        <f t="shared" si="20"/>
        <v>15</v>
      </c>
      <c r="R61" s="193">
        <f t="shared" si="20"/>
        <v>21</v>
      </c>
      <c r="S61" s="193">
        <f t="shared" si="20"/>
        <v>33</v>
      </c>
      <c r="T61" s="193">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3">
        <f t="shared" si="25"/>
        <v>0</v>
      </c>
      <c r="AH61" s="193">
        <f t="shared" si="30"/>
        <v>40</v>
      </c>
      <c r="AI61" s="193">
        <f t="shared" si="22"/>
        <v>18</v>
      </c>
      <c r="AJ61" s="193">
        <f t="shared" si="22"/>
        <v>15</v>
      </c>
      <c r="AK61" s="193">
        <f t="shared" si="22"/>
        <v>21</v>
      </c>
      <c r="AL61" s="193">
        <f t="shared" si="22"/>
        <v>33</v>
      </c>
      <c r="AM61" s="193">
        <f t="shared" si="22"/>
        <v>-2</v>
      </c>
      <c r="AN61" s="66">
        <f>SUM(AG61:AM61)</f>
        <v>125</v>
      </c>
    </row>
    <row r="62" spans="1:43" x14ac:dyDescent="0.25">
      <c r="A62" t="s">
        <v>41</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3">
        <f t="shared" si="19"/>
        <v>0</v>
      </c>
      <c r="O62" s="193">
        <f t="shared" si="20"/>
        <v>3</v>
      </c>
      <c r="P62" s="193">
        <f t="shared" si="20"/>
        <v>24</v>
      </c>
      <c r="Q62" s="193">
        <f t="shared" si="20"/>
        <v>17.5</v>
      </c>
      <c r="R62" s="193">
        <f t="shared" si="20"/>
        <v>18</v>
      </c>
      <c r="S62" s="193">
        <f t="shared" si="20"/>
        <v>35</v>
      </c>
      <c r="T62" s="193">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3">
        <f t="shared" si="25"/>
        <v>0</v>
      </c>
      <c r="AH62" s="193">
        <f t="shared" si="30"/>
        <v>29</v>
      </c>
      <c r="AI62" s="193">
        <f t="shared" si="22"/>
        <v>24</v>
      </c>
      <c r="AJ62" s="193">
        <f t="shared" si="22"/>
        <v>17.5</v>
      </c>
      <c r="AK62" s="193">
        <f t="shared" si="22"/>
        <v>18</v>
      </c>
      <c r="AL62" s="193">
        <f t="shared" si="22"/>
        <v>35</v>
      </c>
      <c r="AM62" s="193">
        <f t="shared" si="22"/>
        <v>-2</v>
      </c>
      <c r="AN62" s="66">
        <f>SUM(AG62:AM62)</f>
        <v>121.5</v>
      </c>
    </row>
    <row r="63" spans="1:43" x14ac:dyDescent="0.25">
      <c r="A63" t="s">
        <v>45</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3">
        <f t="shared" si="19"/>
        <v>0</v>
      </c>
      <c r="O63" s="193">
        <f t="shared" si="20"/>
        <v>0</v>
      </c>
      <c r="P63" s="193">
        <f t="shared" si="20"/>
        <v>0</v>
      </c>
      <c r="Q63" s="193">
        <f t="shared" si="20"/>
        <v>0</v>
      </c>
      <c r="R63" s="193">
        <f t="shared" si="20"/>
        <v>0</v>
      </c>
      <c r="S63" s="193">
        <f t="shared" si="20"/>
        <v>0</v>
      </c>
      <c r="T63" s="193">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3">
        <f t="shared" si="25"/>
        <v>0</v>
      </c>
      <c r="AH63" s="193">
        <f t="shared" si="22"/>
        <v>0</v>
      </c>
      <c r="AI63" s="193">
        <f t="shared" si="22"/>
        <v>0</v>
      </c>
      <c r="AJ63" s="193">
        <f t="shared" si="22"/>
        <v>0</v>
      </c>
      <c r="AK63" s="193">
        <f t="shared" si="22"/>
        <v>0</v>
      </c>
      <c r="AL63" s="193">
        <f t="shared" si="22"/>
        <v>0</v>
      </c>
      <c r="AM63" s="193">
        <f t="shared" si="22"/>
        <v>0</v>
      </c>
      <c r="AN63" s="66">
        <f>SUM(AG63:AM63)</f>
        <v>0</v>
      </c>
    </row>
    <row r="64" spans="1:43" x14ac:dyDescent="0.25">
      <c r="A64" t="s">
        <v>323</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3">
        <f t="shared" si="19"/>
        <v>0</v>
      </c>
      <c r="O64" s="193">
        <f t="shared" si="20"/>
        <v>0</v>
      </c>
      <c r="P64" s="193">
        <f t="shared" si="20"/>
        <v>0</v>
      </c>
      <c r="Q64" s="193">
        <f t="shared" si="20"/>
        <v>0</v>
      </c>
      <c r="R64" s="193">
        <f t="shared" si="20"/>
        <v>0</v>
      </c>
      <c r="S64" s="193">
        <f t="shared" si="20"/>
        <v>0</v>
      </c>
      <c r="T64" s="193">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3">
        <f t="shared" si="25"/>
        <v>0</v>
      </c>
      <c r="AH64" s="193">
        <f t="shared" si="22"/>
        <v>0</v>
      </c>
      <c r="AI64" s="193">
        <f t="shared" si="22"/>
        <v>0</v>
      </c>
      <c r="AJ64" s="193">
        <f t="shared" si="22"/>
        <v>0</v>
      </c>
      <c r="AK64" s="193">
        <f t="shared" si="22"/>
        <v>0</v>
      </c>
      <c r="AL64" s="193">
        <f t="shared" si="22"/>
        <v>0</v>
      </c>
      <c r="AM64" s="193">
        <f t="shared" si="22"/>
        <v>0</v>
      </c>
      <c r="AN64" s="66">
        <f>SUM(AG64:AM64)</f>
        <v>0</v>
      </c>
    </row>
    <row r="65" spans="1:43" x14ac:dyDescent="0.25">
      <c r="A65"/>
      <c r="B65"/>
      <c r="F65" s="193"/>
      <c r="G65" s="193"/>
      <c r="H65" s="193"/>
      <c r="I65" s="193"/>
      <c r="J65" s="193"/>
      <c r="K65" s="193"/>
      <c r="L65" s="193"/>
      <c r="M65" s="194">
        <f>SUM(M67:M81)</f>
        <v>151807.20000000001</v>
      </c>
      <c r="N65" s="193"/>
      <c r="O65" s="193"/>
      <c r="P65" s="193"/>
      <c r="Q65" s="193"/>
      <c r="R65" s="193"/>
      <c r="S65" s="193"/>
      <c r="T65" s="193"/>
      <c r="U65" s="193"/>
      <c r="Y65" s="193"/>
      <c r="Z65" s="193"/>
      <c r="AA65" s="193"/>
      <c r="AB65" s="193"/>
      <c r="AC65" s="193"/>
      <c r="AD65" s="193"/>
      <c r="AE65" s="193"/>
      <c r="AF65" s="194">
        <f>SUM(AF67:AF81)</f>
        <v>157600.34499999997</v>
      </c>
      <c r="AG65" s="193"/>
      <c r="AH65" s="193"/>
      <c r="AI65" s="193"/>
      <c r="AJ65" s="193"/>
      <c r="AK65" s="193"/>
      <c r="AL65" s="193"/>
      <c r="AM65" s="193"/>
      <c r="AN65" s="193"/>
    </row>
    <row r="66" spans="1:43" x14ac:dyDescent="0.25">
      <c r="A66" s="10" t="s">
        <v>169</v>
      </c>
      <c r="B66" s="10" t="s">
        <v>2</v>
      </c>
      <c r="C66" s="10" t="s">
        <v>83</v>
      </c>
      <c r="D66" s="10" t="s">
        <v>310</v>
      </c>
      <c r="E66" s="10" t="s">
        <v>311</v>
      </c>
      <c r="F66" s="10" t="s">
        <v>15</v>
      </c>
      <c r="G66" s="10" t="s">
        <v>16</v>
      </c>
      <c r="H66" s="10" t="s">
        <v>17</v>
      </c>
      <c r="I66" s="10" t="s">
        <v>18</v>
      </c>
      <c r="J66" s="10" t="s">
        <v>19</v>
      </c>
      <c r="K66" s="10" t="s">
        <v>20</v>
      </c>
      <c r="L66" s="10" t="s">
        <v>6</v>
      </c>
      <c r="M66" s="10" t="s">
        <v>67</v>
      </c>
      <c r="N66" s="10" t="s">
        <v>312</v>
      </c>
      <c r="O66" s="10" t="s">
        <v>313</v>
      </c>
      <c r="P66" s="10" t="s">
        <v>314</v>
      </c>
      <c r="Q66" s="10" t="s">
        <v>315</v>
      </c>
      <c r="R66" s="10" t="s">
        <v>316</v>
      </c>
      <c r="S66" s="10" t="s">
        <v>317</v>
      </c>
      <c r="T66" s="10" t="s">
        <v>318</v>
      </c>
      <c r="U66" s="10" t="s">
        <v>319</v>
      </c>
      <c r="W66" s="10" t="s">
        <v>310</v>
      </c>
      <c r="X66" s="10" t="s">
        <v>311</v>
      </c>
      <c r="Y66" s="10" t="s">
        <v>15</v>
      </c>
      <c r="Z66" s="10" t="s">
        <v>16</v>
      </c>
      <c r="AA66" s="10" t="s">
        <v>17</v>
      </c>
      <c r="AB66" s="10" t="s">
        <v>18</v>
      </c>
      <c r="AC66" s="10" t="s">
        <v>19</v>
      </c>
      <c r="AD66" s="10" t="s">
        <v>20</v>
      </c>
      <c r="AE66" s="10" t="s">
        <v>6</v>
      </c>
      <c r="AF66" s="10" t="s">
        <v>67</v>
      </c>
      <c r="AG66" s="10" t="s">
        <v>312</v>
      </c>
      <c r="AH66" s="10" t="s">
        <v>313</v>
      </c>
      <c r="AI66" s="10" t="s">
        <v>314</v>
      </c>
      <c r="AJ66" s="10" t="s">
        <v>315</v>
      </c>
      <c r="AK66" s="10" t="s">
        <v>316</v>
      </c>
      <c r="AL66" s="10" t="s">
        <v>317</v>
      </c>
      <c r="AM66" s="10" t="s">
        <v>318</v>
      </c>
      <c r="AN66" s="10" t="s">
        <v>319</v>
      </c>
    </row>
    <row r="67" spans="1:43" x14ac:dyDescent="0.25">
      <c r="A67" t="s">
        <v>28</v>
      </c>
      <c r="B67" s="15" t="s">
        <v>71</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3">
        <v>52</v>
      </c>
      <c r="O67" s="193">
        <v>37</v>
      </c>
      <c r="P67" s="193">
        <f t="shared" ref="P67:S82" si="34">AI49</f>
        <v>0</v>
      </c>
      <c r="Q67" s="193">
        <f t="shared" si="34"/>
        <v>0</v>
      </c>
      <c r="R67" s="193">
        <f t="shared" si="34"/>
        <v>0</v>
      </c>
      <c r="S67" s="193">
        <f t="shared" si="34"/>
        <v>0</v>
      </c>
      <c r="T67" s="193">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3">
        <f>N67</f>
        <v>52</v>
      </c>
      <c r="AH67" s="193">
        <f t="shared" ref="AH67:AL82" si="36">O67</f>
        <v>37</v>
      </c>
      <c r="AI67" s="193">
        <f t="shared" si="36"/>
        <v>0</v>
      </c>
      <c r="AJ67" s="193">
        <f t="shared" si="36"/>
        <v>0</v>
      </c>
      <c r="AK67" s="193">
        <f t="shared" si="36"/>
        <v>0</v>
      </c>
      <c r="AL67" s="193">
        <f t="shared" si="36"/>
        <v>0</v>
      </c>
      <c r="AM67" s="193">
        <f>T67+$AQ$74</f>
        <v>30</v>
      </c>
      <c r="AN67" s="66">
        <f>SUM(AG67:AM67)</f>
        <v>119</v>
      </c>
    </row>
    <row r="68" spans="1:43" x14ac:dyDescent="0.25">
      <c r="A68" t="s">
        <v>31</v>
      </c>
      <c r="B68" s="15" t="s">
        <v>325</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3">
        <f t="shared" si="37"/>
        <v>0</v>
      </c>
      <c r="O68" s="193">
        <v>56</v>
      </c>
      <c r="P68" s="193">
        <v>16</v>
      </c>
      <c r="Q68" s="193">
        <f t="shared" si="34"/>
        <v>0</v>
      </c>
      <c r="R68" s="193">
        <f t="shared" si="34"/>
        <v>0</v>
      </c>
      <c r="S68" s="193">
        <v>33</v>
      </c>
      <c r="T68" s="193">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3">
        <f t="shared" ref="AG68:AG82" si="40">N68</f>
        <v>0</v>
      </c>
      <c r="AH68" s="193">
        <f t="shared" si="36"/>
        <v>56</v>
      </c>
      <c r="AI68" s="193">
        <f t="shared" si="36"/>
        <v>16</v>
      </c>
      <c r="AJ68" s="193">
        <f t="shared" si="36"/>
        <v>0</v>
      </c>
      <c r="AK68" s="193">
        <f t="shared" si="36"/>
        <v>0</v>
      </c>
      <c r="AL68" s="193">
        <f t="shared" si="36"/>
        <v>33</v>
      </c>
      <c r="AM68" s="193">
        <f t="shared" ref="AM68:AM82" si="41">T68+$AQ$74</f>
        <v>25</v>
      </c>
      <c r="AN68" s="66">
        <f>SUM(AG68:AM68)</f>
        <v>130</v>
      </c>
    </row>
    <row r="69" spans="1:43" x14ac:dyDescent="0.25">
      <c r="A69" t="s">
        <v>32</v>
      </c>
      <c r="B69" s="15" t="s">
        <v>325</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3">
        <f t="shared" si="37"/>
        <v>0</v>
      </c>
      <c r="O69" s="193">
        <v>56</v>
      </c>
      <c r="P69" s="193">
        <v>16</v>
      </c>
      <c r="Q69" s="193">
        <f t="shared" si="34"/>
        <v>0</v>
      </c>
      <c r="R69" s="193">
        <f t="shared" si="34"/>
        <v>0</v>
      </c>
      <c r="S69" s="193">
        <v>33</v>
      </c>
      <c r="T69" s="193">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3">
        <f t="shared" si="40"/>
        <v>0</v>
      </c>
      <c r="AH69" s="193">
        <f t="shared" si="36"/>
        <v>56</v>
      </c>
      <c r="AI69" s="193">
        <f t="shared" si="36"/>
        <v>16</v>
      </c>
      <c r="AJ69" s="193">
        <f t="shared" si="36"/>
        <v>0</v>
      </c>
      <c r="AK69" s="193">
        <f t="shared" si="36"/>
        <v>0</v>
      </c>
      <c r="AL69" s="193">
        <f t="shared" si="36"/>
        <v>33</v>
      </c>
      <c r="AM69" s="193">
        <f t="shared" si="41"/>
        <v>25</v>
      </c>
      <c r="AN69" s="66">
        <f>SUM(AG69:AM69)</f>
        <v>130</v>
      </c>
    </row>
    <row r="70" spans="1:43" x14ac:dyDescent="0.25">
      <c r="A70" t="s">
        <v>38</v>
      </c>
      <c r="B70" s="15" t="s">
        <v>325</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3">
        <f t="shared" si="37"/>
        <v>0</v>
      </c>
      <c r="O70" s="193">
        <v>56</v>
      </c>
      <c r="P70" s="193">
        <v>16</v>
      </c>
      <c r="Q70" s="193">
        <f t="shared" si="34"/>
        <v>0</v>
      </c>
      <c r="R70" s="193">
        <f t="shared" si="34"/>
        <v>0</v>
      </c>
      <c r="S70" s="193">
        <v>33</v>
      </c>
      <c r="T70" s="193">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3">
        <f t="shared" si="40"/>
        <v>0</v>
      </c>
      <c r="AH70" s="193">
        <f t="shared" si="36"/>
        <v>56</v>
      </c>
      <c r="AI70" s="193">
        <f t="shared" si="36"/>
        <v>16</v>
      </c>
      <c r="AJ70" s="193">
        <f t="shared" si="36"/>
        <v>0</v>
      </c>
      <c r="AK70" s="193">
        <f t="shared" si="36"/>
        <v>0</v>
      </c>
      <c r="AL70" s="193">
        <f t="shared" si="36"/>
        <v>33</v>
      </c>
      <c r="AM70" s="193">
        <f t="shared" si="41"/>
        <v>25</v>
      </c>
      <c r="AN70" s="66">
        <f>SUM(AG70:AM70)</f>
        <v>130</v>
      </c>
    </row>
    <row r="71" spans="1:43" x14ac:dyDescent="0.25">
      <c r="A71" t="s">
        <v>40</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3">
        <f t="shared" si="37"/>
        <v>0</v>
      </c>
      <c r="O71" s="193">
        <f t="shared" si="37"/>
        <v>56</v>
      </c>
      <c r="P71" s="193">
        <f t="shared" si="37"/>
        <v>33</v>
      </c>
      <c r="Q71" s="193">
        <f t="shared" si="34"/>
        <v>0</v>
      </c>
      <c r="R71" s="193">
        <f t="shared" si="34"/>
        <v>0</v>
      </c>
      <c r="S71" s="193">
        <f t="shared" si="34"/>
        <v>33</v>
      </c>
      <c r="T71" s="193">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3">
        <f t="shared" si="40"/>
        <v>0</v>
      </c>
      <c r="AH71" s="193">
        <f t="shared" si="36"/>
        <v>56</v>
      </c>
      <c r="AI71" s="193">
        <f t="shared" si="36"/>
        <v>33</v>
      </c>
      <c r="AJ71" s="193">
        <f t="shared" si="36"/>
        <v>0</v>
      </c>
      <c r="AK71" s="193">
        <f t="shared" si="36"/>
        <v>0</v>
      </c>
      <c r="AL71" s="193">
        <f t="shared" si="36"/>
        <v>33</v>
      </c>
      <c r="AM71" s="193">
        <f t="shared" si="41"/>
        <v>25</v>
      </c>
      <c r="AN71" s="66">
        <f t="shared" ref="AN71:AN78" si="47">SUM(AG71:AM71)</f>
        <v>147</v>
      </c>
    </row>
    <row r="72" spans="1:43" x14ac:dyDescent="0.25">
      <c r="A72" t="s">
        <v>37</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3">
        <f t="shared" si="37"/>
        <v>0</v>
      </c>
      <c r="O72" s="193">
        <f t="shared" si="37"/>
        <v>56</v>
      </c>
      <c r="P72" s="193">
        <f t="shared" si="37"/>
        <v>33</v>
      </c>
      <c r="Q72" s="193">
        <f t="shared" si="34"/>
        <v>0</v>
      </c>
      <c r="R72" s="193">
        <f t="shared" si="34"/>
        <v>0</v>
      </c>
      <c r="S72" s="193">
        <f t="shared" si="34"/>
        <v>33</v>
      </c>
      <c r="T72" s="193">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3">
        <f t="shared" si="40"/>
        <v>0</v>
      </c>
      <c r="AH72" s="193">
        <f t="shared" si="36"/>
        <v>56</v>
      </c>
      <c r="AI72" s="193">
        <f t="shared" si="36"/>
        <v>33</v>
      </c>
      <c r="AJ72" s="193">
        <f t="shared" si="36"/>
        <v>0</v>
      </c>
      <c r="AK72" s="193">
        <f t="shared" si="36"/>
        <v>0</v>
      </c>
      <c r="AL72" s="193">
        <f t="shared" si="36"/>
        <v>33</v>
      </c>
      <c r="AM72" s="193">
        <f t="shared" si="41"/>
        <v>25</v>
      </c>
      <c r="AN72" s="66">
        <f t="shared" si="47"/>
        <v>147</v>
      </c>
    </row>
    <row r="73" spans="1:43" x14ac:dyDescent="0.25">
      <c r="A73" t="s">
        <v>34</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3">
        <f t="shared" si="37"/>
        <v>0</v>
      </c>
      <c r="O73" s="193">
        <f t="shared" si="37"/>
        <v>56</v>
      </c>
      <c r="P73" s="193">
        <f t="shared" si="37"/>
        <v>33</v>
      </c>
      <c r="Q73" s="193">
        <f t="shared" si="34"/>
        <v>0</v>
      </c>
      <c r="R73" s="193">
        <f t="shared" si="34"/>
        <v>0</v>
      </c>
      <c r="S73" s="193">
        <f t="shared" si="34"/>
        <v>33</v>
      </c>
      <c r="T73" s="193">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3">
        <f t="shared" si="40"/>
        <v>0</v>
      </c>
      <c r="AH73" s="193">
        <f t="shared" si="36"/>
        <v>56</v>
      </c>
      <c r="AI73" s="193">
        <f t="shared" si="36"/>
        <v>33</v>
      </c>
      <c r="AJ73" s="193">
        <f t="shared" si="36"/>
        <v>0</v>
      </c>
      <c r="AK73" s="193">
        <f t="shared" si="36"/>
        <v>0</v>
      </c>
      <c r="AL73" s="193">
        <f t="shared" si="36"/>
        <v>33</v>
      </c>
      <c r="AM73" s="193">
        <f t="shared" si="41"/>
        <v>25</v>
      </c>
      <c r="AN73" s="66">
        <f t="shared" si="47"/>
        <v>147</v>
      </c>
    </row>
    <row r="74" spans="1:43" x14ac:dyDescent="0.25">
      <c r="A74" t="s">
        <v>30</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3">
        <f t="shared" si="37"/>
        <v>0</v>
      </c>
      <c r="O74" s="193">
        <f t="shared" si="37"/>
        <v>56</v>
      </c>
      <c r="P74" s="193">
        <f t="shared" si="37"/>
        <v>33</v>
      </c>
      <c r="Q74" s="193">
        <f t="shared" si="34"/>
        <v>0</v>
      </c>
      <c r="R74" s="193">
        <f t="shared" si="34"/>
        <v>0</v>
      </c>
      <c r="S74" s="193">
        <f t="shared" si="34"/>
        <v>33</v>
      </c>
      <c r="T74" s="193">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3">
        <f t="shared" si="40"/>
        <v>0</v>
      </c>
      <c r="AH74" s="193">
        <f t="shared" si="36"/>
        <v>56</v>
      </c>
      <c r="AI74" s="193">
        <f t="shared" si="36"/>
        <v>33</v>
      </c>
      <c r="AJ74" s="193">
        <f t="shared" si="36"/>
        <v>0</v>
      </c>
      <c r="AK74" s="193">
        <f t="shared" si="36"/>
        <v>0</v>
      </c>
      <c r="AL74" s="193">
        <f t="shared" si="36"/>
        <v>33</v>
      </c>
      <c r="AM74" s="193">
        <f t="shared" si="41"/>
        <v>25</v>
      </c>
      <c r="AN74" s="66">
        <f t="shared" si="47"/>
        <v>147</v>
      </c>
      <c r="AP74" s="197" t="s">
        <v>46</v>
      </c>
      <c r="AQ74" s="197">
        <v>25</v>
      </c>
    </row>
    <row r="75" spans="1:43" x14ac:dyDescent="0.25">
      <c r="A75" t="s">
        <v>42</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3">
        <f t="shared" si="37"/>
        <v>0</v>
      </c>
      <c r="O75" s="193">
        <f t="shared" si="37"/>
        <v>44</v>
      </c>
      <c r="P75" s="193">
        <f t="shared" si="37"/>
        <v>48</v>
      </c>
      <c r="Q75" s="193">
        <f t="shared" si="34"/>
        <v>0</v>
      </c>
      <c r="R75" s="193">
        <f t="shared" si="34"/>
        <v>0</v>
      </c>
      <c r="S75" s="193">
        <f t="shared" si="34"/>
        <v>33</v>
      </c>
      <c r="T75" s="193">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3">
        <f t="shared" si="40"/>
        <v>0</v>
      </c>
      <c r="AH75" s="193">
        <f t="shared" si="36"/>
        <v>44</v>
      </c>
      <c r="AI75" s="193">
        <f t="shared" si="36"/>
        <v>48</v>
      </c>
      <c r="AJ75" s="193">
        <f t="shared" si="36"/>
        <v>0</v>
      </c>
      <c r="AK75" s="193">
        <f t="shared" si="36"/>
        <v>0</v>
      </c>
      <c r="AL75" s="193">
        <f t="shared" si="36"/>
        <v>33</v>
      </c>
      <c r="AM75" s="193">
        <f t="shared" si="41"/>
        <v>25</v>
      </c>
      <c r="AN75" s="66">
        <f t="shared" si="47"/>
        <v>150</v>
      </c>
      <c r="AQ75">
        <f>AQ74*7</f>
        <v>175</v>
      </c>
    </row>
    <row r="76" spans="1:43" x14ac:dyDescent="0.25">
      <c r="A76" t="s">
        <v>36</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3">
        <f t="shared" si="37"/>
        <v>0</v>
      </c>
      <c r="O76" s="193">
        <f t="shared" si="37"/>
        <v>44</v>
      </c>
      <c r="P76" s="193">
        <f t="shared" si="37"/>
        <v>48</v>
      </c>
      <c r="Q76" s="193">
        <f t="shared" si="34"/>
        <v>0</v>
      </c>
      <c r="R76" s="193">
        <f t="shared" si="34"/>
        <v>0</v>
      </c>
      <c r="S76" s="193">
        <f t="shared" si="34"/>
        <v>33</v>
      </c>
      <c r="T76" s="193">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3">
        <f t="shared" si="40"/>
        <v>0</v>
      </c>
      <c r="AH76" s="193">
        <f t="shared" si="36"/>
        <v>44</v>
      </c>
      <c r="AI76" s="193">
        <f t="shared" si="36"/>
        <v>48</v>
      </c>
      <c r="AJ76" s="193">
        <f t="shared" si="36"/>
        <v>0</v>
      </c>
      <c r="AK76" s="193">
        <f t="shared" si="36"/>
        <v>0</v>
      </c>
      <c r="AL76" s="193">
        <f t="shared" si="36"/>
        <v>33</v>
      </c>
      <c r="AM76" s="193">
        <f t="shared" si="41"/>
        <v>25</v>
      </c>
      <c r="AN76" s="66">
        <f t="shared" si="47"/>
        <v>150</v>
      </c>
      <c r="AQ76">
        <f>AQ75-112</f>
        <v>63</v>
      </c>
    </row>
    <row r="77" spans="1:43" x14ac:dyDescent="0.25">
      <c r="A77" t="s">
        <v>35</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3">
        <f t="shared" si="37"/>
        <v>0</v>
      </c>
      <c r="O77" s="193">
        <f t="shared" si="37"/>
        <v>44</v>
      </c>
      <c r="P77" s="193">
        <f t="shared" si="37"/>
        <v>48</v>
      </c>
      <c r="Q77" s="193">
        <f t="shared" si="34"/>
        <v>0</v>
      </c>
      <c r="R77" s="193">
        <f t="shared" si="34"/>
        <v>0</v>
      </c>
      <c r="S77" s="193">
        <f t="shared" si="34"/>
        <v>33</v>
      </c>
      <c r="T77" s="193">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3">
        <f t="shared" si="40"/>
        <v>0</v>
      </c>
      <c r="AH77" s="193">
        <f t="shared" si="36"/>
        <v>44</v>
      </c>
      <c r="AI77" s="193">
        <f t="shared" si="36"/>
        <v>48</v>
      </c>
      <c r="AJ77" s="193">
        <f t="shared" si="36"/>
        <v>0</v>
      </c>
      <c r="AK77" s="193">
        <f t="shared" si="36"/>
        <v>0</v>
      </c>
      <c r="AL77" s="193">
        <f t="shared" si="36"/>
        <v>33</v>
      </c>
      <c r="AM77" s="193">
        <f t="shared" si="41"/>
        <v>25</v>
      </c>
      <c r="AN77" s="66">
        <f t="shared" si="47"/>
        <v>150</v>
      </c>
    </row>
    <row r="78" spans="1:43" x14ac:dyDescent="0.25">
      <c r="A78" t="s">
        <v>39</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3">
        <f t="shared" si="37"/>
        <v>0</v>
      </c>
      <c r="O78" s="193">
        <f t="shared" si="37"/>
        <v>26</v>
      </c>
      <c r="P78" s="193">
        <f t="shared" si="37"/>
        <v>26</v>
      </c>
      <c r="Q78" s="193">
        <f t="shared" si="34"/>
        <v>20.5</v>
      </c>
      <c r="R78" s="193">
        <f t="shared" si="34"/>
        <v>21</v>
      </c>
      <c r="S78" s="193">
        <f t="shared" si="34"/>
        <v>35</v>
      </c>
      <c r="T78" s="193">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3">
        <f t="shared" si="40"/>
        <v>0</v>
      </c>
      <c r="AH78" s="193">
        <f t="shared" si="36"/>
        <v>26</v>
      </c>
      <c r="AI78" s="193">
        <f t="shared" si="36"/>
        <v>26</v>
      </c>
      <c r="AJ78" s="193">
        <f t="shared" si="36"/>
        <v>20.5</v>
      </c>
      <c r="AK78" s="193">
        <f t="shared" si="36"/>
        <v>21</v>
      </c>
      <c r="AL78" s="193">
        <f t="shared" si="36"/>
        <v>35</v>
      </c>
      <c r="AM78" s="193">
        <f t="shared" si="41"/>
        <v>25</v>
      </c>
      <c r="AN78" s="66">
        <f t="shared" si="47"/>
        <v>153.5</v>
      </c>
    </row>
    <row r="79" spans="1:43" x14ac:dyDescent="0.25">
      <c r="A79" t="s">
        <v>33</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3">
        <f t="shared" si="37"/>
        <v>0</v>
      </c>
      <c r="O79" s="193">
        <f t="shared" si="37"/>
        <v>40</v>
      </c>
      <c r="P79" s="193">
        <f t="shared" si="37"/>
        <v>18</v>
      </c>
      <c r="Q79" s="193">
        <f t="shared" si="34"/>
        <v>15</v>
      </c>
      <c r="R79" s="193">
        <f t="shared" si="34"/>
        <v>21</v>
      </c>
      <c r="S79" s="193">
        <f t="shared" si="34"/>
        <v>33</v>
      </c>
      <c r="T79" s="193">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3">
        <f t="shared" si="40"/>
        <v>0</v>
      </c>
      <c r="AH79" s="193">
        <f t="shared" si="36"/>
        <v>40</v>
      </c>
      <c r="AI79" s="193">
        <f t="shared" si="36"/>
        <v>18</v>
      </c>
      <c r="AJ79" s="193">
        <f t="shared" si="36"/>
        <v>15</v>
      </c>
      <c r="AK79" s="193">
        <f t="shared" si="36"/>
        <v>21</v>
      </c>
      <c r="AL79" s="193">
        <f t="shared" si="36"/>
        <v>33</v>
      </c>
      <c r="AM79" s="193">
        <f t="shared" si="41"/>
        <v>23</v>
      </c>
      <c r="AN79" s="66">
        <f>SUM(AG79:AM79)</f>
        <v>150</v>
      </c>
    </row>
    <row r="80" spans="1:43" x14ac:dyDescent="0.25">
      <c r="A80" t="s">
        <v>41</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3">
        <f t="shared" si="37"/>
        <v>0</v>
      </c>
      <c r="O80" s="193">
        <f t="shared" si="37"/>
        <v>29</v>
      </c>
      <c r="P80" s="193">
        <f t="shared" si="37"/>
        <v>24</v>
      </c>
      <c r="Q80" s="193">
        <f t="shared" si="34"/>
        <v>17.5</v>
      </c>
      <c r="R80" s="193">
        <f t="shared" si="34"/>
        <v>18</v>
      </c>
      <c r="S80" s="193">
        <f t="shared" si="34"/>
        <v>35</v>
      </c>
      <c r="T80" s="193">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3">
        <f t="shared" si="40"/>
        <v>0</v>
      </c>
      <c r="AH80" s="193">
        <f t="shared" si="36"/>
        <v>29</v>
      </c>
      <c r="AI80" s="193">
        <f t="shared" si="36"/>
        <v>24</v>
      </c>
      <c r="AJ80" s="193">
        <f t="shared" si="36"/>
        <v>17.5</v>
      </c>
      <c r="AK80" s="193">
        <f t="shared" si="36"/>
        <v>18</v>
      </c>
      <c r="AL80" s="193">
        <f t="shared" si="36"/>
        <v>35</v>
      </c>
      <c r="AM80" s="193">
        <f t="shared" si="41"/>
        <v>23</v>
      </c>
      <c r="AN80" s="66">
        <f>SUM(AG80:AM80)</f>
        <v>146.5</v>
      </c>
    </row>
    <row r="81" spans="1:40" x14ac:dyDescent="0.25">
      <c r="A81" t="s">
        <v>45</v>
      </c>
      <c r="B81" s="15" t="s">
        <v>326</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3">
        <f t="shared" si="37"/>
        <v>0</v>
      </c>
      <c r="O81" s="193">
        <f t="shared" si="37"/>
        <v>0</v>
      </c>
      <c r="P81" s="193">
        <v>48</v>
      </c>
      <c r="Q81" s="193">
        <f t="shared" si="34"/>
        <v>0</v>
      </c>
      <c r="R81" s="193">
        <f t="shared" si="34"/>
        <v>0</v>
      </c>
      <c r="S81" s="193">
        <v>33</v>
      </c>
      <c r="T81" s="193">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3">
        <f t="shared" si="40"/>
        <v>0</v>
      </c>
      <c r="AH81" s="193">
        <f t="shared" si="36"/>
        <v>0</v>
      </c>
      <c r="AI81" s="193">
        <f t="shared" si="36"/>
        <v>48</v>
      </c>
      <c r="AJ81" s="193">
        <f t="shared" si="36"/>
        <v>0</v>
      </c>
      <c r="AK81" s="193">
        <f t="shared" si="36"/>
        <v>0</v>
      </c>
      <c r="AL81" s="193">
        <f t="shared" si="36"/>
        <v>33</v>
      </c>
      <c r="AM81" s="193">
        <f t="shared" si="41"/>
        <v>30</v>
      </c>
      <c r="AN81" s="66">
        <f>SUM(AG81:AM81)</f>
        <v>111</v>
      </c>
    </row>
    <row r="82" spans="1:40" x14ac:dyDescent="0.25">
      <c r="A82" t="s">
        <v>323</v>
      </c>
      <c r="B82" s="15" t="s">
        <v>326</v>
      </c>
      <c r="C82" s="18" t="s">
        <v>44</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3">
        <f t="shared" si="37"/>
        <v>0</v>
      </c>
      <c r="O82" s="193">
        <f t="shared" si="37"/>
        <v>0</v>
      </c>
      <c r="P82" s="193">
        <v>48</v>
      </c>
      <c r="Q82" s="193">
        <f t="shared" si="34"/>
        <v>0</v>
      </c>
      <c r="R82" s="193">
        <f t="shared" si="34"/>
        <v>0</v>
      </c>
      <c r="S82" s="193">
        <v>33</v>
      </c>
      <c r="T82" s="193">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3">
        <f t="shared" si="40"/>
        <v>0</v>
      </c>
      <c r="AH82" s="193">
        <f t="shared" si="36"/>
        <v>0</v>
      </c>
      <c r="AI82" s="193">
        <f t="shared" si="36"/>
        <v>48</v>
      </c>
      <c r="AJ82" s="193">
        <f t="shared" si="36"/>
        <v>0</v>
      </c>
      <c r="AK82" s="193">
        <f t="shared" si="36"/>
        <v>0</v>
      </c>
      <c r="AL82" s="193">
        <f t="shared" si="36"/>
        <v>33</v>
      </c>
      <c r="AM82" s="193">
        <f t="shared" si="41"/>
        <v>30</v>
      </c>
      <c r="AN82" s="66">
        <f>SUM(AG82:AM82)</f>
        <v>111</v>
      </c>
    </row>
    <row r="83" spans="1:40" x14ac:dyDescent="0.25">
      <c r="A83"/>
      <c r="B83"/>
      <c r="M83" s="196"/>
    </row>
    <row r="84" spans="1:40" x14ac:dyDescent="0.25">
      <c r="A84"/>
      <c r="B84"/>
      <c r="M84" s="196"/>
    </row>
    <row r="85" spans="1:40" x14ac:dyDescent="0.25">
      <c r="A85"/>
      <c r="B85"/>
      <c r="M85" s="196"/>
    </row>
    <row r="86" spans="1:40" x14ac:dyDescent="0.25">
      <c r="A86"/>
      <c r="B86"/>
      <c r="M86" s="196"/>
    </row>
    <row r="87" spans="1:40" x14ac:dyDescent="0.25">
      <c r="A87"/>
      <c r="B87"/>
      <c r="M87" s="196"/>
    </row>
    <row r="88" spans="1:40" x14ac:dyDescent="0.25">
      <c r="A88"/>
      <c r="B88"/>
      <c r="M88" s="196"/>
    </row>
    <row r="89" spans="1:40" x14ac:dyDescent="0.25">
      <c r="A89"/>
      <c r="B89"/>
      <c r="M89" s="196"/>
    </row>
    <row r="90" spans="1:40" x14ac:dyDescent="0.25">
      <c r="A90"/>
      <c r="B90"/>
      <c r="M90" s="196"/>
    </row>
    <row r="91" spans="1:40" x14ac:dyDescent="0.25">
      <c r="A91"/>
      <c r="B91"/>
      <c r="M91" s="196"/>
    </row>
    <row r="92" spans="1:40" x14ac:dyDescent="0.25">
      <c r="A92"/>
      <c r="B92"/>
      <c r="M92" s="196"/>
    </row>
    <row r="93" spans="1:40" x14ac:dyDescent="0.25">
      <c r="A93"/>
      <c r="B93"/>
      <c r="M93" s="196"/>
    </row>
    <row r="94" spans="1:40" x14ac:dyDescent="0.25">
      <c r="A94"/>
      <c r="B94"/>
      <c r="M94" s="196"/>
    </row>
    <row r="95" spans="1:40" x14ac:dyDescent="0.25">
      <c r="A95"/>
      <c r="B95"/>
      <c r="M95" s="196"/>
    </row>
    <row r="96" spans="1:40" x14ac:dyDescent="0.25">
      <c r="A96"/>
      <c r="B96"/>
      <c r="R96" s="196"/>
    </row>
    <row r="97" spans="1:18" x14ac:dyDescent="0.25">
      <c r="A97"/>
      <c r="B97"/>
      <c r="R97" s="196"/>
    </row>
    <row r="98" spans="1:18" x14ac:dyDescent="0.25">
      <c r="A98"/>
      <c r="B98"/>
      <c r="R98" s="196"/>
    </row>
    <row r="99" spans="1:18" x14ac:dyDescent="0.25">
      <c r="A99"/>
      <c r="B99"/>
      <c r="R99" s="196"/>
    </row>
    <row r="100" spans="1:18" x14ac:dyDescent="0.25">
      <c r="A100"/>
      <c r="B100"/>
      <c r="R100" s="196"/>
    </row>
    <row r="101" spans="1:18" x14ac:dyDescent="0.25">
      <c r="A101"/>
      <c r="B101"/>
      <c r="R101" s="196"/>
    </row>
    <row r="102" spans="1:18" x14ac:dyDescent="0.25">
      <c r="A102"/>
      <c r="B102"/>
      <c r="R102" s="196"/>
    </row>
    <row r="103" spans="1:18" x14ac:dyDescent="0.25">
      <c r="A103"/>
      <c r="B103"/>
      <c r="R103" s="196"/>
    </row>
    <row r="104" spans="1:18" x14ac:dyDescent="0.25">
      <c r="A104"/>
      <c r="B104"/>
      <c r="R104" s="196"/>
    </row>
    <row r="105" spans="1:18" x14ac:dyDescent="0.25">
      <c r="A105"/>
      <c r="B105"/>
      <c r="R105" s="196"/>
    </row>
    <row r="106" spans="1:18" x14ac:dyDescent="0.25">
      <c r="A106"/>
      <c r="B106"/>
      <c r="R106" s="196"/>
    </row>
    <row r="107" spans="1:18" x14ac:dyDescent="0.25">
      <c r="A107"/>
      <c r="B107"/>
      <c r="R107" s="196"/>
    </row>
    <row r="108" spans="1:18" x14ac:dyDescent="0.25">
      <c r="A108"/>
      <c r="B108"/>
      <c r="R108" s="196"/>
    </row>
    <row r="109" spans="1:18" x14ac:dyDescent="0.25">
      <c r="A109"/>
      <c r="B109"/>
      <c r="R109" s="196"/>
    </row>
    <row r="110" spans="1:18" x14ac:dyDescent="0.25">
      <c r="A110"/>
      <c r="B110"/>
      <c r="R110" s="196"/>
    </row>
    <row r="111" spans="1:18" x14ac:dyDescent="0.25">
      <c r="A111"/>
      <c r="B111"/>
      <c r="R111" s="196"/>
    </row>
    <row r="112" spans="1:18" x14ac:dyDescent="0.25">
      <c r="A112"/>
      <c r="B112"/>
      <c r="R112" s="196"/>
    </row>
    <row r="113" spans="1:18" x14ac:dyDescent="0.25">
      <c r="A113"/>
      <c r="B113"/>
      <c r="R113" s="196"/>
    </row>
    <row r="114" spans="1:18" x14ac:dyDescent="0.25">
      <c r="A114"/>
      <c r="B114"/>
      <c r="R114" s="196"/>
    </row>
    <row r="115" spans="1:18" x14ac:dyDescent="0.25">
      <c r="A115"/>
      <c r="B115"/>
      <c r="R115" s="196"/>
    </row>
    <row r="116" spans="1:18" x14ac:dyDescent="0.25">
      <c r="A116"/>
      <c r="B116"/>
      <c r="R116" s="196"/>
    </row>
    <row r="117" spans="1:18" x14ac:dyDescent="0.25">
      <c r="A117"/>
      <c r="B117"/>
      <c r="R117" s="196"/>
    </row>
    <row r="118" spans="1:18" x14ac:dyDescent="0.25">
      <c r="A118"/>
      <c r="B118"/>
      <c r="R118" s="196"/>
    </row>
    <row r="119" spans="1:18" x14ac:dyDescent="0.25">
      <c r="A119"/>
      <c r="B119"/>
      <c r="R119" s="196"/>
    </row>
    <row r="120" spans="1:18" x14ac:dyDescent="0.25">
      <c r="A120"/>
      <c r="B120"/>
      <c r="R120" s="196"/>
    </row>
    <row r="121" spans="1:18" x14ac:dyDescent="0.25">
      <c r="A121"/>
      <c r="B121"/>
      <c r="R121" s="196"/>
    </row>
    <row r="122" spans="1:18" x14ac:dyDescent="0.25">
      <c r="A122"/>
      <c r="B122"/>
      <c r="R122" s="196"/>
    </row>
    <row r="123" spans="1:18" x14ac:dyDescent="0.25">
      <c r="A123"/>
      <c r="B123"/>
      <c r="R123" s="196"/>
    </row>
    <row r="124" spans="1:18" x14ac:dyDescent="0.25">
      <c r="A124"/>
      <c r="B124"/>
      <c r="R124" s="196"/>
    </row>
    <row r="125" spans="1:18" x14ac:dyDescent="0.25">
      <c r="A125"/>
      <c r="B125"/>
      <c r="R125" s="196"/>
    </row>
    <row r="126" spans="1:18" x14ac:dyDescent="0.25">
      <c r="A126"/>
      <c r="B126"/>
      <c r="R126" s="196"/>
    </row>
    <row r="127" spans="1:18" x14ac:dyDescent="0.25">
      <c r="A127"/>
      <c r="B127"/>
      <c r="R127" s="196"/>
    </row>
    <row r="128" spans="1:18" x14ac:dyDescent="0.25">
      <c r="A128"/>
      <c r="B128"/>
      <c r="R128" s="196"/>
    </row>
    <row r="129" spans="1:18" x14ac:dyDescent="0.25">
      <c r="A129"/>
      <c r="B129"/>
      <c r="R129" s="196"/>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249977111117893"/>
  </sheetPr>
  <dimension ref="A1:AS106"/>
  <sheetViews>
    <sheetView workbookViewId="0">
      <selection activeCell="P7" sqref="P7"/>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5" width="6.140625" customWidth="1"/>
  </cols>
  <sheetData>
    <row r="1" spans="1:45" x14ac:dyDescent="0.25">
      <c r="B1" t="s">
        <v>356</v>
      </c>
      <c r="AQ1" s="110"/>
    </row>
    <row r="2" spans="1:45" x14ac:dyDescent="0.25">
      <c r="B2" t="s">
        <v>357</v>
      </c>
      <c r="AQ2" s="110"/>
      <c r="AR2" s="52" t="s">
        <v>358</v>
      </c>
      <c r="AS2" s="52" t="s">
        <v>359</v>
      </c>
    </row>
    <row r="3" spans="1:45" x14ac:dyDescent="0.25">
      <c r="B3" t="s">
        <v>360</v>
      </c>
      <c r="AQ3" s="110"/>
      <c r="AR3">
        <f>AR18+AR33+AR52</f>
        <v>102.5</v>
      </c>
      <c r="AS3">
        <f>AR3/16</f>
        <v>6.40625</v>
      </c>
    </row>
    <row r="4" spans="1:45" x14ac:dyDescent="0.25">
      <c r="B4" t="s">
        <v>361</v>
      </c>
      <c r="AQ4" s="110"/>
    </row>
    <row r="5" spans="1:45" x14ac:dyDescent="0.25">
      <c r="B5" t="s">
        <v>362</v>
      </c>
      <c r="AQ5" s="110"/>
    </row>
    <row r="6" spans="1:45" x14ac:dyDescent="0.25">
      <c r="B6" t="s">
        <v>363</v>
      </c>
      <c r="AQ6" s="110"/>
    </row>
    <row r="7" spans="1:45" x14ac:dyDescent="0.25">
      <c r="B7" t="s">
        <v>364</v>
      </c>
      <c r="AQ7" s="110"/>
    </row>
    <row r="8" spans="1:45" x14ac:dyDescent="0.25">
      <c r="AQ8" s="110"/>
    </row>
    <row r="9" spans="1:45" x14ac:dyDescent="0.25">
      <c r="N9" s="196">
        <f>SUM(N11:N25)</f>
        <v>1964.2160000000001</v>
      </c>
      <c r="AH9" s="196">
        <f>SUM(AH11:AH25)</f>
        <v>25277.456000000002</v>
      </c>
      <c r="AQ9" s="110"/>
    </row>
    <row r="10" spans="1:45" x14ac:dyDescent="0.25">
      <c r="A10" s="10" t="s">
        <v>169</v>
      </c>
      <c r="B10" s="10" t="s">
        <v>2</v>
      </c>
      <c r="C10" s="10" t="s">
        <v>83</v>
      </c>
      <c r="D10" s="10" t="s">
        <v>170</v>
      </c>
      <c r="E10" s="10" t="s">
        <v>310</v>
      </c>
      <c r="F10" s="10" t="s">
        <v>311</v>
      </c>
      <c r="G10" s="10" t="s">
        <v>15</v>
      </c>
      <c r="H10" s="10" t="s">
        <v>16</v>
      </c>
      <c r="I10" s="10" t="s">
        <v>17</v>
      </c>
      <c r="J10" s="10" t="s">
        <v>18</v>
      </c>
      <c r="K10" s="10" t="s">
        <v>19</v>
      </c>
      <c r="L10" s="10" t="s">
        <v>20</v>
      </c>
      <c r="M10" s="10" t="s">
        <v>6</v>
      </c>
      <c r="N10" s="10" t="s">
        <v>67</v>
      </c>
      <c r="O10" s="10" t="s">
        <v>312</v>
      </c>
      <c r="P10" s="10" t="s">
        <v>313</v>
      </c>
      <c r="Q10" s="10" t="s">
        <v>314</v>
      </c>
      <c r="R10" s="10" t="s">
        <v>315</v>
      </c>
      <c r="S10" s="10" t="s">
        <v>316</v>
      </c>
      <c r="T10" s="10" t="s">
        <v>317</v>
      </c>
      <c r="U10" s="10" t="s">
        <v>318</v>
      </c>
      <c r="V10" s="10" t="s">
        <v>319</v>
      </c>
      <c r="X10" s="10" t="s">
        <v>169</v>
      </c>
      <c r="Y10" s="10" t="s">
        <v>310</v>
      </c>
      <c r="Z10" s="10" t="s">
        <v>311</v>
      </c>
      <c r="AA10" s="10" t="s">
        <v>15</v>
      </c>
      <c r="AB10" s="10" t="s">
        <v>16</v>
      </c>
      <c r="AC10" s="10" t="s">
        <v>17</v>
      </c>
      <c r="AD10" s="10" t="s">
        <v>18</v>
      </c>
      <c r="AE10" s="10" t="s">
        <v>19</v>
      </c>
      <c r="AF10" s="10" t="s">
        <v>20</v>
      </c>
      <c r="AG10" s="10" t="s">
        <v>6</v>
      </c>
      <c r="AH10" s="10" t="s">
        <v>67</v>
      </c>
      <c r="AI10" s="10" t="s">
        <v>312</v>
      </c>
      <c r="AJ10" s="10" t="s">
        <v>313</v>
      </c>
      <c r="AK10" s="10" t="s">
        <v>314</v>
      </c>
      <c r="AL10" s="10" t="s">
        <v>315</v>
      </c>
      <c r="AM10" s="10" t="s">
        <v>316</v>
      </c>
      <c r="AN10" s="10" t="s">
        <v>317</v>
      </c>
      <c r="AO10" s="10" t="s">
        <v>318</v>
      </c>
      <c r="AP10" s="10" t="s">
        <v>319</v>
      </c>
      <c r="AQ10" s="110"/>
    </row>
    <row r="11" spans="1:45" x14ac:dyDescent="0.25">
      <c r="A11" t="s">
        <v>28</v>
      </c>
      <c r="B11" s="15" t="s">
        <v>27</v>
      </c>
      <c r="C11" s="18"/>
      <c r="D11" s="18"/>
      <c r="E11" s="18"/>
      <c r="F11" s="18"/>
      <c r="G11" s="216">
        <v>2</v>
      </c>
      <c r="H11" s="131">
        <v>2</v>
      </c>
      <c r="I11" s="216">
        <v>0</v>
      </c>
      <c r="J11" s="131">
        <v>0</v>
      </c>
      <c r="K11" s="216">
        <v>0</v>
      </c>
      <c r="L11" s="131">
        <v>0</v>
      </c>
      <c r="M11" s="216">
        <v>2</v>
      </c>
      <c r="N11" s="47"/>
      <c r="O11" s="215">
        <v>0</v>
      </c>
      <c r="P11" s="215">
        <v>0</v>
      </c>
      <c r="Q11" s="215">
        <v>0</v>
      </c>
      <c r="R11" s="195">
        <v>0</v>
      </c>
      <c r="S11" s="195">
        <v>0</v>
      </c>
      <c r="T11" s="195">
        <v>0</v>
      </c>
      <c r="U11" s="195">
        <v>0</v>
      </c>
      <c r="V11" s="66">
        <f>SUM(O11:U11)</f>
        <v>0</v>
      </c>
      <c r="X11" t="s">
        <v>28</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5">
        <f>O11</f>
        <v>0</v>
      </c>
      <c r="AJ11" s="215">
        <f t="shared" ref="AJ11:AO26" si="1">P11</f>
        <v>0</v>
      </c>
      <c r="AK11" s="215">
        <f t="shared" si="1"/>
        <v>0</v>
      </c>
      <c r="AL11" s="215">
        <f t="shared" si="1"/>
        <v>0</v>
      </c>
      <c r="AM11" s="215">
        <f t="shared" si="1"/>
        <v>0</v>
      </c>
      <c r="AN11" s="215">
        <f t="shared" si="1"/>
        <v>0</v>
      </c>
      <c r="AO11" s="215">
        <f t="shared" si="1"/>
        <v>0</v>
      </c>
      <c r="AP11" s="66">
        <f>SUM(AI11:AO11)</f>
        <v>0</v>
      </c>
      <c r="AQ11" s="110"/>
    </row>
    <row r="12" spans="1:45" x14ac:dyDescent="0.25">
      <c r="A12" t="s">
        <v>31</v>
      </c>
      <c r="B12" s="15" t="s">
        <v>29</v>
      </c>
      <c r="C12" s="3" t="s">
        <v>69</v>
      </c>
      <c r="D12" s="3" t="s">
        <v>365</v>
      </c>
      <c r="E12" s="3">
        <v>17</v>
      </c>
      <c r="F12" s="3">
        <v>50</v>
      </c>
      <c r="G12" s="216">
        <v>0</v>
      </c>
      <c r="H12" s="131">
        <v>6</v>
      </c>
      <c r="I12" s="216">
        <v>5</v>
      </c>
      <c r="J12" s="131">
        <v>6</v>
      </c>
      <c r="K12" s="216">
        <v>5</v>
      </c>
      <c r="L12" s="131">
        <v>4</v>
      </c>
      <c r="M12" s="216">
        <v>0</v>
      </c>
      <c r="N12" s="47">
        <v>370</v>
      </c>
      <c r="O12" s="215">
        <v>0</v>
      </c>
      <c r="P12" s="215">
        <v>14</v>
      </c>
      <c r="Q12" s="215">
        <v>9</v>
      </c>
      <c r="R12" s="195">
        <v>3.5</v>
      </c>
      <c r="S12" s="195">
        <v>7</v>
      </c>
      <c r="T12" s="195">
        <v>5</v>
      </c>
      <c r="U12" s="195">
        <v>0</v>
      </c>
      <c r="V12" s="66">
        <f t="shared" ref="V12:V21" si="2">SUM(O12:U12)</f>
        <v>38.5</v>
      </c>
      <c r="X12" t="s">
        <v>31</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5">
        <f t="shared" ref="AI12:AI26" si="4">O12</f>
        <v>0</v>
      </c>
      <c r="AJ12" s="215">
        <f t="shared" si="1"/>
        <v>14</v>
      </c>
      <c r="AK12" s="215">
        <f t="shared" si="1"/>
        <v>9</v>
      </c>
      <c r="AL12" s="215">
        <f>R12+AR17</f>
        <v>35</v>
      </c>
      <c r="AM12" s="215">
        <f t="shared" si="1"/>
        <v>7</v>
      </c>
      <c r="AN12" s="215">
        <f>T12+AR16</f>
        <v>21</v>
      </c>
      <c r="AO12" s="215">
        <f t="shared" si="1"/>
        <v>0</v>
      </c>
      <c r="AP12" s="66">
        <f>SUM(AI12:AO12)</f>
        <v>86</v>
      </c>
      <c r="AQ12" s="110"/>
    </row>
    <row r="13" spans="1:45" x14ac:dyDescent="0.25">
      <c r="A13" t="s">
        <v>32</v>
      </c>
      <c r="B13" s="15" t="s">
        <v>29</v>
      </c>
      <c r="C13" s="3"/>
      <c r="D13" s="3"/>
      <c r="E13" s="3"/>
      <c r="F13" s="3"/>
      <c r="G13" s="216">
        <v>0</v>
      </c>
      <c r="H13" s="131">
        <v>2</v>
      </c>
      <c r="I13" s="216">
        <v>2</v>
      </c>
      <c r="J13" s="131">
        <v>2</v>
      </c>
      <c r="K13" s="216">
        <v>2</v>
      </c>
      <c r="L13" s="131">
        <v>2</v>
      </c>
      <c r="M13" s="216">
        <v>2</v>
      </c>
      <c r="N13" s="47"/>
      <c r="O13" s="215">
        <v>0</v>
      </c>
      <c r="P13" s="215">
        <v>0</v>
      </c>
      <c r="Q13" s="215">
        <v>0</v>
      </c>
      <c r="R13" s="195">
        <v>0</v>
      </c>
      <c r="S13" s="195">
        <v>0</v>
      </c>
      <c r="T13" s="195">
        <v>0</v>
      </c>
      <c r="U13" s="195">
        <v>0</v>
      </c>
      <c r="V13" s="66">
        <f>SUM(O13:U13)</f>
        <v>0</v>
      </c>
      <c r="X13" t="s">
        <v>32</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5">
        <f t="shared" si="4"/>
        <v>0</v>
      </c>
      <c r="AJ13" s="215">
        <f t="shared" si="1"/>
        <v>0</v>
      </c>
      <c r="AK13" s="215">
        <f t="shared" si="1"/>
        <v>0</v>
      </c>
      <c r="AL13" s="215">
        <f t="shared" si="1"/>
        <v>0</v>
      </c>
      <c r="AM13" s="215">
        <f t="shared" si="1"/>
        <v>0</v>
      </c>
      <c r="AN13" s="215">
        <f t="shared" si="1"/>
        <v>0</v>
      </c>
      <c r="AO13" s="215">
        <f t="shared" si="1"/>
        <v>0</v>
      </c>
      <c r="AP13" s="66">
        <f>SUM(AI13:AO13)</f>
        <v>0</v>
      </c>
      <c r="AQ13" s="110"/>
    </row>
    <row r="14" spans="1:45" x14ac:dyDescent="0.25">
      <c r="A14" t="s">
        <v>38</v>
      </c>
      <c r="B14" s="15" t="s">
        <v>29</v>
      </c>
      <c r="C14" s="3"/>
      <c r="D14" s="3"/>
      <c r="E14" s="3"/>
      <c r="F14" s="3"/>
      <c r="G14" s="216">
        <v>0</v>
      </c>
      <c r="H14" s="131">
        <v>2</v>
      </c>
      <c r="I14" s="216">
        <v>2</v>
      </c>
      <c r="J14" s="131">
        <v>2</v>
      </c>
      <c r="K14" s="216">
        <v>2</v>
      </c>
      <c r="L14" s="131">
        <v>2</v>
      </c>
      <c r="M14" s="216">
        <v>2</v>
      </c>
      <c r="N14" s="47"/>
      <c r="O14" s="215">
        <v>0</v>
      </c>
      <c r="P14" s="215">
        <v>0</v>
      </c>
      <c r="Q14" s="215">
        <v>0</v>
      </c>
      <c r="R14" s="195">
        <v>0</v>
      </c>
      <c r="S14" s="195">
        <v>0</v>
      </c>
      <c r="T14" s="195">
        <v>0</v>
      </c>
      <c r="U14" s="195">
        <v>0</v>
      </c>
      <c r="V14" s="66">
        <f>SUM(O14:U14)</f>
        <v>0</v>
      </c>
      <c r="X14" t="s">
        <v>38</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5">
        <f t="shared" si="4"/>
        <v>0</v>
      </c>
      <c r="AJ14" s="215">
        <f t="shared" si="1"/>
        <v>0</v>
      </c>
      <c r="AK14" s="215">
        <f t="shared" si="1"/>
        <v>0</v>
      </c>
      <c r="AL14" s="215">
        <f t="shared" si="1"/>
        <v>0</v>
      </c>
      <c r="AM14" s="215">
        <f t="shared" si="1"/>
        <v>0</v>
      </c>
      <c r="AN14" s="215">
        <f t="shared" si="1"/>
        <v>0</v>
      </c>
      <c r="AO14" s="215">
        <f t="shared" si="1"/>
        <v>0</v>
      </c>
      <c r="AP14" s="66">
        <f>SUM(AI14:AO14)</f>
        <v>0</v>
      </c>
      <c r="AQ14" s="110"/>
    </row>
    <row r="15" spans="1:45" x14ac:dyDescent="0.25">
      <c r="A15" t="s">
        <v>40</v>
      </c>
      <c r="B15" s="15" t="s">
        <v>29</v>
      </c>
      <c r="C15" s="3"/>
      <c r="D15" s="3"/>
      <c r="E15" s="3"/>
      <c r="F15" s="3"/>
      <c r="G15" s="216">
        <v>0</v>
      </c>
      <c r="H15" s="131">
        <v>2</v>
      </c>
      <c r="I15" s="216">
        <v>2</v>
      </c>
      <c r="J15" s="131">
        <v>2</v>
      </c>
      <c r="K15" s="216">
        <v>2</v>
      </c>
      <c r="L15" s="131">
        <v>2</v>
      </c>
      <c r="M15" s="216">
        <v>2</v>
      </c>
      <c r="N15" s="47"/>
      <c r="O15" s="215">
        <v>0</v>
      </c>
      <c r="P15" s="215">
        <v>0</v>
      </c>
      <c r="Q15" s="215">
        <v>0</v>
      </c>
      <c r="R15" s="195">
        <v>0</v>
      </c>
      <c r="S15" s="195">
        <v>0</v>
      </c>
      <c r="T15" s="195">
        <v>0</v>
      </c>
      <c r="U15" s="195">
        <v>0</v>
      </c>
      <c r="V15" s="66">
        <f t="shared" si="2"/>
        <v>0</v>
      </c>
      <c r="X15" t="s">
        <v>40</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5">
        <f t="shared" si="4"/>
        <v>0</v>
      </c>
      <c r="AJ15" s="215">
        <f t="shared" si="1"/>
        <v>0</v>
      </c>
      <c r="AK15" s="215">
        <f t="shared" si="1"/>
        <v>0</v>
      </c>
      <c r="AL15" s="215">
        <f t="shared" si="1"/>
        <v>0</v>
      </c>
      <c r="AM15" s="215">
        <f t="shared" si="1"/>
        <v>0</v>
      </c>
      <c r="AN15" s="215">
        <f t="shared" si="1"/>
        <v>0</v>
      </c>
      <c r="AO15" s="215">
        <f t="shared" si="1"/>
        <v>0</v>
      </c>
      <c r="AP15" s="66">
        <f t="shared" ref="AP15:AP21" si="5">SUM(AI15:AO15)</f>
        <v>0</v>
      </c>
      <c r="AQ15" s="110"/>
      <c r="AR15" s="52" t="s">
        <v>358</v>
      </c>
      <c r="AS15" s="52" t="s">
        <v>359</v>
      </c>
    </row>
    <row r="16" spans="1:45" x14ac:dyDescent="0.25">
      <c r="A16" t="s">
        <v>37</v>
      </c>
      <c r="B16" s="15" t="s">
        <v>29</v>
      </c>
      <c r="C16" s="3"/>
      <c r="D16" s="3"/>
      <c r="E16" s="3"/>
      <c r="F16" s="3"/>
      <c r="G16" s="216">
        <v>0</v>
      </c>
      <c r="H16" s="131">
        <v>2</v>
      </c>
      <c r="I16" s="216">
        <v>2</v>
      </c>
      <c r="J16" s="131">
        <v>2</v>
      </c>
      <c r="K16" s="216">
        <v>2</v>
      </c>
      <c r="L16" s="131">
        <v>2</v>
      </c>
      <c r="M16" s="216">
        <v>2</v>
      </c>
      <c r="N16" s="47"/>
      <c r="O16" s="215">
        <v>0</v>
      </c>
      <c r="P16" s="215">
        <v>0</v>
      </c>
      <c r="Q16" s="215">
        <v>0</v>
      </c>
      <c r="R16" s="195">
        <v>0</v>
      </c>
      <c r="S16" s="195">
        <v>0</v>
      </c>
      <c r="T16" s="195">
        <v>0</v>
      </c>
      <c r="U16" s="195">
        <v>0</v>
      </c>
      <c r="V16" s="66">
        <f t="shared" si="2"/>
        <v>0</v>
      </c>
      <c r="X16" t="s">
        <v>37</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5">
        <f t="shared" si="4"/>
        <v>0</v>
      </c>
      <c r="AJ16" s="215">
        <f t="shared" si="1"/>
        <v>0</v>
      </c>
      <c r="AK16" s="215">
        <f t="shared" si="1"/>
        <v>0</v>
      </c>
      <c r="AL16" s="215">
        <f t="shared" si="1"/>
        <v>0</v>
      </c>
      <c r="AM16" s="215">
        <f t="shared" si="1"/>
        <v>0</v>
      </c>
      <c r="AN16" s="215">
        <f t="shared" si="1"/>
        <v>0</v>
      </c>
      <c r="AO16" s="215">
        <f t="shared" si="1"/>
        <v>0</v>
      </c>
      <c r="AP16" s="66">
        <f t="shared" si="5"/>
        <v>0</v>
      </c>
      <c r="AQ16" s="217" t="s">
        <v>89</v>
      </c>
      <c r="AR16">
        <v>16</v>
      </c>
      <c r="AS16" s="37">
        <f>AR16/16</f>
        <v>1</v>
      </c>
    </row>
    <row r="17" spans="1:45" x14ac:dyDescent="0.25">
      <c r="A17" t="s">
        <v>34</v>
      </c>
      <c r="B17" s="15" t="s">
        <v>29</v>
      </c>
      <c r="C17" s="3"/>
      <c r="D17" s="3"/>
      <c r="E17" s="3"/>
      <c r="F17" s="3"/>
      <c r="G17" s="216">
        <v>0</v>
      </c>
      <c r="H17" s="131">
        <v>2</v>
      </c>
      <c r="I17" s="216">
        <v>2</v>
      </c>
      <c r="J17" s="131">
        <v>2</v>
      </c>
      <c r="K17" s="216">
        <v>2</v>
      </c>
      <c r="L17" s="131">
        <v>2</v>
      </c>
      <c r="M17" s="216">
        <v>2</v>
      </c>
      <c r="N17" s="47"/>
      <c r="O17" s="215">
        <v>0</v>
      </c>
      <c r="P17" s="215">
        <v>0</v>
      </c>
      <c r="Q17" s="215">
        <v>0</v>
      </c>
      <c r="R17" s="195">
        <v>0</v>
      </c>
      <c r="S17" s="195">
        <v>0</v>
      </c>
      <c r="T17" s="195">
        <v>0</v>
      </c>
      <c r="U17" s="195">
        <v>0</v>
      </c>
      <c r="V17" s="66">
        <f t="shared" si="2"/>
        <v>0</v>
      </c>
      <c r="X17" t="s">
        <v>34</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5">
        <f t="shared" si="4"/>
        <v>0</v>
      </c>
      <c r="AJ17" s="215">
        <f t="shared" si="1"/>
        <v>0</v>
      </c>
      <c r="AK17" s="215">
        <f t="shared" si="1"/>
        <v>0</v>
      </c>
      <c r="AL17" s="215">
        <f t="shared" si="1"/>
        <v>0</v>
      </c>
      <c r="AM17" s="215">
        <f t="shared" si="1"/>
        <v>0</v>
      </c>
      <c r="AN17" s="215">
        <f t="shared" si="1"/>
        <v>0</v>
      </c>
      <c r="AO17" s="215">
        <f t="shared" si="1"/>
        <v>0</v>
      </c>
      <c r="AP17" s="66">
        <f t="shared" si="5"/>
        <v>0</v>
      </c>
      <c r="AQ17" s="217" t="s">
        <v>192</v>
      </c>
      <c r="AR17">
        <v>31.5</v>
      </c>
      <c r="AS17" s="37">
        <f>AR17/16</f>
        <v>1.96875</v>
      </c>
    </row>
    <row r="18" spans="1:45" x14ac:dyDescent="0.25">
      <c r="A18" t="s">
        <v>30</v>
      </c>
      <c r="B18" s="15" t="s">
        <v>29</v>
      </c>
      <c r="C18" s="3"/>
      <c r="D18" s="3"/>
      <c r="E18" s="3"/>
      <c r="F18" s="3"/>
      <c r="G18" s="216">
        <v>0</v>
      </c>
      <c r="H18" s="131">
        <v>2</v>
      </c>
      <c r="I18" s="216">
        <v>2</v>
      </c>
      <c r="J18" s="131">
        <v>2</v>
      </c>
      <c r="K18" s="216">
        <v>2</v>
      </c>
      <c r="L18" s="131">
        <v>2</v>
      </c>
      <c r="M18" s="216">
        <v>2</v>
      </c>
      <c r="N18" s="47"/>
      <c r="O18" s="215">
        <v>0</v>
      </c>
      <c r="P18" s="215">
        <v>0</v>
      </c>
      <c r="Q18" s="215">
        <v>0</v>
      </c>
      <c r="R18" s="195">
        <v>0</v>
      </c>
      <c r="S18" s="195">
        <v>0</v>
      </c>
      <c r="T18" s="195">
        <v>0</v>
      </c>
      <c r="U18" s="195">
        <v>0</v>
      </c>
      <c r="V18" s="66">
        <f t="shared" si="2"/>
        <v>0</v>
      </c>
      <c r="X18" t="s">
        <v>30</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5">
        <f t="shared" si="4"/>
        <v>0</v>
      </c>
      <c r="AJ18" s="215">
        <f t="shared" si="1"/>
        <v>0</v>
      </c>
      <c r="AK18" s="215">
        <f t="shared" si="1"/>
        <v>0</v>
      </c>
      <c r="AL18" s="215">
        <f t="shared" si="1"/>
        <v>0</v>
      </c>
      <c r="AM18" s="215">
        <f t="shared" si="1"/>
        <v>0</v>
      </c>
      <c r="AN18" s="215">
        <f t="shared" si="1"/>
        <v>0</v>
      </c>
      <c r="AO18" s="215">
        <f t="shared" si="1"/>
        <v>0</v>
      </c>
      <c r="AP18" s="66">
        <f t="shared" si="5"/>
        <v>0</v>
      </c>
      <c r="AQ18" s="110"/>
      <c r="AR18" s="157">
        <f>AR17+AR16</f>
        <v>47.5</v>
      </c>
      <c r="AS18" s="157">
        <f>AS17+AS16</f>
        <v>2.96875</v>
      </c>
    </row>
    <row r="19" spans="1:45" x14ac:dyDescent="0.25">
      <c r="A19" t="s">
        <v>42</v>
      </c>
      <c r="B19" s="15" t="s">
        <v>366</v>
      </c>
      <c r="C19" s="3"/>
      <c r="D19" s="3"/>
      <c r="E19" s="3"/>
      <c r="F19" s="3"/>
      <c r="G19" s="216">
        <v>0</v>
      </c>
      <c r="H19" s="131">
        <v>2</v>
      </c>
      <c r="I19" s="216">
        <v>2</v>
      </c>
      <c r="J19" s="131">
        <v>2</v>
      </c>
      <c r="K19" s="216">
        <v>2</v>
      </c>
      <c r="L19" s="131">
        <v>2</v>
      </c>
      <c r="M19" s="216">
        <v>2</v>
      </c>
      <c r="N19" s="47"/>
      <c r="O19" s="215">
        <v>0</v>
      </c>
      <c r="P19" s="215">
        <v>0</v>
      </c>
      <c r="Q19" s="215">
        <v>0</v>
      </c>
      <c r="R19" s="195">
        <v>0</v>
      </c>
      <c r="S19" s="195">
        <v>0</v>
      </c>
      <c r="T19" s="195">
        <v>0</v>
      </c>
      <c r="U19" s="195">
        <v>0</v>
      </c>
      <c r="V19" s="66">
        <f t="shared" si="2"/>
        <v>0</v>
      </c>
      <c r="X19" t="s">
        <v>42</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5">
        <f t="shared" si="4"/>
        <v>0</v>
      </c>
      <c r="AJ19" s="215">
        <f t="shared" si="1"/>
        <v>0</v>
      </c>
      <c r="AK19" s="215">
        <f t="shared" si="1"/>
        <v>0</v>
      </c>
      <c r="AL19" s="215">
        <f t="shared" si="1"/>
        <v>0</v>
      </c>
      <c r="AM19" s="215">
        <f t="shared" si="1"/>
        <v>0</v>
      </c>
      <c r="AN19" s="215">
        <f t="shared" si="1"/>
        <v>0</v>
      </c>
      <c r="AO19" s="215">
        <f t="shared" si="1"/>
        <v>0</v>
      </c>
      <c r="AP19" s="66">
        <f t="shared" si="5"/>
        <v>0</v>
      </c>
      <c r="AQ19" s="110"/>
    </row>
    <row r="20" spans="1:45" x14ac:dyDescent="0.25">
      <c r="A20" t="s">
        <v>42</v>
      </c>
      <c r="B20" s="15" t="s">
        <v>366</v>
      </c>
      <c r="C20" s="3"/>
      <c r="D20" s="3"/>
      <c r="E20" s="3"/>
      <c r="F20" s="3"/>
      <c r="G20" s="216">
        <v>0</v>
      </c>
      <c r="H20" s="131">
        <v>2</v>
      </c>
      <c r="I20" s="216">
        <v>2</v>
      </c>
      <c r="J20" s="131">
        <v>2</v>
      </c>
      <c r="K20" s="216">
        <v>2</v>
      </c>
      <c r="L20" s="131">
        <v>2</v>
      </c>
      <c r="M20" s="216">
        <v>2</v>
      </c>
      <c r="N20" s="47"/>
      <c r="O20" s="215">
        <v>0</v>
      </c>
      <c r="P20" s="215">
        <v>0</v>
      </c>
      <c r="Q20" s="215">
        <v>0</v>
      </c>
      <c r="R20" s="195">
        <v>0</v>
      </c>
      <c r="S20" s="195">
        <v>0</v>
      </c>
      <c r="T20" s="195">
        <v>0</v>
      </c>
      <c r="U20" s="195">
        <v>0</v>
      </c>
      <c r="V20" s="66">
        <f t="shared" si="2"/>
        <v>0</v>
      </c>
      <c r="X20" t="s">
        <v>42</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5">
        <f t="shared" si="4"/>
        <v>0</v>
      </c>
      <c r="AJ20" s="215">
        <f t="shared" si="1"/>
        <v>0</v>
      </c>
      <c r="AK20" s="215">
        <f t="shared" si="1"/>
        <v>0</v>
      </c>
      <c r="AL20" s="215">
        <f t="shared" si="1"/>
        <v>0</v>
      </c>
      <c r="AM20" s="215">
        <f t="shared" si="1"/>
        <v>0</v>
      </c>
      <c r="AN20" s="215">
        <f t="shared" si="1"/>
        <v>0</v>
      </c>
      <c r="AO20" s="215">
        <f t="shared" si="1"/>
        <v>0</v>
      </c>
      <c r="AP20" s="66">
        <f t="shared" si="5"/>
        <v>0</v>
      </c>
      <c r="AQ20" s="110"/>
    </row>
    <row r="21" spans="1:45" x14ac:dyDescent="0.25">
      <c r="A21" t="s">
        <v>35</v>
      </c>
      <c r="B21" s="15" t="s">
        <v>70</v>
      </c>
      <c r="C21" s="3" t="s">
        <v>44</v>
      </c>
      <c r="D21" s="3" t="s">
        <v>320</v>
      </c>
      <c r="E21" s="3">
        <v>17</v>
      </c>
      <c r="F21" s="3">
        <v>37</v>
      </c>
      <c r="G21" s="216">
        <v>0</v>
      </c>
      <c r="H21" s="131">
        <v>2</v>
      </c>
      <c r="I21" s="216">
        <v>5.7</v>
      </c>
      <c r="J21" s="131">
        <v>5.5</v>
      </c>
      <c r="K21" s="216">
        <v>5.25</v>
      </c>
      <c r="L21" s="131">
        <v>3</v>
      </c>
      <c r="M21" s="216">
        <v>5</v>
      </c>
      <c r="N21" s="47">
        <f>(310+135+140)*1.016</f>
        <v>594.36</v>
      </c>
      <c r="O21" s="215">
        <v>0</v>
      </c>
      <c r="P21" s="215">
        <v>0</v>
      </c>
      <c r="Q21" s="215">
        <v>13</v>
      </c>
      <c r="R21" s="195">
        <v>10.5</v>
      </c>
      <c r="S21" s="195">
        <v>8</v>
      </c>
      <c r="T21" s="195">
        <v>2</v>
      </c>
      <c r="U21" s="195">
        <v>3</v>
      </c>
      <c r="V21" s="66">
        <f t="shared" si="2"/>
        <v>36.5</v>
      </c>
      <c r="X21" t="s">
        <v>35</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5">
        <f t="shared" si="4"/>
        <v>0</v>
      </c>
      <c r="AJ21" s="215">
        <f t="shared" si="1"/>
        <v>0</v>
      </c>
      <c r="AK21" s="215">
        <f t="shared" si="1"/>
        <v>13</v>
      </c>
      <c r="AL21" s="215">
        <f>R21+AR17</f>
        <v>42</v>
      </c>
      <c r="AM21" s="215">
        <f t="shared" si="1"/>
        <v>8</v>
      </c>
      <c r="AN21" s="215">
        <f>T21+AR16</f>
        <v>18</v>
      </c>
      <c r="AO21" s="215">
        <f t="shared" si="1"/>
        <v>3</v>
      </c>
      <c r="AP21" s="66">
        <f t="shared" si="5"/>
        <v>84</v>
      </c>
      <c r="AQ21" s="110"/>
    </row>
    <row r="22" spans="1:45" x14ac:dyDescent="0.25">
      <c r="A22" t="s">
        <v>39</v>
      </c>
      <c r="B22" s="15" t="s">
        <v>70</v>
      </c>
      <c r="C22" s="3" t="s">
        <v>294</v>
      </c>
      <c r="D22" s="3" t="s">
        <v>321</v>
      </c>
      <c r="E22" s="3">
        <v>17</v>
      </c>
      <c r="F22" s="3">
        <v>41</v>
      </c>
      <c r="G22" s="216">
        <v>0</v>
      </c>
      <c r="H22" s="131">
        <v>6</v>
      </c>
      <c r="I22" s="216">
        <v>3</v>
      </c>
      <c r="J22" s="131">
        <v>3</v>
      </c>
      <c r="K22" s="216">
        <v>5.2</v>
      </c>
      <c r="L22" s="131">
        <v>2</v>
      </c>
      <c r="M22" s="216">
        <v>3</v>
      </c>
      <c r="N22" s="47">
        <f>(330+138)*1.012</f>
        <v>473.61599999999999</v>
      </c>
      <c r="O22" s="215">
        <v>0</v>
      </c>
      <c r="P22" s="215">
        <v>14</v>
      </c>
      <c r="Q22" s="215">
        <v>3</v>
      </c>
      <c r="R22" s="195">
        <v>1.5</v>
      </c>
      <c r="S22" s="195">
        <v>8</v>
      </c>
      <c r="T22" s="195">
        <v>0</v>
      </c>
      <c r="U22" s="195">
        <v>1</v>
      </c>
      <c r="V22" s="66">
        <f>SUM(O22:U22)</f>
        <v>27.5</v>
      </c>
      <c r="X22" t="s">
        <v>39</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5">
        <f t="shared" si="4"/>
        <v>0</v>
      </c>
      <c r="AJ22" s="215">
        <f t="shared" si="1"/>
        <v>14</v>
      </c>
      <c r="AK22" s="215">
        <f t="shared" si="1"/>
        <v>3</v>
      </c>
      <c r="AL22" s="215">
        <f>R22+AR17</f>
        <v>33</v>
      </c>
      <c r="AM22" s="215">
        <f t="shared" si="1"/>
        <v>8</v>
      </c>
      <c r="AN22" s="215">
        <f>T22+AR16</f>
        <v>16</v>
      </c>
      <c r="AO22" s="215">
        <f t="shared" si="1"/>
        <v>1</v>
      </c>
      <c r="AP22" s="66">
        <f>SUM(AI22:AO22)</f>
        <v>75</v>
      </c>
      <c r="AQ22" s="110"/>
    </row>
    <row r="23" spans="1:45" x14ac:dyDescent="0.25">
      <c r="A23" t="s">
        <v>33</v>
      </c>
      <c r="B23" s="15" t="s">
        <v>70</v>
      </c>
      <c r="C23" s="3" t="s">
        <v>294</v>
      </c>
      <c r="D23" s="3" t="s">
        <v>322</v>
      </c>
      <c r="E23" s="3">
        <v>17</v>
      </c>
      <c r="F23" s="3">
        <v>37</v>
      </c>
      <c r="G23" s="216">
        <v>0</v>
      </c>
      <c r="H23" s="131">
        <v>3</v>
      </c>
      <c r="I23" s="216">
        <v>5</v>
      </c>
      <c r="J23" s="131">
        <v>4</v>
      </c>
      <c r="K23" s="216">
        <v>4</v>
      </c>
      <c r="L23" s="131">
        <v>3</v>
      </c>
      <c r="M23" s="216">
        <v>3</v>
      </c>
      <c r="N23" s="47">
        <f>(270+125+125)*1.012</f>
        <v>526.24</v>
      </c>
      <c r="O23" s="215">
        <v>0</v>
      </c>
      <c r="P23" s="215">
        <v>3</v>
      </c>
      <c r="Q23" s="215">
        <v>9</v>
      </c>
      <c r="R23" s="195">
        <v>3.5</v>
      </c>
      <c r="S23" s="195">
        <v>4</v>
      </c>
      <c r="T23" s="195">
        <v>2</v>
      </c>
      <c r="U23" s="195">
        <v>1</v>
      </c>
      <c r="V23" s="66">
        <f>SUM(O23:U23)</f>
        <v>22.5</v>
      </c>
      <c r="X23" t="s">
        <v>33</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5">
        <f t="shared" si="4"/>
        <v>0</v>
      </c>
      <c r="AJ23" s="215">
        <f t="shared" si="1"/>
        <v>3</v>
      </c>
      <c r="AK23" s="215">
        <f t="shared" si="1"/>
        <v>9</v>
      </c>
      <c r="AL23" s="215">
        <f>R23+AR17</f>
        <v>35</v>
      </c>
      <c r="AM23" s="215">
        <f t="shared" si="1"/>
        <v>4</v>
      </c>
      <c r="AN23" s="215">
        <f>T23+AR16</f>
        <v>18</v>
      </c>
      <c r="AO23" s="215">
        <f t="shared" si="1"/>
        <v>1</v>
      </c>
      <c r="AP23" s="66">
        <f>SUM(AI23:AO23)</f>
        <v>70</v>
      </c>
      <c r="AQ23" s="110"/>
    </row>
    <row r="24" spans="1:45" x14ac:dyDescent="0.25">
      <c r="A24" t="s">
        <v>41</v>
      </c>
      <c r="B24" s="15" t="s">
        <v>43</v>
      </c>
      <c r="C24" s="3"/>
      <c r="D24" s="3"/>
      <c r="E24" s="3"/>
      <c r="F24" s="3"/>
      <c r="G24" s="216">
        <v>0</v>
      </c>
      <c r="H24" s="131">
        <v>2</v>
      </c>
      <c r="I24" s="216">
        <v>2</v>
      </c>
      <c r="J24" s="131">
        <v>2</v>
      </c>
      <c r="K24" s="216">
        <v>2</v>
      </c>
      <c r="L24" s="131">
        <v>2</v>
      </c>
      <c r="M24" s="216">
        <v>2</v>
      </c>
      <c r="N24" s="47"/>
      <c r="O24" s="215">
        <v>0</v>
      </c>
      <c r="P24" s="215">
        <v>0</v>
      </c>
      <c r="Q24" s="215">
        <v>0</v>
      </c>
      <c r="R24" s="195">
        <v>0</v>
      </c>
      <c r="S24" s="195">
        <v>0</v>
      </c>
      <c r="T24" s="195">
        <v>0</v>
      </c>
      <c r="U24" s="195">
        <v>0</v>
      </c>
      <c r="V24" s="66">
        <f>SUM(O24:U24)</f>
        <v>0</v>
      </c>
      <c r="X24" t="s">
        <v>41</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5">
        <f t="shared" si="4"/>
        <v>0</v>
      </c>
      <c r="AJ24" s="215">
        <f t="shared" si="1"/>
        <v>0</v>
      </c>
      <c r="AK24" s="215">
        <f t="shared" si="1"/>
        <v>0</v>
      </c>
      <c r="AL24" s="215">
        <f t="shared" si="1"/>
        <v>0</v>
      </c>
      <c r="AM24" s="215">
        <f t="shared" si="1"/>
        <v>0</v>
      </c>
      <c r="AN24" s="215">
        <f t="shared" si="1"/>
        <v>0</v>
      </c>
      <c r="AO24" s="215">
        <f t="shared" si="1"/>
        <v>0</v>
      </c>
      <c r="AP24" s="66">
        <f>SUM(AI24:AO24)</f>
        <v>0</v>
      </c>
      <c r="AQ24" s="110"/>
    </row>
    <row r="25" spans="1:45" x14ac:dyDescent="0.25">
      <c r="A25" t="s">
        <v>45</v>
      </c>
      <c r="B25" s="15" t="s">
        <v>43</v>
      </c>
      <c r="C25" s="3"/>
      <c r="D25" s="3"/>
      <c r="E25" s="3"/>
      <c r="F25" s="3"/>
      <c r="G25" s="216">
        <v>0</v>
      </c>
      <c r="H25" s="131">
        <v>2</v>
      </c>
      <c r="I25" s="216">
        <v>2</v>
      </c>
      <c r="J25" s="131">
        <v>2</v>
      </c>
      <c r="K25" s="216">
        <v>2</v>
      </c>
      <c r="L25" s="131">
        <v>2</v>
      </c>
      <c r="M25" s="216">
        <v>2</v>
      </c>
      <c r="N25" s="47"/>
      <c r="O25" s="215">
        <v>0</v>
      </c>
      <c r="P25" s="215">
        <v>0</v>
      </c>
      <c r="Q25" s="215">
        <v>0</v>
      </c>
      <c r="R25" s="195">
        <v>0</v>
      </c>
      <c r="S25" s="195">
        <v>0</v>
      </c>
      <c r="T25" s="195">
        <v>0</v>
      </c>
      <c r="U25" s="195">
        <v>0</v>
      </c>
      <c r="V25" s="66">
        <f>SUM(O25:U25)</f>
        <v>0</v>
      </c>
      <c r="X25" t="s">
        <v>45</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5">
        <f t="shared" si="4"/>
        <v>0</v>
      </c>
      <c r="AJ25" s="215">
        <f t="shared" si="1"/>
        <v>0</v>
      </c>
      <c r="AK25" s="215">
        <f t="shared" si="1"/>
        <v>0</v>
      </c>
      <c r="AL25" s="215">
        <f t="shared" si="1"/>
        <v>0</v>
      </c>
      <c r="AM25" s="215">
        <f t="shared" si="1"/>
        <v>0</v>
      </c>
      <c r="AN25" s="215">
        <f t="shared" si="1"/>
        <v>0</v>
      </c>
      <c r="AO25" s="215">
        <f t="shared" si="1"/>
        <v>0</v>
      </c>
      <c r="AP25" s="66">
        <f>SUM(AI25:AO25)</f>
        <v>0</v>
      </c>
      <c r="AQ25" s="110"/>
    </row>
    <row r="26" spans="1:45" x14ac:dyDescent="0.25">
      <c r="A26" t="s">
        <v>323</v>
      </c>
      <c r="B26" s="15" t="s">
        <v>43</v>
      </c>
      <c r="C26" s="3"/>
      <c r="D26" s="3"/>
      <c r="E26" s="3"/>
      <c r="F26" s="3"/>
      <c r="G26" s="216">
        <v>0</v>
      </c>
      <c r="H26" s="131">
        <v>2</v>
      </c>
      <c r="I26" s="216">
        <v>2</v>
      </c>
      <c r="J26" s="131">
        <v>2</v>
      </c>
      <c r="K26" s="216">
        <v>2</v>
      </c>
      <c r="L26" s="131">
        <v>2</v>
      </c>
      <c r="M26" s="216">
        <v>2</v>
      </c>
      <c r="N26" s="47"/>
      <c r="O26" s="215">
        <v>0</v>
      </c>
      <c r="P26" s="215">
        <v>0</v>
      </c>
      <c r="Q26" s="215">
        <v>0</v>
      </c>
      <c r="R26" s="195">
        <v>0</v>
      </c>
      <c r="S26" s="195">
        <v>0</v>
      </c>
      <c r="T26" s="195">
        <v>0</v>
      </c>
      <c r="U26" s="195">
        <v>0</v>
      </c>
      <c r="V26" s="66">
        <f>SUM(O26:U26)</f>
        <v>0</v>
      </c>
      <c r="X26" t="s">
        <v>323</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5">
        <f t="shared" si="4"/>
        <v>0</v>
      </c>
      <c r="AJ26" s="215">
        <f t="shared" si="1"/>
        <v>0</v>
      </c>
      <c r="AK26" s="215">
        <f t="shared" si="1"/>
        <v>0</v>
      </c>
      <c r="AL26" s="215">
        <f t="shared" si="1"/>
        <v>0</v>
      </c>
      <c r="AM26" s="215">
        <f t="shared" si="1"/>
        <v>0</v>
      </c>
      <c r="AN26" s="215">
        <f t="shared" si="1"/>
        <v>0</v>
      </c>
      <c r="AO26" s="215">
        <f t="shared" si="1"/>
        <v>0</v>
      </c>
      <c r="AP26" s="66">
        <f>SUM(AI26:AO26)</f>
        <v>0</v>
      </c>
      <c r="AQ26" s="110"/>
    </row>
    <row r="27" spans="1:45" x14ac:dyDescent="0.25">
      <c r="N27" s="196">
        <f>SUM(N29:N43)</f>
        <v>74210.815999999992</v>
      </c>
      <c r="AH27" s="196">
        <f>SUM(AH29:AH43)</f>
        <v>125777.25600000001</v>
      </c>
      <c r="AQ27" s="110"/>
    </row>
    <row r="28" spans="1:45" x14ac:dyDescent="0.25">
      <c r="A28" s="10" t="s">
        <v>169</v>
      </c>
      <c r="B28" s="10" t="s">
        <v>2</v>
      </c>
      <c r="C28" s="10" t="s">
        <v>83</v>
      </c>
      <c r="D28" s="10" t="str">
        <f>D10</f>
        <v>Nombre</v>
      </c>
      <c r="E28" s="10" t="str">
        <f>E10</f>
        <v>Año</v>
      </c>
      <c r="F28" s="10" t="str">
        <f>F10</f>
        <v>Dia</v>
      </c>
      <c r="G28" s="10" t="s">
        <v>15</v>
      </c>
      <c r="H28" s="10" t="s">
        <v>16</v>
      </c>
      <c r="I28" s="10" t="s">
        <v>17</v>
      </c>
      <c r="J28" s="10" t="s">
        <v>18</v>
      </c>
      <c r="K28" s="10" t="s">
        <v>19</v>
      </c>
      <c r="L28" s="10" t="s">
        <v>20</v>
      </c>
      <c r="M28" s="10" t="s">
        <v>6</v>
      </c>
      <c r="N28" s="10" t="s">
        <v>67</v>
      </c>
      <c r="O28" s="10" t="s">
        <v>312</v>
      </c>
      <c r="P28" s="10" t="s">
        <v>313</v>
      </c>
      <c r="Q28" s="10" t="s">
        <v>314</v>
      </c>
      <c r="R28" s="10" t="s">
        <v>315</v>
      </c>
      <c r="S28" s="10" t="s">
        <v>316</v>
      </c>
      <c r="T28" s="10" t="s">
        <v>317</v>
      </c>
      <c r="U28" s="10" t="s">
        <v>318</v>
      </c>
      <c r="V28" s="10" t="s">
        <v>319</v>
      </c>
      <c r="X28" s="10" t="s">
        <v>169</v>
      </c>
      <c r="Y28" s="10" t="str">
        <f>Y10</f>
        <v>Año</v>
      </c>
      <c r="Z28" s="10" t="str">
        <f>Z10</f>
        <v>Dia</v>
      </c>
      <c r="AA28" s="10" t="s">
        <v>15</v>
      </c>
      <c r="AB28" s="10" t="s">
        <v>16</v>
      </c>
      <c r="AC28" s="10" t="s">
        <v>17</v>
      </c>
      <c r="AD28" s="10" t="s">
        <v>18</v>
      </c>
      <c r="AE28" s="10" t="s">
        <v>19</v>
      </c>
      <c r="AF28" s="10" t="s">
        <v>20</v>
      </c>
      <c r="AG28" s="10" t="s">
        <v>6</v>
      </c>
      <c r="AH28" s="10" t="s">
        <v>67</v>
      </c>
      <c r="AI28" s="10" t="s">
        <v>312</v>
      </c>
      <c r="AJ28" s="10" t="s">
        <v>313</v>
      </c>
      <c r="AK28" s="10" t="s">
        <v>314</v>
      </c>
      <c r="AL28" s="10" t="s">
        <v>315</v>
      </c>
      <c r="AM28" s="10" t="s">
        <v>316</v>
      </c>
      <c r="AN28" s="10" t="s">
        <v>317</v>
      </c>
      <c r="AO28" s="10" t="s">
        <v>318</v>
      </c>
      <c r="AP28" s="10" t="s">
        <v>319</v>
      </c>
      <c r="AQ28" s="110"/>
    </row>
    <row r="29" spans="1:45" x14ac:dyDescent="0.25">
      <c r="A29" t="s">
        <v>28</v>
      </c>
      <c r="B29" s="15" t="str">
        <f>B11</f>
        <v>POR</v>
      </c>
      <c r="C29" s="18"/>
      <c r="D29" s="18" t="s">
        <v>71</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5">
        <v>62</v>
      </c>
      <c r="P29" s="215">
        <f t="shared" ref="P29:U44" si="7">AJ11</f>
        <v>0</v>
      </c>
      <c r="Q29" s="215">
        <f t="shared" si="7"/>
        <v>0</v>
      </c>
      <c r="R29" s="215">
        <f t="shared" si="7"/>
        <v>0</v>
      </c>
      <c r="S29" s="215">
        <f t="shared" si="7"/>
        <v>0</v>
      </c>
      <c r="T29" s="215">
        <f t="shared" si="7"/>
        <v>0</v>
      </c>
      <c r="U29" s="215">
        <f t="shared" si="7"/>
        <v>0</v>
      </c>
      <c r="V29" s="66">
        <f>SUM(O29:U29)</f>
        <v>62</v>
      </c>
      <c r="X29" t="s">
        <v>28</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5">
        <f>O29</f>
        <v>62</v>
      </c>
      <c r="AJ29" s="215">
        <f>P29+AR33</f>
        <v>30</v>
      </c>
      <c r="AK29" s="215">
        <f t="shared" ref="AK29:AO44" si="9">Q29</f>
        <v>0</v>
      </c>
      <c r="AL29" s="215">
        <f t="shared" si="9"/>
        <v>0</v>
      </c>
      <c r="AM29" s="215">
        <f t="shared" si="9"/>
        <v>0</v>
      </c>
      <c r="AN29" s="215">
        <f t="shared" si="9"/>
        <v>0</v>
      </c>
      <c r="AO29" s="215">
        <f t="shared" si="9"/>
        <v>0</v>
      </c>
      <c r="AP29" s="66">
        <f>SUM(AI29:AO29)</f>
        <v>92</v>
      </c>
      <c r="AQ29" s="110"/>
    </row>
    <row r="30" spans="1:45" x14ac:dyDescent="0.25">
      <c r="A30" t="s">
        <v>31</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5">
        <f t="shared" si="6"/>
        <v>0</v>
      </c>
      <c r="P30" s="215">
        <f t="shared" si="7"/>
        <v>14</v>
      </c>
      <c r="Q30" s="215">
        <f t="shared" si="7"/>
        <v>9</v>
      </c>
      <c r="R30" s="215">
        <f t="shared" si="7"/>
        <v>35</v>
      </c>
      <c r="S30" s="215">
        <f t="shared" si="7"/>
        <v>7</v>
      </c>
      <c r="T30" s="215">
        <f t="shared" si="7"/>
        <v>21</v>
      </c>
      <c r="U30" s="215">
        <v>-2</v>
      </c>
      <c r="V30" s="66">
        <f>SUM(O30:U30)</f>
        <v>84</v>
      </c>
      <c r="X30" t="s">
        <v>31</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5">
        <f t="shared" ref="AI30:AJ44" si="12">O30</f>
        <v>0</v>
      </c>
      <c r="AJ30" s="215">
        <f>P30+AR33</f>
        <v>44</v>
      </c>
      <c r="AK30" s="215">
        <f t="shared" si="9"/>
        <v>9</v>
      </c>
      <c r="AL30" s="215">
        <f t="shared" si="9"/>
        <v>35</v>
      </c>
      <c r="AM30" s="215">
        <f t="shared" si="9"/>
        <v>7</v>
      </c>
      <c r="AN30" s="215">
        <f t="shared" si="9"/>
        <v>21</v>
      </c>
      <c r="AO30" s="215">
        <f t="shared" si="9"/>
        <v>-2</v>
      </c>
      <c r="AP30" s="66">
        <f>SUM(AI30:AO30)</f>
        <v>114</v>
      </c>
      <c r="AQ30" s="110"/>
    </row>
    <row r="31" spans="1:45" x14ac:dyDescent="0.25">
      <c r="A31" t="s">
        <v>32</v>
      </c>
      <c r="B31" s="15" t="str">
        <f t="shared" si="10"/>
        <v>DEF</v>
      </c>
      <c r="C31" s="18" t="s">
        <v>44</v>
      </c>
      <c r="D31" s="18" t="s">
        <v>325</v>
      </c>
      <c r="E31" s="18">
        <v>20</v>
      </c>
      <c r="F31" s="18">
        <v>50</v>
      </c>
      <c r="G31" s="111">
        <f>AA13</f>
        <v>0</v>
      </c>
      <c r="H31" s="111">
        <v>10</v>
      </c>
      <c r="I31" s="111">
        <v>4</v>
      </c>
      <c r="J31" s="111">
        <v>4</v>
      </c>
      <c r="K31" s="111">
        <v>10</v>
      </c>
      <c r="L31" s="111">
        <f t="shared" si="6"/>
        <v>2</v>
      </c>
      <c r="M31" s="111">
        <f t="shared" si="6"/>
        <v>2</v>
      </c>
      <c r="N31" s="47">
        <f>(2330+125+125+785)*1.008</f>
        <v>3391.92</v>
      </c>
      <c r="O31" s="215">
        <f t="shared" si="6"/>
        <v>0</v>
      </c>
      <c r="P31" s="215">
        <v>37</v>
      </c>
      <c r="Q31" s="215">
        <v>6</v>
      </c>
      <c r="R31" s="215">
        <v>3.5</v>
      </c>
      <c r="S31" s="215">
        <v>29</v>
      </c>
      <c r="T31" s="215">
        <f t="shared" si="7"/>
        <v>0</v>
      </c>
      <c r="U31" s="215">
        <f t="shared" si="7"/>
        <v>0</v>
      </c>
      <c r="V31" s="66">
        <f>SUM(O31:U31)</f>
        <v>75.5</v>
      </c>
      <c r="X31" t="s">
        <v>32</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5">
        <f t="shared" si="12"/>
        <v>0</v>
      </c>
      <c r="AJ31" s="215">
        <f>P31+AR33</f>
        <v>67</v>
      </c>
      <c r="AK31" s="215">
        <f t="shared" si="9"/>
        <v>6</v>
      </c>
      <c r="AL31" s="215">
        <f t="shared" si="9"/>
        <v>3.5</v>
      </c>
      <c r="AM31" s="215">
        <f t="shared" si="9"/>
        <v>29</v>
      </c>
      <c r="AN31" s="215">
        <f t="shared" si="9"/>
        <v>0</v>
      </c>
      <c r="AO31" s="215">
        <f t="shared" si="9"/>
        <v>0</v>
      </c>
      <c r="AP31" s="66">
        <f>SUM(AI31:AO31)</f>
        <v>105.5</v>
      </c>
      <c r="AQ31" s="110"/>
    </row>
    <row r="32" spans="1:45" x14ac:dyDescent="0.25">
      <c r="A32" t="s">
        <v>38</v>
      </c>
      <c r="B32" s="15" t="str">
        <f t="shared" si="10"/>
        <v>DEF</v>
      </c>
      <c r="C32" s="18" t="s">
        <v>176</v>
      </c>
      <c r="D32" s="18" t="s">
        <v>325</v>
      </c>
      <c r="E32" s="18">
        <v>20</v>
      </c>
      <c r="F32" s="18">
        <v>50</v>
      </c>
      <c r="G32" s="111">
        <f>AA14</f>
        <v>0</v>
      </c>
      <c r="H32" s="111">
        <v>10</v>
      </c>
      <c r="I32" s="111">
        <v>4</v>
      </c>
      <c r="J32" s="111">
        <v>4</v>
      </c>
      <c r="K32" s="111">
        <v>10</v>
      </c>
      <c r="L32" s="111">
        <f t="shared" si="6"/>
        <v>2</v>
      </c>
      <c r="M32" s="111">
        <f t="shared" si="6"/>
        <v>2</v>
      </c>
      <c r="N32" s="47">
        <f>(2330+125+125+785)*1.008</f>
        <v>3391.92</v>
      </c>
      <c r="O32" s="215">
        <f t="shared" si="6"/>
        <v>0</v>
      </c>
      <c r="P32" s="215">
        <v>37</v>
      </c>
      <c r="Q32" s="215">
        <v>6</v>
      </c>
      <c r="R32" s="215">
        <v>3.5</v>
      </c>
      <c r="S32" s="215">
        <v>29</v>
      </c>
      <c r="T32" s="215">
        <f t="shared" si="7"/>
        <v>0</v>
      </c>
      <c r="U32" s="215">
        <f t="shared" si="7"/>
        <v>0</v>
      </c>
      <c r="V32" s="66">
        <f>SUM(O32:U32)</f>
        <v>75.5</v>
      </c>
      <c r="X32" t="s">
        <v>38</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5">
        <f t="shared" si="12"/>
        <v>0</v>
      </c>
      <c r="AJ32" s="215">
        <f>P32+AR33</f>
        <v>67</v>
      </c>
      <c r="AK32" s="215">
        <f t="shared" si="9"/>
        <v>6</v>
      </c>
      <c r="AL32" s="215">
        <f t="shared" si="9"/>
        <v>3.5</v>
      </c>
      <c r="AM32" s="215">
        <f t="shared" si="9"/>
        <v>29</v>
      </c>
      <c r="AN32" s="215">
        <f t="shared" si="9"/>
        <v>0</v>
      </c>
      <c r="AO32" s="215">
        <f t="shared" si="9"/>
        <v>0</v>
      </c>
      <c r="AP32" s="66">
        <f>SUM(AI32:AO32)</f>
        <v>105.5</v>
      </c>
      <c r="AQ32" s="110"/>
      <c r="AR32" t="s">
        <v>358</v>
      </c>
      <c r="AS32" t="s">
        <v>359</v>
      </c>
    </row>
    <row r="33" spans="1:45" x14ac:dyDescent="0.25">
      <c r="A33" t="s">
        <v>40</v>
      </c>
      <c r="B33" s="15" t="str">
        <f t="shared" si="10"/>
        <v>DEF</v>
      </c>
      <c r="C33" s="18" t="s">
        <v>0</v>
      </c>
      <c r="D33" s="18" t="s">
        <v>325</v>
      </c>
      <c r="E33" s="18">
        <v>20</v>
      </c>
      <c r="F33" s="18">
        <v>50</v>
      </c>
      <c r="G33" s="111">
        <f>AA15</f>
        <v>0</v>
      </c>
      <c r="H33" s="111">
        <v>10</v>
      </c>
      <c r="I33" s="111">
        <v>4</v>
      </c>
      <c r="J33" s="111">
        <v>4</v>
      </c>
      <c r="K33" s="111">
        <v>10</v>
      </c>
      <c r="L33" s="111">
        <f t="shared" si="6"/>
        <v>2</v>
      </c>
      <c r="M33" s="111">
        <f t="shared" si="6"/>
        <v>2</v>
      </c>
      <c r="N33" s="47">
        <f>(2330+125+125+785)*1.008</f>
        <v>3391.92</v>
      </c>
      <c r="O33" s="215">
        <f t="shared" si="6"/>
        <v>0</v>
      </c>
      <c r="P33" s="215">
        <v>37</v>
      </c>
      <c r="Q33" s="215">
        <v>6</v>
      </c>
      <c r="R33" s="215">
        <v>3.5</v>
      </c>
      <c r="S33" s="215">
        <v>29</v>
      </c>
      <c r="T33" s="215">
        <f t="shared" si="7"/>
        <v>0</v>
      </c>
      <c r="U33" s="215">
        <f t="shared" si="7"/>
        <v>0</v>
      </c>
      <c r="V33" s="66">
        <f t="shared" ref="V33:V39" si="13">SUM(O33:U33)</f>
        <v>75.5</v>
      </c>
      <c r="X33" t="s">
        <v>40</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5">
        <f t="shared" si="12"/>
        <v>0</v>
      </c>
      <c r="AJ33" s="215">
        <f>P33+AR33</f>
        <v>67</v>
      </c>
      <c r="AK33" s="215">
        <f t="shared" si="9"/>
        <v>6</v>
      </c>
      <c r="AL33" s="215">
        <f t="shared" si="9"/>
        <v>3.5</v>
      </c>
      <c r="AM33" s="215">
        <f t="shared" si="9"/>
        <v>29</v>
      </c>
      <c r="AN33" s="215">
        <f t="shared" si="9"/>
        <v>0</v>
      </c>
      <c r="AO33" s="215">
        <f t="shared" si="9"/>
        <v>0</v>
      </c>
      <c r="AP33" s="66">
        <f t="shared" ref="AP33:AP39" si="14">SUM(AI33:AO33)</f>
        <v>105.5</v>
      </c>
      <c r="AQ33" s="110" t="s">
        <v>29</v>
      </c>
      <c r="AR33">
        <f>67-37</f>
        <v>30</v>
      </c>
      <c r="AS33" s="37">
        <f>AR33/16</f>
        <v>1.875</v>
      </c>
    </row>
    <row r="34" spans="1:45" x14ac:dyDescent="0.25">
      <c r="A34" t="s">
        <v>37</v>
      </c>
      <c r="B34" s="15" t="str">
        <f t="shared" si="10"/>
        <v>DEF</v>
      </c>
      <c r="C34" s="18" t="s">
        <v>0</v>
      </c>
      <c r="D34" s="18" t="s">
        <v>325</v>
      </c>
      <c r="E34" s="18">
        <v>20</v>
      </c>
      <c r="F34" s="18">
        <v>50</v>
      </c>
      <c r="G34" s="111">
        <f>AA16</f>
        <v>0</v>
      </c>
      <c r="H34" s="111">
        <v>10</v>
      </c>
      <c r="I34" s="111">
        <v>4</v>
      </c>
      <c r="J34" s="111">
        <v>4</v>
      </c>
      <c r="K34" s="111">
        <v>10</v>
      </c>
      <c r="L34" s="111">
        <f t="shared" si="6"/>
        <v>2</v>
      </c>
      <c r="M34" s="111">
        <f t="shared" si="6"/>
        <v>2</v>
      </c>
      <c r="N34" s="47">
        <f>(2330+125+125+785)*1.008</f>
        <v>3391.92</v>
      </c>
      <c r="O34" s="215">
        <f t="shared" si="6"/>
        <v>0</v>
      </c>
      <c r="P34" s="215">
        <v>37</v>
      </c>
      <c r="Q34" s="215">
        <v>6</v>
      </c>
      <c r="R34" s="215">
        <v>3.5</v>
      </c>
      <c r="S34" s="215">
        <v>29</v>
      </c>
      <c r="T34" s="215">
        <f t="shared" si="7"/>
        <v>0</v>
      </c>
      <c r="U34" s="215">
        <f t="shared" si="7"/>
        <v>0</v>
      </c>
      <c r="V34" s="66">
        <f t="shared" si="13"/>
        <v>75.5</v>
      </c>
      <c r="X34" t="s">
        <v>37</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5">
        <f t="shared" si="12"/>
        <v>0</v>
      </c>
      <c r="AJ34" s="215">
        <f>P34+AR33</f>
        <v>67</v>
      </c>
      <c r="AK34" s="215">
        <f t="shared" si="9"/>
        <v>6</v>
      </c>
      <c r="AL34" s="215">
        <f t="shared" si="9"/>
        <v>3.5</v>
      </c>
      <c r="AM34" s="215">
        <f t="shared" si="9"/>
        <v>29</v>
      </c>
      <c r="AN34" s="215">
        <f t="shared" si="9"/>
        <v>0</v>
      </c>
      <c r="AO34" s="215">
        <f t="shared" si="9"/>
        <v>0</v>
      </c>
      <c r="AP34" s="66">
        <f t="shared" si="14"/>
        <v>105.5</v>
      </c>
      <c r="AQ34" s="110"/>
    </row>
    <row r="35" spans="1:45" x14ac:dyDescent="0.25">
      <c r="A35" t="s">
        <v>34</v>
      </c>
      <c r="B35" s="15" t="str">
        <f t="shared" si="10"/>
        <v>DEF</v>
      </c>
      <c r="C35" s="18" t="s">
        <v>0</v>
      </c>
      <c r="D35" s="18" t="s">
        <v>325</v>
      </c>
      <c r="E35" s="18">
        <v>20</v>
      </c>
      <c r="F35" s="18">
        <v>50</v>
      </c>
      <c r="G35" s="111">
        <f>AA17</f>
        <v>0</v>
      </c>
      <c r="H35" s="111">
        <v>10</v>
      </c>
      <c r="I35" s="111">
        <v>4</v>
      </c>
      <c r="J35" s="111">
        <v>4</v>
      </c>
      <c r="K35" s="111">
        <v>10</v>
      </c>
      <c r="L35" s="111">
        <f t="shared" si="6"/>
        <v>2</v>
      </c>
      <c r="M35" s="111">
        <f t="shared" si="6"/>
        <v>2</v>
      </c>
      <c r="N35" s="47">
        <f>(2330+125+125+785)*1.008</f>
        <v>3391.92</v>
      </c>
      <c r="O35" s="215">
        <f t="shared" si="6"/>
        <v>0</v>
      </c>
      <c r="P35" s="215">
        <v>37</v>
      </c>
      <c r="Q35" s="215">
        <v>6</v>
      </c>
      <c r="R35" s="215">
        <v>3.5</v>
      </c>
      <c r="S35" s="215">
        <v>29</v>
      </c>
      <c r="T35" s="215">
        <f t="shared" si="7"/>
        <v>0</v>
      </c>
      <c r="U35" s="215">
        <f t="shared" si="7"/>
        <v>0</v>
      </c>
      <c r="V35" s="66">
        <f t="shared" si="13"/>
        <v>75.5</v>
      </c>
      <c r="X35" t="s">
        <v>34</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5">
        <f t="shared" si="12"/>
        <v>0</v>
      </c>
      <c r="AJ35" s="215">
        <f>P35+AR33</f>
        <v>67</v>
      </c>
      <c r="AK35" s="215">
        <f t="shared" si="9"/>
        <v>6</v>
      </c>
      <c r="AL35" s="215">
        <f t="shared" si="9"/>
        <v>3.5</v>
      </c>
      <c r="AM35" s="215">
        <f t="shared" si="9"/>
        <v>29</v>
      </c>
      <c r="AN35" s="215">
        <f t="shared" si="9"/>
        <v>0</v>
      </c>
      <c r="AO35" s="215">
        <f t="shared" si="9"/>
        <v>0</v>
      </c>
      <c r="AP35" s="66">
        <f t="shared" si="14"/>
        <v>105.5</v>
      </c>
      <c r="AQ35" s="110"/>
    </row>
    <row r="36" spans="1:45" x14ac:dyDescent="0.25">
      <c r="A36" t="s">
        <v>30</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5">
        <f t="shared" si="6"/>
        <v>0</v>
      </c>
      <c r="P36" s="215">
        <f t="shared" si="7"/>
        <v>0</v>
      </c>
      <c r="Q36" s="215">
        <f t="shared" si="7"/>
        <v>0</v>
      </c>
      <c r="R36" s="215">
        <f t="shared" si="7"/>
        <v>0</v>
      </c>
      <c r="S36" s="215">
        <f t="shared" si="7"/>
        <v>0</v>
      </c>
      <c r="T36" s="215">
        <f t="shared" si="7"/>
        <v>0</v>
      </c>
      <c r="U36" s="215">
        <f t="shared" si="7"/>
        <v>0</v>
      </c>
      <c r="V36" s="66">
        <f t="shared" si="13"/>
        <v>0</v>
      </c>
      <c r="X36" t="s">
        <v>30</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5">
        <f t="shared" si="12"/>
        <v>0</v>
      </c>
      <c r="AJ36" s="215">
        <f t="shared" si="12"/>
        <v>0</v>
      </c>
      <c r="AK36" s="215">
        <f t="shared" si="9"/>
        <v>0</v>
      </c>
      <c r="AL36" s="215">
        <f t="shared" si="9"/>
        <v>0</v>
      </c>
      <c r="AM36" s="215">
        <f t="shared" si="9"/>
        <v>0</v>
      </c>
      <c r="AN36" s="215">
        <f t="shared" si="9"/>
        <v>0</v>
      </c>
      <c r="AO36" s="215">
        <f t="shared" si="9"/>
        <v>0</v>
      </c>
      <c r="AP36" s="66">
        <f t="shared" si="14"/>
        <v>0</v>
      </c>
      <c r="AQ36" s="110"/>
    </row>
    <row r="37" spans="1:45" x14ac:dyDescent="0.25">
      <c r="A37" t="s">
        <v>42</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5">
        <f t="shared" si="6"/>
        <v>0</v>
      </c>
      <c r="P37" s="215">
        <f t="shared" si="7"/>
        <v>0</v>
      </c>
      <c r="Q37" s="215">
        <f t="shared" si="7"/>
        <v>0</v>
      </c>
      <c r="R37" s="215">
        <f t="shared" si="7"/>
        <v>0</v>
      </c>
      <c r="S37" s="215">
        <f t="shared" si="7"/>
        <v>0</v>
      </c>
      <c r="T37" s="215">
        <f t="shared" si="7"/>
        <v>0</v>
      </c>
      <c r="U37" s="215">
        <f t="shared" si="7"/>
        <v>0</v>
      </c>
      <c r="V37" s="66">
        <f t="shared" si="13"/>
        <v>0</v>
      </c>
      <c r="X37" t="s">
        <v>42</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5">
        <f t="shared" si="12"/>
        <v>0</v>
      </c>
      <c r="AJ37" s="215">
        <f t="shared" si="12"/>
        <v>0</v>
      </c>
      <c r="AK37" s="215">
        <f t="shared" si="9"/>
        <v>0</v>
      </c>
      <c r="AL37" s="215">
        <f t="shared" si="9"/>
        <v>0</v>
      </c>
      <c r="AM37" s="215">
        <f t="shared" si="9"/>
        <v>0</v>
      </c>
      <c r="AN37" s="215">
        <f t="shared" si="9"/>
        <v>0</v>
      </c>
      <c r="AO37" s="215">
        <f t="shared" si="9"/>
        <v>0</v>
      </c>
      <c r="AP37" s="66">
        <f t="shared" si="14"/>
        <v>0</v>
      </c>
      <c r="AQ37" s="110"/>
    </row>
    <row r="38" spans="1:45" x14ac:dyDescent="0.25">
      <c r="A38" t="s">
        <v>42</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5">
        <f t="shared" si="6"/>
        <v>0</v>
      </c>
      <c r="P38" s="215">
        <f t="shared" si="7"/>
        <v>0</v>
      </c>
      <c r="Q38" s="215">
        <f t="shared" si="7"/>
        <v>0</v>
      </c>
      <c r="R38" s="215">
        <f t="shared" si="7"/>
        <v>0</v>
      </c>
      <c r="S38" s="215">
        <f t="shared" si="7"/>
        <v>0</v>
      </c>
      <c r="T38" s="215">
        <f t="shared" si="7"/>
        <v>0</v>
      </c>
      <c r="U38" s="215">
        <f t="shared" si="7"/>
        <v>0</v>
      </c>
      <c r="V38" s="66">
        <f t="shared" si="13"/>
        <v>0</v>
      </c>
      <c r="X38" t="s">
        <v>42</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5">
        <f t="shared" si="12"/>
        <v>0</v>
      </c>
      <c r="AJ38" s="215">
        <f t="shared" si="12"/>
        <v>0</v>
      </c>
      <c r="AK38" s="215">
        <f t="shared" si="9"/>
        <v>0</v>
      </c>
      <c r="AL38" s="215">
        <f t="shared" si="9"/>
        <v>0</v>
      </c>
      <c r="AM38" s="215">
        <f t="shared" si="9"/>
        <v>0</v>
      </c>
      <c r="AN38" s="215">
        <f t="shared" si="9"/>
        <v>0</v>
      </c>
      <c r="AO38" s="215">
        <f t="shared" si="9"/>
        <v>0</v>
      </c>
      <c r="AP38" s="66">
        <f t="shared" si="14"/>
        <v>0</v>
      </c>
      <c r="AQ38" s="110"/>
    </row>
    <row r="39" spans="1:45" x14ac:dyDescent="0.25">
      <c r="A39" t="s">
        <v>35</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5">
        <f t="shared" si="6"/>
        <v>0</v>
      </c>
      <c r="P39" s="215">
        <f t="shared" si="7"/>
        <v>0</v>
      </c>
      <c r="Q39" s="215">
        <f t="shared" si="7"/>
        <v>13</v>
      </c>
      <c r="R39" s="215">
        <f t="shared" si="7"/>
        <v>42</v>
      </c>
      <c r="S39" s="215">
        <f t="shared" si="7"/>
        <v>8</v>
      </c>
      <c r="T39" s="215">
        <f t="shared" si="7"/>
        <v>18</v>
      </c>
      <c r="U39" s="215">
        <f t="shared" si="7"/>
        <v>3</v>
      </c>
      <c r="V39" s="66">
        <f t="shared" si="13"/>
        <v>84</v>
      </c>
      <c r="X39" t="s">
        <v>35</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5">
        <f t="shared" si="12"/>
        <v>0</v>
      </c>
      <c r="AJ39" s="215">
        <f>P39+AR33</f>
        <v>30</v>
      </c>
      <c r="AK39" s="215">
        <f t="shared" si="9"/>
        <v>13</v>
      </c>
      <c r="AL39" s="215">
        <f t="shared" si="9"/>
        <v>42</v>
      </c>
      <c r="AM39" s="215">
        <f t="shared" si="9"/>
        <v>8</v>
      </c>
      <c r="AN39" s="215">
        <f t="shared" si="9"/>
        <v>18</v>
      </c>
      <c r="AO39" s="215">
        <f t="shared" si="9"/>
        <v>3</v>
      </c>
      <c r="AP39" s="66">
        <f t="shared" si="14"/>
        <v>114</v>
      </c>
      <c r="AQ39" s="110"/>
    </row>
    <row r="40" spans="1:45" x14ac:dyDescent="0.25">
      <c r="A40" t="s">
        <v>39</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5">
        <f t="shared" si="6"/>
        <v>0</v>
      </c>
      <c r="P40" s="215">
        <f t="shared" si="7"/>
        <v>14</v>
      </c>
      <c r="Q40" s="215">
        <f t="shared" si="7"/>
        <v>3</v>
      </c>
      <c r="R40" s="215">
        <f t="shared" si="7"/>
        <v>33</v>
      </c>
      <c r="S40" s="215">
        <f t="shared" si="7"/>
        <v>8</v>
      </c>
      <c r="T40" s="215">
        <f t="shared" si="7"/>
        <v>16</v>
      </c>
      <c r="U40" s="215">
        <f t="shared" si="7"/>
        <v>1</v>
      </c>
      <c r="V40" s="66">
        <f>SUM(O40:U40)</f>
        <v>75</v>
      </c>
      <c r="X40" t="s">
        <v>39</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5">
        <f t="shared" si="12"/>
        <v>0</v>
      </c>
      <c r="AJ40" s="215">
        <f>P40+AR33</f>
        <v>44</v>
      </c>
      <c r="AK40" s="215">
        <f t="shared" si="9"/>
        <v>3</v>
      </c>
      <c r="AL40" s="215">
        <f t="shared" si="9"/>
        <v>33</v>
      </c>
      <c r="AM40" s="215">
        <f t="shared" si="9"/>
        <v>8</v>
      </c>
      <c r="AN40" s="215">
        <f t="shared" si="9"/>
        <v>16</v>
      </c>
      <c r="AO40" s="215">
        <f t="shared" si="9"/>
        <v>1</v>
      </c>
      <c r="AP40" s="66">
        <f>SUM(AI40:AO40)</f>
        <v>105</v>
      </c>
      <c r="AQ40" s="110"/>
    </row>
    <row r="41" spans="1:45" x14ac:dyDescent="0.25">
      <c r="A41" t="s">
        <v>33</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5">
        <f t="shared" si="6"/>
        <v>0</v>
      </c>
      <c r="P41" s="215">
        <f t="shared" si="7"/>
        <v>3</v>
      </c>
      <c r="Q41" s="215">
        <f t="shared" si="7"/>
        <v>9</v>
      </c>
      <c r="R41" s="215">
        <f t="shared" si="7"/>
        <v>35</v>
      </c>
      <c r="S41" s="215">
        <f t="shared" si="7"/>
        <v>4</v>
      </c>
      <c r="T41" s="215">
        <f t="shared" si="7"/>
        <v>18</v>
      </c>
      <c r="U41" s="215">
        <f t="shared" si="7"/>
        <v>1</v>
      </c>
      <c r="V41" s="66">
        <f>SUM(O41:U41)</f>
        <v>70</v>
      </c>
      <c r="X41" t="s">
        <v>33</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5">
        <f t="shared" si="12"/>
        <v>0</v>
      </c>
      <c r="AJ41" s="215">
        <f>P41+AR33</f>
        <v>33</v>
      </c>
      <c r="AK41" s="215">
        <f t="shared" si="9"/>
        <v>9</v>
      </c>
      <c r="AL41" s="215">
        <f t="shared" si="9"/>
        <v>35</v>
      </c>
      <c r="AM41" s="215">
        <f t="shared" si="9"/>
        <v>4</v>
      </c>
      <c r="AN41" s="215">
        <f t="shared" si="9"/>
        <v>18</v>
      </c>
      <c r="AO41" s="215">
        <f t="shared" si="9"/>
        <v>1</v>
      </c>
      <c r="AP41" s="66">
        <f>SUM(AI41:AO41)</f>
        <v>100</v>
      </c>
      <c r="AQ41" s="110"/>
    </row>
    <row r="42" spans="1:45" x14ac:dyDescent="0.25">
      <c r="A42" t="s">
        <v>41</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5">
        <f t="shared" si="6"/>
        <v>0</v>
      </c>
      <c r="P42" s="215">
        <f t="shared" si="7"/>
        <v>0</v>
      </c>
      <c r="Q42" s="215">
        <f t="shared" si="7"/>
        <v>0</v>
      </c>
      <c r="R42" s="215">
        <f t="shared" si="7"/>
        <v>0</v>
      </c>
      <c r="S42" s="215">
        <f t="shared" si="7"/>
        <v>0</v>
      </c>
      <c r="T42" s="215">
        <f t="shared" si="7"/>
        <v>0</v>
      </c>
      <c r="U42" s="215">
        <f t="shared" si="7"/>
        <v>0</v>
      </c>
      <c r="V42" s="66">
        <f>SUM(O42:U42)</f>
        <v>0</v>
      </c>
      <c r="X42" t="s">
        <v>41</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5">
        <f t="shared" si="12"/>
        <v>0</v>
      </c>
      <c r="AJ42" s="215">
        <f t="shared" si="12"/>
        <v>0</v>
      </c>
      <c r="AK42" s="215">
        <f t="shared" si="9"/>
        <v>0</v>
      </c>
      <c r="AL42" s="215">
        <f t="shared" si="9"/>
        <v>0</v>
      </c>
      <c r="AM42" s="215">
        <f t="shared" si="9"/>
        <v>0</v>
      </c>
      <c r="AN42" s="215">
        <f t="shared" si="9"/>
        <v>0</v>
      </c>
      <c r="AO42" s="215">
        <f t="shared" si="9"/>
        <v>0</v>
      </c>
      <c r="AP42" s="66">
        <f>SUM(AI42:AO42)</f>
        <v>0</v>
      </c>
      <c r="AQ42" s="110"/>
    </row>
    <row r="43" spans="1:45" x14ac:dyDescent="0.25">
      <c r="A43" t="s">
        <v>45</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5">
        <f t="shared" si="6"/>
        <v>0</v>
      </c>
      <c r="P43" s="215">
        <f t="shared" si="7"/>
        <v>0</v>
      </c>
      <c r="Q43" s="215">
        <f t="shared" si="7"/>
        <v>0</v>
      </c>
      <c r="R43" s="215">
        <f t="shared" si="7"/>
        <v>0</v>
      </c>
      <c r="S43" s="215">
        <f t="shared" si="7"/>
        <v>0</v>
      </c>
      <c r="T43" s="215">
        <f t="shared" si="7"/>
        <v>0</v>
      </c>
      <c r="U43" s="215">
        <f t="shared" si="7"/>
        <v>0</v>
      </c>
      <c r="V43" s="66">
        <f>SUM(O43:U43)</f>
        <v>0</v>
      </c>
      <c r="X43" t="s">
        <v>45</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5">
        <f t="shared" si="12"/>
        <v>0</v>
      </c>
      <c r="AJ43" s="215">
        <f t="shared" si="12"/>
        <v>0</v>
      </c>
      <c r="AK43" s="215">
        <f t="shared" si="9"/>
        <v>0</v>
      </c>
      <c r="AL43" s="215">
        <f t="shared" si="9"/>
        <v>0</v>
      </c>
      <c r="AM43" s="215">
        <f t="shared" si="9"/>
        <v>0</v>
      </c>
      <c r="AN43" s="215">
        <f t="shared" si="9"/>
        <v>0</v>
      </c>
      <c r="AO43" s="215">
        <f t="shared" si="9"/>
        <v>0</v>
      </c>
      <c r="AP43" s="66">
        <f>SUM(AI43:AO43)</f>
        <v>0</v>
      </c>
      <c r="AQ43" s="110"/>
    </row>
    <row r="44" spans="1:45" x14ac:dyDescent="0.25">
      <c r="A44" t="s">
        <v>323</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5">
        <f t="shared" si="6"/>
        <v>0</v>
      </c>
      <c r="P44" s="215">
        <f t="shared" si="7"/>
        <v>0</v>
      </c>
      <c r="Q44" s="215">
        <f t="shared" si="7"/>
        <v>0</v>
      </c>
      <c r="R44" s="215">
        <f t="shared" si="7"/>
        <v>0</v>
      </c>
      <c r="S44" s="215">
        <f t="shared" si="7"/>
        <v>0</v>
      </c>
      <c r="T44" s="215">
        <f t="shared" si="7"/>
        <v>0</v>
      </c>
      <c r="U44" s="215">
        <f t="shared" si="7"/>
        <v>0</v>
      </c>
      <c r="V44" s="66">
        <f>SUM(O44:U44)</f>
        <v>0</v>
      </c>
      <c r="X44" t="s">
        <v>323</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5">
        <f t="shared" si="12"/>
        <v>0</v>
      </c>
      <c r="AJ44" s="215">
        <f t="shared" si="12"/>
        <v>0</v>
      </c>
      <c r="AK44" s="215">
        <f t="shared" si="9"/>
        <v>0</v>
      </c>
      <c r="AL44" s="215">
        <f t="shared" si="9"/>
        <v>0</v>
      </c>
      <c r="AM44" s="215">
        <f t="shared" si="9"/>
        <v>0</v>
      </c>
      <c r="AN44" s="215">
        <f t="shared" si="9"/>
        <v>0</v>
      </c>
      <c r="AO44" s="215">
        <f t="shared" si="9"/>
        <v>0</v>
      </c>
      <c r="AP44" s="66">
        <f>SUM(AI44:AO44)</f>
        <v>0</v>
      </c>
      <c r="AQ44" s="110"/>
    </row>
    <row r="45" spans="1:45" x14ac:dyDescent="0.25">
      <c r="N45" s="196">
        <f>SUM(N47:N61)</f>
        <v>173422.41600000003</v>
      </c>
      <c r="AH45" s="196">
        <f>SUM(AH47:AH61)</f>
        <v>180055.55499999996</v>
      </c>
      <c r="AQ45" s="110"/>
    </row>
    <row r="46" spans="1:45" x14ac:dyDescent="0.25">
      <c r="A46" s="10" t="s">
        <v>169</v>
      </c>
      <c r="B46" s="10" t="s">
        <v>2</v>
      </c>
      <c r="C46" s="10" t="s">
        <v>83</v>
      </c>
      <c r="D46" s="10" t="str">
        <f>D28</f>
        <v>Nombre</v>
      </c>
      <c r="E46" s="10" t="str">
        <f>E28</f>
        <v>Año</v>
      </c>
      <c r="F46" s="10" t="str">
        <f>F28</f>
        <v>Dia</v>
      </c>
      <c r="G46" s="10" t="s">
        <v>15</v>
      </c>
      <c r="H46" s="10" t="s">
        <v>16</v>
      </c>
      <c r="I46" s="10" t="s">
        <v>17</v>
      </c>
      <c r="J46" s="10" t="s">
        <v>18</v>
      </c>
      <c r="K46" s="10" t="s">
        <v>19</v>
      </c>
      <c r="L46" s="10" t="s">
        <v>20</v>
      </c>
      <c r="M46" s="10" t="s">
        <v>6</v>
      </c>
      <c r="N46" s="10" t="s">
        <v>67</v>
      </c>
      <c r="O46" s="10" t="s">
        <v>312</v>
      </c>
      <c r="P46" s="10" t="s">
        <v>313</v>
      </c>
      <c r="Q46" s="10" t="s">
        <v>314</v>
      </c>
      <c r="R46" s="10" t="s">
        <v>315</v>
      </c>
      <c r="S46" s="10" t="s">
        <v>316</v>
      </c>
      <c r="T46" s="10" t="s">
        <v>317</v>
      </c>
      <c r="U46" s="10" t="s">
        <v>318</v>
      </c>
      <c r="V46" s="10" t="s">
        <v>319</v>
      </c>
      <c r="X46" s="10" t="s">
        <v>169</v>
      </c>
      <c r="Y46" s="10" t="str">
        <f>Y28</f>
        <v>Año</v>
      </c>
      <c r="Z46" s="10" t="str">
        <f>Z28</f>
        <v>Dia</v>
      </c>
      <c r="AA46" s="10" t="s">
        <v>15</v>
      </c>
      <c r="AB46" s="10" t="s">
        <v>16</v>
      </c>
      <c r="AC46" s="10" t="s">
        <v>17</v>
      </c>
      <c r="AD46" s="10" t="s">
        <v>18</v>
      </c>
      <c r="AE46" s="10" t="s">
        <v>19</v>
      </c>
      <c r="AF46" s="10" t="s">
        <v>20</v>
      </c>
      <c r="AG46" s="10" t="s">
        <v>6</v>
      </c>
      <c r="AH46" s="10" t="s">
        <v>67</v>
      </c>
      <c r="AI46" s="10" t="s">
        <v>312</v>
      </c>
      <c r="AJ46" s="10" t="s">
        <v>313</v>
      </c>
      <c r="AK46" s="10" t="s">
        <v>314</v>
      </c>
      <c r="AL46" s="10" t="s">
        <v>315</v>
      </c>
      <c r="AM46" s="10" t="s">
        <v>316</v>
      </c>
      <c r="AN46" s="10" t="s">
        <v>317</v>
      </c>
      <c r="AO46" s="10" t="s">
        <v>318</v>
      </c>
      <c r="AP46" s="10" t="s">
        <v>319</v>
      </c>
      <c r="AQ46" s="110"/>
    </row>
    <row r="47" spans="1:45" x14ac:dyDescent="0.25">
      <c r="A47" t="s">
        <v>28</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5">
        <f>AI29</f>
        <v>62</v>
      </c>
      <c r="P47" s="215">
        <f t="shared" ref="P47:U62" si="17">AJ29</f>
        <v>30</v>
      </c>
      <c r="Q47" s="215">
        <f t="shared" si="17"/>
        <v>0</v>
      </c>
      <c r="R47" s="215">
        <f t="shared" si="17"/>
        <v>0</v>
      </c>
      <c r="S47" s="215">
        <f t="shared" si="17"/>
        <v>0</v>
      </c>
      <c r="T47" s="215">
        <f t="shared" si="17"/>
        <v>0</v>
      </c>
      <c r="U47" s="215">
        <f t="shared" si="17"/>
        <v>0</v>
      </c>
      <c r="V47" s="66">
        <f>SUM(O47:U47)</f>
        <v>92</v>
      </c>
      <c r="X47" t="s">
        <v>28</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5">
        <f>O47</f>
        <v>62</v>
      </c>
      <c r="AJ47" s="215">
        <f t="shared" ref="AJ47:AO62" si="19">P47</f>
        <v>30</v>
      </c>
      <c r="AK47" s="215">
        <f t="shared" si="19"/>
        <v>0</v>
      </c>
      <c r="AL47" s="215">
        <f t="shared" si="19"/>
        <v>0</v>
      </c>
      <c r="AM47" s="215">
        <f t="shared" si="19"/>
        <v>0</v>
      </c>
      <c r="AN47" s="215">
        <f t="shared" si="19"/>
        <v>0</v>
      </c>
      <c r="AO47" s="215">
        <f>U47+AR52</f>
        <v>25</v>
      </c>
      <c r="AP47" s="66">
        <f>SUM(AI47:AO47)</f>
        <v>117</v>
      </c>
      <c r="AQ47" s="110"/>
    </row>
    <row r="48" spans="1:45" x14ac:dyDescent="0.25">
      <c r="A48" t="s">
        <v>31</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5">
        <f t="shared" si="16"/>
        <v>0</v>
      </c>
      <c r="P48" s="215">
        <f t="shared" si="17"/>
        <v>44</v>
      </c>
      <c r="Q48" s="215">
        <f t="shared" si="17"/>
        <v>9</v>
      </c>
      <c r="R48" s="215">
        <f t="shared" si="17"/>
        <v>35</v>
      </c>
      <c r="S48" s="215">
        <f t="shared" si="17"/>
        <v>7</v>
      </c>
      <c r="T48" s="215">
        <f t="shared" si="17"/>
        <v>21</v>
      </c>
      <c r="U48" s="215">
        <f t="shared" si="17"/>
        <v>-2</v>
      </c>
      <c r="V48" s="66">
        <f>SUM(O48:U48)</f>
        <v>114</v>
      </c>
      <c r="X48" t="s">
        <v>31</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5">
        <f t="shared" ref="AI48:AI62" si="23">O48</f>
        <v>0</v>
      </c>
      <c r="AJ48" s="215">
        <f t="shared" si="19"/>
        <v>44</v>
      </c>
      <c r="AK48" s="215">
        <f t="shared" si="19"/>
        <v>9</v>
      </c>
      <c r="AL48" s="215">
        <f t="shared" si="19"/>
        <v>35</v>
      </c>
      <c r="AM48" s="215">
        <f t="shared" si="19"/>
        <v>7</v>
      </c>
      <c r="AN48" s="215">
        <f t="shared" si="19"/>
        <v>21</v>
      </c>
      <c r="AO48" s="215">
        <f>U48+AR52</f>
        <v>23</v>
      </c>
      <c r="AP48" s="66">
        <f>SUM(AI48:AO48)</f>
        <v>139</v>
      </c>
      <c r="AQ48" s="110"/>
    </row>
    <row r="49" spans="1:45" x14ac:dyDescent="0.25">
      <c r="A49" t="s">
        <v>32</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5">
        <f t="shared" si="16"/>
        <v>0</v>
      </c>
      <c r="P49" s="215">
        <f t="shared" si="17"/>
        <v>67</v>
      </c>
      <c r="Q49" s="215">
        <f t="shared" si="17"/>
        <v>6</v>
      </c>
      <c r="R49" s="215">
        <f t="shared" si="17"/>
        <v>3.5</v>
      </c>
      <c r="S49" s="215">
        <f t="shared" si="17"/>
        <v>29</v>
      </c>
      <c r="T49" s="215">
        <f t="shared" si="17"/>
        <v>0</v>
      </c>
      <c r="U49" s="215">
        <f t="shared" si="17"/>
        <v>0</v>
      </c>
      <c r="V49" s="66">
        <f>SUM(O49:U49)</f>
        <v>105.5</v>
      </c>
      <c r="X49" t="s">
        <v>32</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5">
        <f t="shared" si="23"/>
        <v>0</v>
      </c>
      <c r="AJ49" s="215">
        <f t="shared" si="19"/>
        <v>67</v>
      </c>
      <c r="AK49" s="215">
        <f t="shared" si="19"/>
        <v>6</v>
      </c>
      <c r="AL49" s="215">
        <f t="shared" si="19"/>
        <v>3.5</v>
      </c>
      <c r="AM49" s="215">
        <f t="shared" si="19"/>
        <v>29</v>
      </c>
      <c r="AN49" s="215">
        <f t="shared" si="19"/>
        <v>0</v>
      </c>
      <c r="AO49" s="215">
        <f>U49+AR52</f>
        <v>25</v>
      </c>
      <c r="AP49" s="66">
        <f>SUM(AI49:AO49)</f>
        <v>130.5</v>
      </c>
      <c r="AQ49" s="110"/>
    </row>
    <row r="50" spans="1:45" x14ac:dyDescent="0.25">
      <c r="A50" t="s">
        <v>38</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5">
        <f t="shared" si="16"/>
        <v>0</v>
      </c>
      <c r="P50" s="215">
        <f t="shared" si="17"/>
        <v>67</v>
      </c>
      <c r="Q50" s="215">
        <f t="shared" si="17"/>
        <v>6</v>
      </c>
      <c r="R50" s="215">
        <f t="shared" si="17"/>
        <v>3.5</v>
      </c>
      <c r="S50" s="215">
        <f t="shared" si="17"/>
        <v>29</v>
      </c>
      <c r="T50" s="215">
        <f t="shared" si="17"/>
        <v>0</v>
      </c>
      <c r="U50" s="215">
        <f t="shared" si="17"/>
        <v>0</v>
      </c>
      <c r="V50" s="66">
        <f>SUM(O50:U50)</f>
        <v>105.5</v>
      </c>
      <c r="X50" t="s">
        <v>38</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5">
        <f t="shared" si="23"/>
        <v>0</v>
      </c>
      <c r="AJ50" s="215">
        <f t="shared" si="19"/>
        <v>67</v>
      </c>
      <c r="AK50" s="215">
        <f t="shared" si="19"/>
        <v>6</v>
      </c>
      <c r="AL50" s="215">
        <f t="shared" si="19"/>
        <v>3.5</v>
      </c>
      <c r="AM50" s="215">
        <f t="shared" si="19"/>
        <v>29</v>
      </c>
      <c r="AN50" s="215">
        <f t="shared" si="19"/>
        <v>0</v>
      </c>
      <c r="AO50" s="215">
        <f>U50+AR52</f>
        <v>25</v>
      </c>
      <c r="AP50" s="66">
        <f>SUM(AI50:AO50)</f>
        <v>130.5</v>
      </c>
      <c r="AQ50" s="110"/>
    </row>
    <row r="51" spans="1:45" x14ac:dyDescent="0.25">
      <c r="A51" t="s">
        <v>40</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5">
        <f t="shared" si="16"/>
        <v>0</v>
      </c>
      <c r="P51" s="215">
        <f t="shared" si="17"/>
        <v>67</v>
      </c>
      <c r="Q51" s="215">
        <f t="shared" si="17"/>
        <v>6</v>
      </c>
      <c r="R51" s="215">
        <f t="shared" si="17"/>
        <v>3.5</v>
      </c>
      <c r="S51" s="215">
        <f t="shared" si="17"/>
        <v>29</v>
      </c>
      <c r="T51" s="215">
        <f t="shared" si="17"/>
        <v>0</v>
      </c>
      <c r="U51" s="215">
        <f t="shared" si="17"/>
        <v>0</v>
      </c>
      <c r="V51" s="66">
        <f t="shared" ref="V51:V57" si="24">SUM(O51:U51)</f>
        <v>105.5</v>
      </c>
      <c r="X51" t="s">
        <v>40</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5">
        <f t="shared" si="23"/>
        <v>0</v>
      </c>
      <c r="AJ51" s="215">
        <f t="shared" si="19"/>
        <v>67</v>
      </c>
      <c r="AK51" s="215">
        <f t="shared" si="19"/>
        <v>6</v>
      </c>
      <c r="AL51" s="215">
        <f t="shared" si="19"/>
        <v>3.5</v>
      </c>
      <c r="AM51" s="215">
        <f t="shared" si="19"/>
        <v>29</v>
      </c>
      <c r="AN51" s="215">
        <f t="shared" si="19"/>
        <v>0</v>
      </c>
      <c r="AO51" s="215">
        <f>U51+AR52</f>
        <v>25</v>
      </c>
      <c r="AP51" s="66">
        <f t="shared" ref="AP51:AP57" si="25">SUM(AI51:AO51)</f>
        <v>130.5</v>
      </c>
      <c r="AQ51" s="110"/>
      <c r="AR51" t="s">
        <v>358</v>
      </c>
      <c r="AS51" t="s">
        <v>359</v>
      </c>
    </row>
    <row r="52" spans="1:45" x14ac:dyDescent="0.25">
      <c r="A52" t="s">
        <v>37</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5">
        <f t="shared" si="16"/>
        <v>0</v>
      </c>
      <c r="P52" s="215">
        <f t="shared" si="17"/>
        <v>67</v>
      </c>
      <c r="Q52" s="215">
        <f t="shared" si="17"/>
        <v>6</v>
      </c>
      <c r="R52" s="215">
        <f t="shared" si="17"/>
        <v>3.5</v>
      </c>
      <c r="S52" s="215">
        <f t="shared" si="17"/>
        <v>29</v>
      </c>
      <c r="T52" s="215">
        <f t="shared" si="17"/>
        <v>0</v>
      </c>
      <c r="U52" s="215">
        <f t="shared" si="17"/>
        <v>0</v>
      </c>
      <c r="V52" s="66">
        <f t="shared" si="24"/>
        <v>105.5</v>
      </c>
      <c r="X52" t="s">
        <v>37</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5">
        <f t="shared" si="23"/>
        <v>0</v>
      </c>
      <c r="AJ52" s="215">
        <f t="shared" si="19"/>
        <v>67</v>
      </c>
      <c r="AK52" s="215">
        <f t="shared" si="19"/>
        <v>6</v>
      </c>
      <c r="AL52" s="215">
        <f t="shared" si="19"/>
        <v>3.5</v>
      </c>
      <c r="AM52" s="215">
        <f t="shared" si="19"/>
        <v>29</v>
      </c>
      <c r="AN52" s="215">
        <f t="shared" si="19"/>
        <v>0</v>
      </c>
      <c r="AO52" s="215">
        <f>U52+AR52</f>
        <v>25</v>
      </c>
      <c r="AP52" s="66">
        <f t="shared" si="25"/>
        <v>130.5</v>
      </c>
      <c r="AQ52" s="110" t="s">
        <v>46</v>
      </c>
      <c r="AR52">
        <v>25</v>
      </c>
      <c r="AS52" s="37">
        <f>AR52/16</f>
        <v>1.5625</v>
      </c>
    </row>
    <row r="53" spans="1:45" x14ac:dyDescent="0.25">
      <c r="A53" t="s">
        <v>34</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5">
        <f t="shared" si="16"/>
        <v>0</v>
      </c>
      <c r="P53" s="215">
        <f t="shared" si="17"/>
        <v>67</v>
      </c>
      <c r="Q53" s="215">
        <f t="shared" si="17"/>
        <v>6</v>
      </c>
      <c r="R53" s="215">
        <f t="shared" si="17"/>
        <v>3.5</v>
      </c>
      <c r="S53" s="215">
        <f t="shared" si="17"/>
        <v>29</v>
      </c>
      <c r="T53" s="215">
        <f t="shared" si="17"/>
        <v>0</v>
      </c>
      <c r="U53" s="215">
        <f t="shared" si="17"/>
        <v>0</v>
      </c>
      <c r="V53" s="66">
        <f t="shared" si="24"/>
        <v>105.5</v>
      </c>
      <c r="X53" t="s">
        <v>34</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5">
        <f t="shared" si="23"/>
        <v>0</v>
      </c>
      <c r="AJ53" s="215">
        <f t="shared" si="19"/>
        <v>67</v>
      </c>
      <c r="AK53" s="215">
        <f t="shared" si="19"/>
        <v>6</v>
      </c>
      <c r="AL53" s="215">
        <f t="shared" si="19"/>
        <v>3.5</v>
      </c>
      <c r="AM53" s="215">
        <f t="shared" si="19"/>
        <v>29</v>
      </c>
      <c r="AN53" s="215">
        <f t="shared" si="19"/>
        <v>0</v>
      </c>
      <c r="AO53" s="215">
        <f>U53+AR52</f>
        <v>25</v>
      </c>
      <c r="AP53" s="66">
        <f t="shared" si="25"/>
        <v>130.5</v>
      </c>
      <c r="AQ53" s="110"/>
    </row>
    <row r="54" spans="1:45" x14ac:dyDescent="0.25">
      <c r="A54" t="s">
        <v>30</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5">
        <f t="shared" si="16"/>
        <v>0</v>
      </c>
      <c r="P54" s="215">
        <f t="shared" si="17"/>
        <v>0</v>
      </c>
      <c r="Q54" s="215">
        <f t="shared" si="17"/>
        <v>0</v>
      </c>
      <c r="R54" s="215">
        <f t="shared" si="17"/>
        <v>0</v>
      </c>
      <c r="S54" s="215">
        <f t="shared" si="17"/>
        <v>0</v>
      </c>
      <c r="T54" s="215">
        <f t="shared" si="17"/>
        <v>0</v>
      </c>
      <c r="U54" s="215">
        <f t="shared" si="17"/>
        <v>0</v>
      </c>
      <c r="V54" s="66">
        <f t="shared" si="24"/>
        <v>0</v>
      </c>
      <c r="X54" t="s">
        <v>30</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5">
        <f t="shared" si="23"/>
        <v>0</v>
      </c>
      <c r="AJ54" s="215">
        <f t="shared" si="19"/>
        <v>0</v>
      </c>
      <c r="AK54" s="215">
        <f t="shared" si="19"/>
        <v>0</v>
      </c>
      <c r="AL54" s="215">
        <f t="shared" si="19"/>
        <v>0</v>
      </c>
      <c r="AM54" s="215">
        <f t="shared" si="19"/>
        <v>0</v>
      </c>
      <c r="AN54" s="215">
        <f t="shared" si="19"/>
        <v>0</v>
      </c>
      <c r="AO54" s="215">
        <f t="shared" si="19"/>
        <v>0</v>
      </c>
      <c r="AP54" s="66">
        <f t="shared" si="25"/>
        <v>0</v>
      </c>
      <c r="AQ54" s="110"/>
    </row>
    <row r="55" spans="1:45" x14ac:dyDescent="0.25">
      <c r="A55" t="s">
        <v>42</v>
      </c>
      <c r="B55" s="15" t="str">
        <f t="shared" ref="B55:D62" si="26">B37</f>
        <v>INN</v>
      </c>
      <c r="C55" s="18" t="s">
        <v>176</v>
      </c>
      <c r="D55" s="18" t="s">
        <v>324</v>
      </c>
      <c r="E55" s="18">
        <v>22</v>
      </c>
      <c r="F55" s="18">
        <v>70</v>
      </c>
      <c r="G55" s="111">
        <f t="shared" si="21"/>
        <v>0</v>
      </c>
      <c r="H55" s="111">
        <v>11</v>
      </c>
      <c r="I55" s="111">
        <v>12</v>
      </c>
      <c r="J55" s="111">
        <f t="shared" si="16"/>
        <v>2</v>
      </c>
      <c r="K55" s="111">
        <v>8</v>
      </c>
      <c r="L55" s="111">
        <v>5</v>
      </c>
      <c r="M55" s="111">
        <f t="shared" si="16"/>
        <v>2</v>
      </c>
      <c r="N55" s="47">
        <f>(8670+1165+135+125)*1.008</f>
        <v>10175.76</v>
      </c>
      <c r="O55" s="215">
        <f t="shared" si="16"/>
        <v>0</v>
      </c>
      <c r="P55" s="215">
        <v>37</v>
      </c>
      <c r="Q55" s="215">
        <v>48</v>
      </c>
      <c r="R55" s="215">
        <f t="shared" si="17"/>
        <v>0</v>
      </c>
      <c r="S55" s="215">
        <v>18</v>
      </c>
      <c r="T55" s="215">
        <v>8</v>
      </c>
      <c r="U55" s="215">
        <f t="shared" si="17"/>
        <v>0</v>
      </c>
      <c r="V55" s="66">
        <f t="shared" si="24"/>
        <v>111</v>
      </c>
      <c r="X55" t="s">
        <v>42</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5">
        <f t="shared" si="23"/>
        <v>0</v>
      </c>
      <c r="AJ55" s="215">
        <f t="shared" si="19"/>
        <v>37</v>
      </c>
      <c r="AK55" s="215">
        <f t="shared" si="19"/>
        <v>48</v>
      </c>
      <c r="AL55" s="215">
        <f t="shared" si="19"/>
        <v>0</v>
      </c>
      <c r="AM55" s="215">
        <f t="shared" si="19"/>
        <v>18</v>
      </c>
      <c r="AN55" s="215">
        <f t="shared" si="19"/>
        <v>8</v>
      </c>
      <c r="AO55" s="215">
        <f>U55+AR52</f>
        <v>25</v>
      </c>
      <c r="AP55" s="66">
        <f t="shared" si="25"/>
        <v>136</v>
      </c>
      <c r="AQ55" s="110"/>
    </row>
    <row r="56" spans="1:45" x14ac:dyDescent="0.25">
      <c r="A56" t="s">
        <v>42</v>
      </c>
      <c r="B56" s="15" t="str">
        <f t="shared" si="26"/>
        <v>INN</v>
      </c>
      <c r="C56" s="18" t="s">
        <v>0</v>
      </c>
      <c r="D56" s="18" t="s">
        <v>324</v>
      </c>
      <c r="E56" s="18">
        <v>22</v>
      </c>
      <c r="F56" s="18">
        <v>70</v>
      </c>
      <c r="G56" s="111">
        <f t="shared" si="21"/>
        <v>0</v>
      </c>
      <c r="H56" s="111">
        <v>11</v>
      </c>
      <c r="I56" s="111">
        <v>12</v>
      </c>
      <c r="J56" s="111">
        <f t="shared" si="16"/>
        <v>2</v>
      </c>
      <c r="K56" s="111">
        <v>8</v>
      </c>
      <c r="L56" s="111">
        <v>5</v>
      </c>
      <c r="M56" s="111">
        <f t="shared" si="16"/>
        <v>2</v>
      </c>
      <c r="N56" s="47">
        <f>(8670+1165+135+125)*1.008</f>
        <v>10175.76</v>
      </c>
      <c r="O56" s="215">
        <f t="shared" si="16"/>
        <v>0</v>
      </c>
      <c r="P56" s="215">
        <v>37</v>
      </c>
      <c r="Q56" s="215">
        <v>48</v>
      </c>
      <c r="R56" s="215">
        <f t="shared" si="17"/>
        <v>0</v>
      </c>
      <c r="S56" s="215">
        <v>18</v>
      </c>
      <c r="T56" s="215">
        <v>8</v>
      </c>
      <c r="U56" s="215">
        <f t="shared" si="17"/>
        <v>0</v>
      </c>
      <c r="V56" s="66">
        <f t="shared" si="24"/>
        <v>111</v>
      </c>
      <c r="X56" t="s">
        <v>42</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5">
        <f t="shared" si="23"/>
        <v>0</v>
      </c>
      <c r="AJ56" s="215">
        <f t="shared" si="19"/>
        <v>37</v>
      </c>
      <c r="AK56" s="215">
        <f t="shared" si="19"/>
        <v>48</v>
      </c>
      <c r="AL56" s="215">
        <f t="shared" si="19"/>
        <v>0</v>
      </c>
      <c r="AM56" s="215">
        <f t="shared" si="19"/>
        <v>18</v>
      </c>
      <c r="AN56" s="215">
        <f t="shared" si="19"/>
        <v>8</v>
      </c>
      <c r="AO56" s="215">
        <f>U56+AR52</f>
        <v>25</v>
      </c>
      <c r="AP56" s="66">
        <f t="shared" si="25"/>
        <v>136</v>
      </c>
      <c r="AQ56" s="110"/>
    </row>
    <row r="57" spans="1:45" x14ac:dyDescent="0.25">
      <c r="A57" t="s">
        <v>35</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5">
        <f t="shared" si="16"/>
        <v>0</v>
      </c>
      <c r="P57" s="215">
        <f t="shared" si="17"/>
        <v>30</v>
      </c>
      <c r="Q57" s="215">
        <f t="shared" si="17"/>
        <v>13</v>
      </c>
      <c r="R57" s="215">
        <f t="shared" si="17"/>
        <v>42</v>
      </c>
      <c r="S57" s="215">
        <f t="shared" si="17"/>
        <v>8</v>
      </c>
      <c r="T57" s="215">
        <f t="shared" si="17"/>
        <v>18</v>
      </c>
      <c r="U57" s="215">
        <f t="shared" si="17"/>
        <v>3</v>
      </c>
      <c r="V57" s="66">
        <f t="shared" si="24"/>
        <v>114</v>
      </c>
      <c r="X57" t="s">
        <v>35</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5">
        <f t="shared" si="23"/>
        <v>0</v>
      </c>
      <c r="AJ57" s="215">
        <f t="shared" si="19"/>
        <v>30</v>
      </c>
      <c r="AK57" s="215">
        <f t="shared" si="19"/>
        <v>13</v>
      </c>
      <c r="AL57" s="215">
        <f t="shared" si="19"/>
        <v>42</v>
      </c>
      <c r="AM57" s="215">
        <f t="shared" si="19"/>
        <v>8</v>
      </c>
      <c r="AN57" s="215">
        <f t="shared" si="19"/>
        <v>18</v>
      </c>
      <c r="AO57" s="215">
        <f>U57+AR52</f>
        <v>28</v>
      </c>
      <c r="AP57" s="66">
        <f t="shared" si="25"/>
        <v>139</v>
      </c>
      <c r="AQ57" s="110"/>
    </row>
    <row r="58" spans="1:45" x14ac:dyDescent="0.25">
      <c r="A58" t="s">
        <v>39</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5">
        <f t="shared" si="16"/>
        <v>0</v>
      </c>
      <c r="P58" s="215">
        <f t="shared" si="17"/>
        <v>44</v>
      </c>
      <c r="Q58" s="215">
        <f t="shared" si="17"/>
        <v>3</v>
      </c>
      <c r="R58" s="215">
        <f t="shared" si="17"/>
        <v>33</v>
      </c>
      <c r="S58" s="215">
        <f t="shared" si="17"/>
        <v>8</v>
      </c>
      <c r="T58" s="215">
        <f t="shared" si="17"/>
        <v>16</v>
      </c>
      <c r="U58" s="215">
        <f t="shared" si="17"/>
        <v>1</v>
      </c>
      <c r="V58" s="66">
        <f>SUM(O58:U58)</f>
        <v>105</v>
      </c>
      <c r="X58" t="s">
        <v>39</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5">
        <f t="shared" si="23"/>
        <v>0</v>
      </c>
      <c r="AJ58" s="215">
        <f t="shared" si="19"/>
        <v>44</v>
      </c>
      <c r="AK58" s="215">
        <f t="shared" si="19"/>
        <v>3</v>
      </c>
      <c r="AL58" s="215">
        <f t="shared" si="19"/>
        <v>33</v>
      </c>
      <c r="AM58" s="215">
        <f t="shared" si="19"/>
        <v>8</v>
      </c>
      <c r="AN58" s="215">
        <f t="shared" si="19"/>
        <v>16</v>
      </c>
      <c r="AO58" s="215">
        <f>U58+AR52</f>
        <v>26</v>
      </c>
      <c r="AP58" s="66">
        <f>SUM(AI58:AO58)</f>
        <v>130</v>
      </c>
      <c r="AQ58" s="110"/>
    </row>
    <row r="59" spans="1:45" x14ac:dyDescent="0.25">
      <c r="A59" t="s">
        <v>33</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5">
        <f t="shared" si="16"/>
        <v>0</v>
      </c>
      <c r="P59" s="215">
        <f t="shared" si="17"/>
        <v>33</v>
      </c>
      <c r="Q59" s="215">
        <f t="shared" si="17"/>
        <v>9</v>
      </c>
      <c r="R59" s="215">
        <f t="shared" si="17"/>
        <v>35</v>
      </c>
      <c r="S59" s="215">
        <f t="shared" si="17"/>
        <v>4</v>
      </c>
      <c r="T59" s="215">
        <f t="shared" si="17"/>
        <v>18</v>
      </c>
      <c r="U59" s="215">
        <f t="shared" si="17"/>
        <v>1</v>
      </c>
      <c r="V59" s="66">
        <f>SUM(O59:U59)</f>
        <v>100</v>
      </c>
      <c r="X59" t="s">
        <v>33</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5">
        <f t="shared" si="23"/>
        <v>0</v>
      </c>
      <c r="AJ59" s="215">
        <f t="shared" si="19"/>
        <v>33</v>
      </c>
      <c r="AK59" s="215">
        <f t="shared" si="19"/>
        <v>9</v>
      </c>
      <c r="AL59" s="215">
        <f t="shared" si="19"/>
        <v>35</v>
      </c>
      <c r="AM59" s="215">
        <f t="shared" si="19"/>
        <v>4</v>
      </c>
      <c r="AN59" s="215">
        <f t="shared" si="19"/>
        <v>18</v>
      </c>
      <c r="AO59" s="215">
        <f>U59+AR52</f>
        <v>26</v>
      </c>
      <c r="AP59" s="66">
        <f>SUM(AI59:AO59)</f>
        <v>125</v>
      </c>
      <c r="AQ59" s="110"/>
    </row>
    <row r="60" spans="1:45" x14ac:dyDescent="0.25">
      <c r="A60" t="s">
        <v>41</v>
      </c>
      <c r="B60" s="15" t="str">
        <f t="shared" si="26"/>
        <v>DAV</v>
      </c>
      <c r="C60" s="18" t="s">
        <v>0</v>
      </c>
      <c r="D60" s="18" t="s">
        <v>326</v>
      </c>
      <c r="E60" s="18">
        <v>22</v>
      </c>
      <c r="F60" s="18">
        <v>64</v>
      </c>
      <c r="G60" s="111">
        <f t="shared" si="27"/>
        <v>0</v>
      </c>
      <c r="H60" s="111">
        <f t="shared" si="16"/>
        <v>2</v>
      </c>
      <c r="I60" s="111">
        <f t="shared" si="16"/>
        <v>2</v>
      </c>
      <c r="J60" s="111">
        <v>8</v>
      </c>
      <c r="K60" s="111">
        <v>8</v>
      </c>
      <c r="L60" s="111">
        <v>13</v>
      </c>
      <c r="M60" s="111">
        <v>10</v>
      </c>
      <c r="N60" s="47">
        <f>(12930+275+135)*1.023</f>
        <v>13646.819999999998</v>
      </c>
      <c r="O60" s="215">
        <f t="shared" si="16"/>
        <v>0</v>
      </c>
      <c r="P60" s="215">
        <f t="shared" si="17"/>
        <v>0</v>
      </c>
      <c r="Q60" s="215">
        <f t="shared" si="17"/>
        <v>0</v>
      </c>
      <c r="R60" s="215">
        <v>15</v>
      </c>
      <c r="S60" s="215">
        <v>18</v>
      </c>
      <c r="T60" s="215">
        <v>59</v>
      </c>
      <c r="U60" s="215">
        <v>8</v>
      </c>
      <c r="V60" s="66">
        <f>SUM(O60:U60)</f>
        <v>100</v>
      </c>
      <c r="X60" t="s">
        <v>41</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5">
        <f t="shared" si="23"/>
        <v>0</v>
      </c>
      <c r="AJ60" s="215">
        <f t="shared" si="19"/>
        <v>0</v>
      </c>
      <c r="AK60" s="215">
        <f t="shared" si="19"/>
        <v>0</v>
      </c>
      <c r="AL60" s="215">
        <f t="shared" si="19"/>
        <v>15</v>
      </c>
      <c r="AM60" s="215">
        <f t="shared" si="19"/>
        <v>18</v>
      </c>
      <c r="AN60" s="215">
        <f t="shared" si="19"/>
        <v>59</v>
      </c>
      <c r="AO60" s="215">
        <f>U60+AR52</f>
        <v>33</v>
      </c>
      <c r="AP60" s="66">
        <f>SUM(AI60:AO60)</f>
        <v>125</v>
      </c>
      <c r="AQ60" s="110"/>
    </row>
    <row r="61" spans="1:45" x14ac:dyDescent="0.25">
      <c r="A61" t="s">
        <v>45</v>
      </c>
      <c r="B61" s="15" t="str">
        <f t="shared" si="26"/>
        <v>DAV</v>
      </c>
      <c r="C61" s="18" t="s">
        <v>44</v>
      </c>
      <c r="D61" s="18" t="s">
        <v>326</v>
      </c>
      <c r="E61" s="18">
        <v>22</v>
      </c>
      <c r="F61" s="18">
        <v>64</v>
      </c>
      <c r="G61" s="111">
        <f t="shared" si="27"/>
        <v>0</v>
      </c>
      <c r="H61" s="111">
        <f t="shared" si="16"/>
        <v>2</v>
      </c>
      <c r="I61" s="111">
        <f t="shared" si="16"/>
        <v>2</v>
      </c>
      <c r="J61" s="111">
        <v>8</v>
      </c>
      <c r="K61" s="111">
        <v>8</v>
      </c>
      <c r="L61" s="111">
        <v>13</v>
      </c>
      <c r="M61" s="111">
        <v>10</v>
      </c>
      <c r="N61" s="47">
        <f>(12930+275+135)*1.023</f>
        <v>13646.819999999998</v>
      </c>
      <c r="O61" s="215">
        <f t="shared" si="16"/>
        <v>0</v>
      </c>
      <c r="P61" s="215">
        <f t="shared" si="17"/>
        <v>0</v>
      </c>
      <c r="Q61" s="215">
        <f t="shared" si="17"/>
        <v>0</v>
      </c>
      <c r="R61" s="215">
        <v>15</v>
      </c>
      <c r="S61" s="215">
        <v>18</v>
      </c>
      <c r="T61" s="215">
        <v>59</v>
      </c>
      <c r="U61" s="215">
        <v>8</v>
      </c>
      <c r="V61" s="66">
        <f>SUM(O61:U61)</f>
        <v>100</v>
      </c>
      <c r="X61" t="s">
        <v>45</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5">
        <f t="shared" si="23"/>
        <v>0</v>
      </c>
      <c r="AJ61" s="215">
        <f t="shared" si="19"/>
        <v>0</v>
      </c>
      <c r="AK61" s="215">
        <f t="shared" si="19"/>
        <v>0</v>
      </c>
      <c r="AL61" s="215">
        <f t="shared" si="19"/>
        <v>15</v>
      </c>
      <c r="AM61" s="215">
        <f t="shared" si="19"/>
        <v>18</v>
      </c>
      <c r="AN61" s="215">
        <f t="shared" si="19"/>
        <v>59</v>
      </c>
      <c r="AO61" s="215">
        <f>U61+AR52</f>
        <v>33</v>
      </c>
      <c r="AP61" s="66">
        <f>SUM(AI61:AO61)</f>
        <v>125</v>
      </c>
      <c r="AQ61" s="110"/>
    </row>
    <row r="62" spans="1:45" x14ac:dyDescent="0.25">
      <c r="A62" t="s">
        <v>323</v>
      </c>
      <c r="B62" s="15" t="str">
        <f t="shared" si="26"/>
        <v>DAV</v>
      </c>
      <c r="C62" s="18" t="s">
        <v>294</v>
      </c>
      <c r="D62" s="18" t="s">
        <v>326</v>
      </c>
      <c r="E62" s="18">
        <v>22</v>
      </c>
      <c r="F62" s="18">
        <v>64</v>
      </c>
      <c r="G62" s="111">
        <f t="shared" si="27"/>
        <v>0</v>
      </c>
      <c r="H62" s="111">
        <f t="shared" si="16"/>
        <v>2</v>
      </c>
      <c r="I62" s="111">
        <f t="shared" si="16"/>
        <v>2</v>
      </c>
      <c r="J62" s="111">
        <v>8</v>
      </c>
      <c r="K62" s="111">
        <v>8</v>
      </c>
      <c r="L62" s="111">
        <v>13</v>
      </c>
      <c r="M62" s="111">
        <v>10</v>
      </c>
      <c r="N62" s="47">
        <f>(12930+275+135)*1.023</f>
        <v>13646.819999999998</v>
      </c>
      <c r="O62" s="215">
        <f t="shared" si="16"/>
        <v>0</v>
      </c>
      <c r="P62" s="215">
        <f t="shared" si="17"/>
        <v>0</v>
      </c>
      <c r="Q62" s="215">
        <f t="shared" si="17"/>
        <v>0</v>
      </c>
      <c r="R62" s="215">
        <v>15</v>
      </c>
      <c r="S62" s="215">
        <v>18</v>
      </c>
      <c r="T62" s="215">
        <v>59</v>
      </c>
      <c r="U62" s="215">
        <v>8</v>
      </c>
      <c r="V62" s="66">
        <f>SUM(O62:U62)</f>
        <v>100</v>
      </c>
      <c r="X62" t="s">
        <v>323</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5">
        <f t="shared" si="23"/>
        <v>0</v>
      </c>
      <c r="AJ62" s="215">
        <f t="shared" si="19"/>
        <v>0</v>
      </c>
      <c r="AK62" s="215">
        <f t="shared" si="19"/>
        <v>0</v>
      </c>
      <c r="AL62" s="215">
        <f t="shared" si="19"/>
        <v>15</v>
      </c>
      <c r="AM62" s="215">
        <f t="shared" si="19"/>
        <v>18</v>
      </c>
      <c r="AN62" s="215">
        <f t="shared" si="19"/>
        <v>59</v>
      </c>
      <c r="AO62" s="215">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55205-CCAE-463B-9A8D-5D87C0376DE4}">
  <sheetPr>
    <tabColor theme="7" tint="-0.249977111117893"/>
  </sheetPr>
  <dimension ref="A1:AS98"/>
  <sheetViews>
    <sheetView workbookViewId="0">
      <selection activeCell="P28" sqref="P28"/>
    </sheetView>
  </sheetViews>
  <sheetFormatPr baseColWidth="10" defaultColWidth="11.42578125" defaultRowHeight="15" x14ac:dyDescent="0.25"/>
  <cols>
    <col min="1" max="1" width="5.140625" bestFit="1" customWidth="1"/>
    <col min="2" max="2" width="6.140625" bestFit="1" customWidth="1"/>
    <col min="3" max="3" width="12" bestFit="1" customWidth="1"/>
    <col min="4" max="4" width="13.5703125" bestFit="1" customWidth="1"/>
    <col min="5" max="5" width="4.5703125" bestFit="1" customWidth="1"/>
    <col min="6" max="6" width="5" bestFit="1" customWidth="1"/>
    <col min="7" max="9" width="4.5703125" bestFit="1" customWidth="1"/>
    <col min="10" max="10" width="5.5703125" bestFit="1" customWidth="1"/>
    <col min="11"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5" width="6.140625" customWidth="1"/>
  </cols>
  <sheetData>
    <row r="1" spans="1:45" x14ac:dyDescent="0.25">
      <c r="N1" s="196">
        <f>SUM(N3:N17)</f>
        <v>6420</v>
      </c>
      <c r="AH1" s="196">
        <f>SUM(AH3:AH17)</f>
        <v>53038.62</v>
      </c>
      <c r="AQ1" s="110"/>
    </row>
    <row r="2" spans="1:45" x14ac:dyDescent="0.25">
      <c r="A2" s="10" t="s">
        <v>169</v>
      </c>
      <c r="B2" s="10" t="s">
        <v>2</v>
      </c>
      <c r="C2" s="10" t="s">
        <v>83</v>
      </c>
      <c r="D2" s="10" t="s">
        <v>170</v>
      </c>
      <c r="E2" s="10" t="s">
        <v>310</v>
      </c>
      <c r="F2" s="10" t="s">
        <v>311</v>
      </c>
      <c r="G2" s="10" t="s">
        <v>15</v>
      </c>
      <c r="H2" s="10" t="s">
        <v>16</v>
      </c>
      <c r="I2" s="10" t="s">
        <v>17</v>
      </c>
      <c r="J2" s="10" t="s">
        <v>18</v>
      </c>
      <c r="K2" s="10" t="s">
        <v>19</v>
      </c>
      <c r="L2" s="10" t="s">
        <v>20</v>
      </c>
      <c r="M2" s="10" t="s">
        <v>6</v>
      </c>
      <c r="N2" s="10" t="s">
        <v>67</v>
      </c>
      <c r="O2" s="10" t="s">
        <v>312</v>
      </c>
      <c r="P2" s="10" t="s">
        <v>313</v>
      </c>
      <c r="Q2" s="10" t="s">
        <v>314</v>
      </c>
      <c r="R2" s="10" t="s">
        <v>315</v>
      </c>
      <c r="S2" s="10" t="s">
        <v>316</v>
      </c>
      <c r="T2" s="10" t="s">
        <v>317</v>
      </c>
      <c r="U2" s="10" t="s">
        <v>318</v>
      </c>
      <c r="V2" s="10" t="s">
        <v>319</v>
      </c>
      <c r="X2" s="10" t="s">
        <v>169</v>
      </c>
      <c r="Y2" s="10" t="s">
        <v>310</v>
      </c>
      <c r="Z2" s="10" t="s">
        <v>311</v>
      </c>
      <c r="AA2" s="10" t="s">
        <v>15</v>
      </c>
      <c r="AB2" s="10" t="s">
        <v>16</v>
      </c>
      <c r="AC2" s="10" t="s">
        <v>17</v>
      </c>
      <c r="AD2" s="10" t="s">
        <v>18</v>
      </c>
      <c r="AE2" s="10" t="s">
        <v>19</v>
      </c>
      <c r="AF2" s="10" t="s">
        <v>20</v>
      </c>
      <c r="AG2" s="10" t="s">
        <v>6</v>
      </c>
      <c r="AH2" s="10" t="s">
        <v>67</v>
      </c>
      <c r="AI2" s="10" t="s">
        <v>312</v>
      </c>
      <c r="AJ2" s="10" t="s">
        <v>313</v>
      </c>
      <c r="AK2" s="10" t="s">
        <v>314</v>
      </c>
      <c r="AL2" s="10" t="s">
        <v>315</v>
      </c>
      <c r="AM2" s="10" t="s">
        <v>316</v>
      </c>
      <c r="AN2" s="10" t="s">
        <v>317</v>
      </c>
      <c r="AO2" s="10" t="s">
        <v>318</v>
      </c>
      <c r="AP2" s="10" t="s">
        <v>319</v>
      </c>
      <c r="AQ2" s="110"/>
    </row>
    <row r="3" spans="1:45" x14ac:dyDescent="0.25">
      <c r="A3" t="s">
        <v>28</v>
      </c>
      <c r="B3" s="15" t="s">
        <v>27</v>
      </c>
      <c r="C3" s="18"/>
      <c r="D3" s="18"/>
      <c r="E3" s="18"/>
      <c r="F3" s="18"/>
      <c r="G3" s="216">
        <v>2</v>
      </c>
      <c r="H3" s="131">
        <v>2</v>
      </c>
      <c r="I3" s="216">
        <v>0</v>
      </c>
      <c r="J3" s="131">
        <v>0</v>
      </c>
      <c r="K3" s="216">
        <v>0</v>
      </c>
      <c r="L3" s="131">
        <v>0</v>
      </c>
      <c r="M3" s="216">
        <v>2</v>
      </c>
      <c r="N3" s="47"/>
      <c r="O3" s="227">
        <v>0</v>
      </c>
      <c r="P3" s="227">
        <v>0</v>
      </c>
      <c r="Q3" s="227">
        <v>0</v>
      </c>
      <c r="R3" s="195">
        <v>0</v>
      </c>
      <c r="S3" s="195">
        <v>0</v>
      </c>
      <c r="T3" s="195">
        <v>0</v>
      </c>
      <c r="U3" s="195">
        <v>0</v>
      </c>
      <c r="V3" s="66">
        <f>SUM(O3:U3)</f>
        <v>0</v>
      </c>
      <c r="X3" t="s">
        <v>28</v>
      </c>
      <c r="Y3" s="18"/>
      <c r="Z3" s="18"/>
      <c r="AA3" s="111">
        <f>G3</f>
        <v>2</v>
      </c>
      <c r="AB3" s="111">
        <f t="shared" ref="AB3:AG3" si="0">H3</f>
        <v>2</v>
      </c>
      <c r="AC3" s="111">
        <f t="shared" si="0"/>
        <v>0</v>
      </c>
      <c r="AD3" s="111">
        <f t="shared" si="0"/>
        <v>0</v>
      </c>
      <c r="AE3" s="111">
        <f t="shared" si="0"/>
        <v>0</v>
      </c>
      <c r="AF3" s="111">
        <f t="shared" si="0"/>
        <v>0</v>
      </c>
      <c r="AG3" s="111">
        <f t="shared" si="0"/>
        <v>2</v>
      </c>
      <c r="AH3" s="47"/>
      <c r="AI3" s="227">
        <f>O3</f>
        <v>0</v>
      </c>
      <c r="AJ3" s="227">
        <f t="shared" ref="AJ3:AO3" si="1">P3</f>
        <v>0</v>
      </c>
      <c r="AK3" s="227">
        <f t="shared" si="1"/>
        <v>0</v>
      </c>
      <c r="AL3" s="227">
        <f t="shared" si="1"/>
        <v>0</v>
      </c>
      <c r="AM3" s="227">
        <f t="shared" si="1"/>
        <v>0</v>
      </c>
      <c r="AN3" s="227">
        <f t="shared" si="1"/>
        <v>0</v>
      </c>
      <c r="AO3" s="227">
        <f t="shared" si="1"/>
        <v>0</v>
      </c>
      <c r="AP3" s="66">
        <f>SUM(AI3:AO3)</f>
        <v>0</v>
      </c>
      <c r="AQ3" s="110"/>
    </row>
    <row r="4" spans="1:45" x14ac:dyDescent="0.25">
      <c r="A4" t="s">
        <v>31</v>
      </c>
      <c r="B4" s="15" t="s">
        <v>29</v>
      </c>
      <c r="C4" s="3" t="s">
        <v>69</v>
      </c>
      <c r="D4" s="3" t="s">
        <v>365</v>
      </c>
      <c r="E4" s="3">
        <v>19</v>
      </c>
      <c r="F4" s="3">
        <v>69</v>
      </c>
      <c r="G4" s="216">
        <v>0</v>
      </c>
      <c r="H4" s="131">
        <v>6</v>
      </c>
      <c r="I4" s="216">
        <v>5</v>
      </c>
      <c r="J4" s="131">
        <v>9</v>
      </c>
      <c r="K4" s="216">
        <v>6</v>
      </c>
      <c r="L4" s="131">
        <v>8</v>
      </c>
      <c r="M4" s="216">
        <v>0</v>
      </c>
      <c r="N4" s="47">
        <v>1210</v>
      </c>
      <c r="O4" s="227">
        <v>0</v>
      </c>
      <c r="P4" s="227">
        <v>14</v>
      </c>
      <c r="Q4" s="227">
        <v>9</v>
      </c>
      <c r="R4" s="195">
        <v>18</v>
      </c>
      <c r="S4" s="195">
        <v>10</v>
      </c>
      <c r="T4" s="195">
        <v>21</v>
      </c>
      <c r="U4" s="195">
        <v>0</v>
      </c>
      <c r="V4" s="66">
        <f t="shared" ref="V4:V13" si="2">SUM(O4:U4)</f>
        <v>72</v>
      </c>
      <c r="X4" t="s">
        <v>31</v>
      </c>
      <c r="Y4" s="3">
        <v>20</v>
      </c>
      <c r="Z4" s="3">
        <f>F4+(7*$AR$10)-112</f>
        <v>97</v>
      </c>
      <c r="AA4" s="111">
        <f t="shared" ref="AA4:AA18" si="3">G4</f>
        <v>0</v>
      </c>
      <c r="AB4" s="111">
        <f t="shared" ref="AB4:AB18" si="4">H4</f>
        <v>6</v>
      </c>
      <c r="AC4" s="111">
        <f t="shared" ref="AC4:AC18" si="5">I4</f>
        <v>5</v>
      </c>
      <c r="AD4" s="111">
        <f>11+6/10</f>
        <v>11.6</v>
      </c>
      <c r="AE4" s="111">
        <f t="shared" ref="AE4:AE18" si="6">K4</f>
        <v>6</v>
      </c>
      <c r="AF4" s="111">
        <f t="shared" ref="AF4:AF18" si="7">L4</f>
        <v>8</v>
      </c>
      <c r="AG4" s="111">
        <f t="shared" ref="AG4:AG18" si="8">M4</f>
        <v>0</v>
      </c>
      <c r="AH4" s="47">
        <f>(3600+405+145+165+135)*1</f>
        <v>4450</v>
      </c>
      <c r="AI4" s="227">
        <f t="shared" ref="AI4:AI18" si="9">O4</f>
        <v>0</v>
      </c>
      <c r="AJ4" s="227">
        <f t="shared" ref="AJ4:AJ18" si="10">P4</f>
        <v>14</v>
      </c>
      <c r="AK4" s="227">
        <f t="shared" ref="AK4:AK18" si="11">Q4</f>
        <v>9</v>
      </c>
      <c r="AL4" s="227">
        <v>31</v>
      </c>
      <c r="AM4" s="227">
        <f t="shared" ref="AM4:AM18" si="12">S4</f>
        <v>10</v>
      </c>
      <c r="AN4" s="227">
        <f t="shared" ref="AN4:AN18" si="13">T4</f>
        <v>21</v>
      </c>
      <c r="AO4" s="227">
        <f t="shared" ref="AO4:AO18" si="14">U4</f>
        <v>0</v>
      </c>
      <c r="AP4" s="66">
        <f>SUM(AI4:AO4)</f>
        <v>85</v>
      </c>
      <c r="AQ4" s="110"/>
    </row>
    <row r="5" spans="1:45" x14ac:dyDescent="0.25">
      <c r="A5" t="s">
        <v>32</v>
      </c>
      <c r="B5" s="15" t="s">
        <v>29</v>
      </c>
      <c r="C5" s="3"/>
      <c r="D5" s="3"/>
      <c r="E5" s="3"/>
      <c r="F5" s="3"/>
      <c r="G5" s="216">
        <v>0</v>
      </c>
      <c r="H5" s="131">
        <v>2</v>
      </c>
      <c r="I5" s="216">
        <v>2</v>
      </c>
      <c r="J5" s="131">
        <v>2</v>
      </c>
      <c r="K5" s="216">
        <v>2</v>
      </c>
      <c r="L5" s="131">
        <v>2</v>
      </c>
      <c r="M5" s="216">
        <v>2</v>
      </c>
      <c r="N5" s="47"/>
      <c r="O5" s="227">
        <v>0</v>
      </c>
      <c r="P5" s="227">
        <v>0</v>
      </c>
      <c r="Q5" s="227">
        <v>0</v>
      </c>
      <c r="R5" s="195">
        <v>0</v>
      </c>
      <c r="S5" s="195">
        <v>0</v>
      </c>
      <c r="T5" s="195">
        <v>0</v>
      </c>
      <c r="U5" s="195">
        <v>0</v>
      </c>
      <c r="V5" s="66">
        <f>SUM(O5:U5)</f>
        <v>0</v>
      </c>
      <c r="X5" t="s">
        <v>32</v>
      </c>
      <c r="Y5" s="3"/>
      <c r="Z5" s="3"/>
      <c r="AA5" s="111">
        <f t="shared" si="3"/>
        <v>0</v>
      </c>
      <c r="AB5" s="111">
        <f t="shared" si="4"/>
        <v>2</v>
      </c>
      <c r="AC5" s="111">
        <f t="shared" si="5"/>
        <v>2</v>
      </c>
      <c r="AD5" s="111">
        <f t="shared" ref="AD5:AD18" si="15">J5</f>
        <v>2</v>
      </c>
      <c r="AE5" s="111">
        <f t="shared" si="6"/>
        <v>2</v>
      </c>
      <c r="AF5" s="111">
        <f t="shared" si="7"/>
        <v>2</v>
      </c>
      <c r="AG5" s="111">
        <f t="shared" si="8"/>
        <v>2</v>
      </c>
      <c r="AH5" s="47"/>
      <c r="AI5" s="227">
        <f t="shared" si="9"/>
        <v>0</v>
      </c>
      <c r="AJ5" s="227">
        <f t="shared" si="10"/>
        <v>0</v>
      </c>
      <c r="AK5" s="227">
        <f t="shared" si="11"/>
        <v>0</v>
      </c>
      <c r="AL5" s="227">
        <f t="shared" ref="AL5:AL18" si="16">R5</f>
        <v>0</v>
      </c>
      <c r="AM5" s="227">
        <f t="shared" si="12"/>
        <v>0</v>
      </c>
      <c r="AN5" s="227">
        <f t="shared" si="13"/>
        <v>0</v>
      </c>
      <c r="AO5" s="227">
        <f t="shared" si="14"/>
        <v>0</v>
      </c>
      <c r="AP5" s="66">
        <f>SUM(AI5:AO5)</f>
        <v>0</v>
      </c>
      <c r="AQ5" s="110"/>
    </row>
    <row r="6" spans="1:45" x14ac:dyDescent="0.25">
      <c r="A6" t="s">
        <v>38</v>
      </c>
      <c r="B6" s="15" t="s">
        <v>29</v>
      </c>
      <c r="C6" s="3"/>
      <c r="D6" s="3"/>
      <c r="E6" s="3"/>
      <c r="F6" s="3"/>
      <c r="G6" s="216">
        <v>0</v>
      </c>
      <c r="H6" s="131">
        <v>2</v>
      </c>
      <c r="I6" s="216">
        <v>2</v>
      </c>
      <c r="J6" s="131">
        <v>2</v>
      </c>
      <c r="K6" s="216">
        <v>2</v>
      </c>
      <c r="L6" s="131">
        <v>2</v>
      </c>
      <c r="M6" s="216">
        <v>2</v>
      </c>
      <c r="N6" s="47"/>
      <c r="O6" s="227">
        <v>0</v>
      </c>
      <c r="P6" s="227">
        <v>0</v>
      </c>
      <c r="Q6" s="227">
        <v>0</v>
      </c>
      <c r="R6" s="195">
        <v>0</v>
      </c>
      <c r="S6" s="195">
        <v>0</v>
      </c>
      <c r="T6" s="195">
        <v>0</v>
      </c>
      <c r="U6" s="195">
        <v>0</v>
      </c>
      <c r="V6" s="66">
        <f>SUM(O6:U6)</f>
        <v>0</v>
      </c>
      <c r="X6" t="s">
        <v>38</v>
      </c>
      <c r="Y6" s="3"/>
      <c r="Z6" s="3"/>
      <c r="AA6" s="111">
        <f t="shared" si="3"/>
        <v>0</v>
      </c>
      <c r="AB6" s="111">
        <f t="shared" si="4"/>
        <v>2</v>
      </c>
      <c r="AC6" s="111">
        <f t="shared" si="5"/>
        <v>2</v>
      </c>
      <c r="AD6" s="111">
        <f t="shared" si="15"/>
        <v>2</v>
      </c>
      <c r="AE6" s="111">
        <f t="shared" si="6"/>
        <v>2</v>
      </c>
      <c r="AF6" s="111">
        <f t="shared" si="7"/>
        <v>2</v>
      </c>
      <c r="AG6" s="111">
        <f t="shared" si="8"/>
        <v>2</v>
      </c>
      <c r="AH6" s="47"/>
      <c r="AI6" s="227">
        <f t="shared" si="9"/>
        <v>0</v>
      </c>
      <c r="AJ6" s="227">
        <f t="shared" si="10"/>
        <v>0</v>
      </c>
      <c r="AK6" s="227">
        <f t="shared" si="11"/>
        <v>0</v>
      </c>
      <c r="AL6" s="227">
        <f t="shared" si="16"/>
        <v>0</v>
      </c>
      <c r="AM6" s="227">
        <f t="shared" si="12"/>
        <v>0</v>
      </c>
      <c r="AN6" s="227">
        <f t="shared" si="13"/>
        <v>0</v>
      </c>
      <c r="AO6" s="227">
        <f t="shared" si="14"/>
        <v>0</v>
      </c>
      <c r="AP6" s="66">
        <f>SUM(AI6:AO6)</f>
        <v>0</v>
      </c>
      <c r="AQ6" s="110"/>
    </row>
    <row r="7" spans="1:45" x14ac:dyDescent="0.25">
      <c r="A7" t="s">
        <v>40</v>
      </c>
      <c r="B7" s="15" t="s">
        <v>29</v>
      </c>
      <c r="C7" s="3"/>
      <c r="D7" s="3"/>
      <c r="E7" s="3"/>
      <c r="F7" s="3"/>
      <c r="G7" s="216">
        <v>0</v>
      </c>
      <c r="H7" s="131">
        <v>2</v>
      </c>
      <c r="I7" s="216">
        <v>2</v>
      </c>
      <c r="J7" s="131">
        <v>2</v>
      </c>
      <c r="K7" s="216">
        <v>2</v>
      </c>
      <c r="L7" s="131">
        <v>2</v>
      </c>
      <c r="M7" s="216">
        <v>2</v>
      </c>
      <c r="N7" s="47"/>
      <c r="O7" s="227">
        <v>0</v>
      </c>
      <c r="P7" s="227">
        <v>0</v>
      </c>
      <c r="Q7" s="227">
        <v>0</v>
      </c>
      <c r="R7" s="195">
        <v>0</v>
      </c>
      <c r="S7" s="195">
        <v>0</v>
      </c>
      <c r="T7" s="195">
        <v>0</v>
      </c>
      <c r="U7" s="195">
        <v>0</v>
      </c>
      <c r="V7" s="66">
        <f t="shared" si="2"/>
        <v>0</v>
      </c>
      <c r="X7" t="s">
        <v>40</v>
      </c>
      <c r="Y7" s="3"/>
      <c r="Z7" s="3"/>
      <c r="AA7" s="111">
        <f t="shared" si="3"/>
        <v>0</v>
      </c>
      <c r="AB7" s="111">
        <f t="shared" si="4"/>
        <v>2</v>
      </c>
      <c r="AC7" s="111">
        <f t="shared" si="5"/>
        <v>2</v>
      </c>
      <c r="AD7" s="111">
        <f t="shared" si="15"/>
        <v>2</v>
      </c>
      <c r="AE7" s="111">
        <f t="shared" si="6"/>
        <v>2</v>
      </c>
      <c r="AF7" s="111">
        <f t="shared" si="7"/>
        <v>2</v>
      </c>
      <c r="AG7" s="111">
        <f t="shared" si="8"/>
        <v>2</v>
      </c>
      <c r="AH7" s="47"/>
      <c r="AI7" s="227">
        <f t="shared" si="9"/>
        <v>0</v>
      </c>
      <c r="AJ7" s="227">
        <f t="shared" si="10"/>
        <v>0</v>
      </c>
      <c r="AK7" s="227">
        <f t="shared" si="11"/>
        <v>0</v>
      </c>
      <c r="AL7" s="227">
        <f t="shared" si="16"/>
        <v>0</v>
      </c>
      <c r="AM7" s="227">
        <f t="shared" si="12"/>
        <v>0</v>
      </c>
      <c r="AN7" s="227">
        <f t="shared" si="13"/>
        <v>0</v>
      </c>
      <c r="AO7" s="227">
        <f t="shared" si="14"/>
        <v>0</v>
      </c>
      <c r="AP7" s="66">
        <f t="shared" ref="AP7:AP13" si="17">SUM(AI7:AO7)</f>
        <v>0</v>
      </c>
      <c r="AQ7" s="110"/>
      <c r="AR7" s="52" t="s">
        <v>358</v>
      </c>
      <c r="AS7" s="52" t="s">
        <v>359</v>
      </c>
    </row>
    <row r="8" spans="1:45" x14ac:dyDescent="0.25">
      <c r="A8" t="s">
        <v>37</v>
      </c>
      <c r="B8" s="15" t="s">
        <v>29</v>
      </c>
      <c r="C8" s="3"/>
      <c r="D8" s="3"/>
      <c r="E8" s="3"/>
      <c r="F8" s="3"/>
      <c r="G8" s="216">
        <v>0</v>
      </c>
      <c r="H8" s="131">
        <v>2</v>
      </c>
      <c r="I8" s="216">
        <v>2</v>
      </c>
      <c r="J8" s="131">
        <v>2</v>
      </c>
      <c r="K8" s="216">
        <v>2</v>
      </c>
      <c r="L8" s="131">
        <v>2</v>
      </c>
      <c r="M8" s="216">
        <v>2</v>
      </c>
      <c r="N8" s="47"/>
      <c r="O8" s="227">
        <v>0</v>
      </c>
      <c r="P8" s="227">
        <v>0</v>
      </c>
      <c r="Q8" s="227">
        <v>0</v>
      </c>
      <c r="R8" s="195">
        <v>0</v>
      </c>
      <c r="S8" s="195">
        <v>0</v>
      </c>
      <c r="T8" s="195">
        <v>0</v>
      </c>
      <c r="U8" s="195">
        <v>0</v>
      </c>
      <c r="V8" s="66">
        <f t="shared" si="2"/>
        <v>0</v>
      </c>
      <c r="X8" t="s">
        <v>37</v>
      </c>
      <c r="Y8" s="3"/>
      <c r="Z8" s="3"/>
      <c r="AA8" s="111">
        <f t="shared" si="3"/>
        <v>0</v>
      </c>
      <c r="AB8" s="111">
        <f t="shared" si="4"/>
        <v>2</v>
      </c>
      <c r="AC8" s="111">
        <f t="shared" si="5"/>
        <v>2</v>
      </c>
      <c r="AD8" s="111">
        <f t="shared" si="15"/>
        <v>2</v>
      </c>
      <c r="AE8" s="111">
        <f t="shared" si="6"/>
        <v>2</v>
      </c>
      <c r="AF8" s="111">
        <f t="shared" si="7"/>
        <v>2</v>
      </c>
      <c r="AG8" s="111">
        <f t="shared" si="8"/>
        <v>2</v>
      </c>
      <c r="AH8" s="47"/>
      <c r="AI8" s="227">
        <f t="shared" si="9"/>
        <v>0</v>
      </c>
      <c r="AJ8" s="227">
        <f t="shared" si="10"/>
        <v>0</v>
      </c>
      <c r="AK8" s="227">
        <f t="shared" si="11"/>
        <v>0</v>
      </c>
      <c r="AL8" s="227">
        <f t="shared" si="16"/>
        <v>0</v>
      </c>
      <c r="AM8" s="227">
        <f t="shared" si="12"/>
        <v>0</v>
      </c>
      <c r="AN8" s="227">
        <f t="shared" si="13"/>
        <v>0</v>
      </c>
      <c r="AO8" s="227">
        <f t="shared" si="14"/>
        <v>0</v>
      </c>
      <c r="AP8" s="66">
        <f t="shared" si="17"/>
        <v>0</v>
      </c>
      <c r="AQ8" s="217" t="s">
        <v>89</v>
      </c>
      <c r="AR8">
        <v>0</v>
      </c>
      <c r="AS8" s="37">
        <v>0</v>
      </c>
    </row>
    <row r="9" spans="1:45" x14ac:dyDescent="0.25">
      <c r="A9" t="s">
        <v>34</v>
      </c>
      <c r="B9" s="15" t="s">
        <v>29</v>
      </c>
      <c r="C9" s="3" t="s">
        <v>294</v>
      </c>
      <c r="D9" s="3" t="s">
        <v>463</v>
      </c>
      <c r="E9" s="3">
        <v>19</v>
      </c>
      <c r="F9" s="3">
        <v>59</v>
      </c>
      <c r="G9" s="216">
        <v>0</v>
      </c>
      <c r="H9" s="131">
        <v>8</v>
      </c>
      <c r="I9" s="216">
        <v>4</v>
      </c>
      <c r="J9" s="131">
        <v>8</v>
      </c>
      <c r="K9" s="216">
        <v>4</v>
      </c>
      <c r="L9" s="131">
        <v>7</v>
      </c>
      <c r="M9" s="216">
        <v>3</v>
      </c>
      <c r="N9" s="47">
        <v>950</v>
      </c>
      <c r="O9" s="227">
        <v>0</v>
      </c>
      <c r="P9" s="227">
        <v>24</v>
      </c>
      <c r="Q9" s="227">
        <v>6</v>
      </c>
      <c r="R9" s="195">
        <v>11</v>
      </c>
      <c r="S9" s="195">
        <v>4</v>
      </c>
      <c r="T9" s="195">
        <v>16</v>
      </c>
      <c r="U9" s="195">
        <v>1</v>
      </c>
      <c r="V9" s="66">
        <f t="shared" si="2"/>
        <v>62</v>
      </c>
      <c r="X9" t="s">
        <v>34</v>
      </c>
      <c r="Y9" s="3">
        <v>20</v>
      </c>
      <c r="Z9" s="3">
        <f>F9+(7*$AR$10)-112</f>
        <v>87</v>
      </c>
      <c r="AA9" s="111">
        <f t="shared" si="3"/>
        <v>0</v>
      </c>
      <c r="AB9" s="111">
        <f t="shared" si="4"/>
        <v>8</v>
      </c>
      <c r="AC9" s="111">
        <f t="shared" si="5"/>
        <v>4</v>
      </c>
      <c r="AD9" s="111">
        <v>13</v>
      </c>
      <c r="AE9" s="111">
        <f t="shared" si="6"/>
        <v>4</v>
      </c>
      <c r="AF9" s="111">
        <f t="shared" si="7"/>
        <v>7</v>
      </c>
      <c r="AG9" s="111">
        <f t="shared" si="8"/>
        <v>3</v>
      </c>
      <c r="AH9" s="47">
        <f>(7470+375+125+125+245)*1.012</f>
        <v>8440.08</v>
      </c>
      <c r="AI9" s="227">
        <f t="shared" si="9"/>
        <v>0</v>
      </c>
      <c r="AJ9" s="227">
        <f t="shared" si="10"/>
        <v>24</v>
      </c>
      <c r="AK9" s="227">
        <f t="shared" si="11"/>
        <v>6</v>
      </c>
      <c r="AL9" s="227">
        <v>40</v>
      </c>
      <c r="AM9" s="227">
        <f t="shared" si="12"/>
        <v>4</v>
      </c>
      <c r="AN9" s="227">
        <f t="shared" si="13"/>
        <v>16</v>
      </c>
      <c r="AO9" s="227">
        <f t="shared" si="14"/>
        <v>1</v>
      </c>
      <c r="AP9" s="66">
        <f t="shared" si="17"/>
        <v>91</v>
      </c>
      <c r="AQ9" s="217" t="s">
        <v>192</v>
      </c>
      <c r="AR9">
        <v>20</v>
      </c>
      <c r="AS9" s="37">
        <f>AR9/16</f>
        <v>1.25</v>
      </c>
    </row>
    <row r="10" spans="1:45" x14ac:dyDescent="0.25">
      <c r="A10" t="s">
        <v>30</v>
      </c>
      <c r="B10" s="15" t="s">
        <v>29</v>
      </c>
      <c r="C10" s="3" t="s">
        <v>294</v>
      </c>
      <c r="D10" s="3" t="s">
        <v>321</v>
      </c>
      <c r="E10" s="3">
        <v>19</v>
      </c>
      <c r="F10" s="3">
        <v>59</v>
      </c>
      <c r="G10" s="216">
        <v>0</v>
      </c>
      <c r="H10" s="131">
        <v>6</v>
      </c>
      <c r="I10" s="216">
        <v>3</v>
      </c>
      <c r="J10" s="131">
        <v>9.8000000000000007</v>
      </c>
      <c r="K10" s="216">
        <v>6</v>
      </c>
      <c r="L10" s="131">
        <v>7</v>
      </c>
      <c r="M10" s="216">
        <v>3</v>
      </c>
      <c r="N10" s="47">
        <v>750</v>
      </c>
      <c r="O10" s="227">
        <v>0</v>
      </c>
      <c r="P10" s="227">
        <v>14</v>
      </c>
      <c r="Q10" s="227">
        <v>3</v>
      </c>
      <c r="R10" s="195">
        <v>18</v>
      </c>
      <c r="S10" s="195">
        <v>10</v>
      </c>
      <c r="T10" s="195">
        <v>16</v>
      </c>
      <c r="U10" s="195">
        <v>1</v>
      </c>
      <c r="V10" s="66">
        <f t="shared" si="2"/>
        <v>62</v>
      </c>
      <c r="X10" t="s">
        <v>30</v>
      </c>
      <c r="Y10" s="3">
        <v>20</v>
      </c>
      <c r="Z10" s="3">
        <f>F10+(7*$AR$10)-112</f>
        <v>87</v>
      </c>
      <c r="AA10" s="111">
        <f t="shared" si="3"/>
        <v>0</v>
      </c>
      <c r="AB10" s="111">
        <f t="shared" si="4"/>
        <v>6</v>
      </c>
      <c r="AC10" s="111">
        <f t="shared" si="5"/>
        <v>3</v>
      </c>
      <c r="AD10" s="111">
        <v>12</v>
      </c>
      <c r="AE10" s="111">
        <f t="shared" si="6"/>
        <v>6</v>
      </c>
      <c r="AF10" s="111">
        <f t="shared" si="7"/>
        <v>7</v>
      </c>
      <c r="AG10" s="111">
        <f t="shared" si="8"/>
        <v>3</v>
      </c>
      <c r="AH10" s="47">
        <f>(4470+165+145+245)*1.012</f>
        <v>5085.3</v>
      </c>
      <c r="AI10" s="227">
        <f t="shared" si="9"/>
        <v>0</v>
      </c>
      <c r="AJ10" s="227">
        <f t="shared" si="10"/>
        <v>14</v>
      </c>
      <c r="AK10" s="227">
        <f t="shared" si="11"/>
        <v>3</v>
      </c>
      <c r="AL10" s="227">
        <v>33</v>
      </c>
      <c r="AM10" s="227">
        <f t="shared" si="12"/>
        <v>10</v>
      </c>
      <c r="AN10" s="227">
        <f t="shared" si="13"/>
        <v>16</v>
      </c>
      <c r="AO10" s="227">
        <f t="shared" si="14"/>
        <v>1</v>
      </c>
      <c r="AP10" s="66">
        <f t="shared" si="17"/>
        <v>77</v>
      </c>
      <c r="AQ10" s="110"/>
      <c r="AR10" s="157">
        <f>AR9+AR8</f>
        <v>20</v>
      </c>
      <c r="AS10" s="157">
        <f>AS9+AS8</f>
        <v>1.25</v>
      </c>
    </row>
    <row r="11" spans="1:45" x14ac:dyDescent="0.25">
      <c r="A11" t="s">
        <v>42</v>
      </c>
      <c r="B11" s="15" t="s">
        <v>366</v>
      </c>
      <c r="C11" s="3"/>
      <c r="D11" s="3"/>
      <c r="E11" s="3"/>
      <c r="F11" s="3"/>
      <c r="G11" s="216">
        <v>0</v>
      </c>
      <c r="H11" s="131">
        <v>2</v>
      </c>
      <c r="I11" s="216">
        <v>2</v>
      </c>
      <c r="J11" s="131">
        <v>2</v>
      </c>
      <c r="K11" s="216">
        <v>2</v>
      </c>
      <c r="L11" s="131">
        <v>2</v>
      </c>
      <c r="M11" s="216">
        <v>2</v>
      </c>
      <c r="N11" s="47"/>
      <c r="O11" s="227">
        <v>0</v>
      </c>
      <c r="P11" s="227">
        <v>0</v>
      </c>
      <c r="Q11" s="227">
        <v>0</v>
      </c>
      <c r="R11" s="195">
        <v>0</v>
      </c>
      <c r="S11" s="195">
        <v>0</v>
      </c>
      <c r="T11" s="195">
        <v>0</v>
      </c>
      <c r="U11" s="195">
        <v>0</v>
      </c>
      <c r="V11" s="66">
        <f t="shared" si="2"/>
        <v>0</v>
      </c>
      <c r="X11" t="s">
        <v>42</v>
      </c>
      <c r="Y11" s="3"/>
      <c r="Z11" s="3"/>
      <c r="AA11" s="111">
        <f t="shared" si="3"/>
        <v>0</v>
      </c>
      <c r="AB11" s="111">
        <f t="shared" si="4"/>
        <v>2</v>
      </c>
      <c r="AC11" s="111">
        <f t="shared" si="5"/>
        <v>2</v>
      </c>
      <c r="AD11" s="111">
        <f t="shared" si="15"/>
        <v>2</v>
      </c>
      <c r="AE11" s="111">
        <f t="shared" si="6"/>
        <v>2</v>
      </c>
      <c r="AF11" s="111">
        <f t="shared" si="7"/>
        <v>2</v>
      </c>
      <c r="AG11" s="111">
        <f t="shared" si="8"/>
        <v>2</v>
      </c>
      <c r="AH11" s="47"/>
      <c r="AI11" s="227">
        <f t="shared" si="9"/>
        <v>0</v>
      </c>
      <c r="AJ11" s="227">
        <f t="shared" si="10"/>
        <v>0</v>
      </c>
      <c r="AK11" s="227">
        <f t="shared" si="11"/>
        <v>0</v>
      </c>
      <c r="AL11" s="227">
        <f t="shared" si="16"/>
        <v>0</v>
      </c>
      <c r="AM11" s="227">
        <f t="shared" si="12"/>
        <v>0</v>
      </c>
      <c r="AN11" s="227">
        <f t="shared" si="13"/>
        <v>0</v>
      </c>
      <c r="AO11" s="227">
        <f t="shared" si="14"/>
        <v>0</v>
      </c>
      <c r="AP11" s="66">
        <f t="shared" si="17"/>
        <v>0</v>
      </c>
      <c r="AQ11" s="110"/>
    </row>
    <row r="12" spans="1:45" x14ac:dyDescent="0.25">
      <c r="A12" t="s">
        <v>36</v>
      </c>
      <c r="B12" s="15" t="s">
        <v>366</v>
      </c>
      <c r="C12" s="3"/>
      <c r="D12" s="3"/>
      <c r="E12" s="3"/>
      <c r="F12" s="3"/>
      <c r="G12" s="216">
        <v>0</v>
      </c>
      <c r="H12" s="131">
        <v>2</v>
      </c>
      <c r="I12" s="216">
        <v>2</v>
      </c>
      <c r="J12" s="131">
        <v>2</v>
      </c>
      <c r="K12" s="216">
        <v>2</v>
      </c>
      <c r="L12" s="131">
        <v>2</v>
      </c>
      <c r="M12" s="216">
        <v>2</v>
      </c>
      <c r="N12" s="47"/>
      <c r="O12" s="227">
        <v>0</v>
      </c>
      <c r="P12" s="227">
        <v>0</v>
      </c>
      <c r="Q12" s="227">
        <v>0</v>
      </c>
      <c r="R12" s="195">
        <v>0</v>
      </c>
      <c r="S12" s="195">
        <v>0</v>
      </c>
      <c r="T12" s="195">
        <v>0</v>
      </c>
      <c r="U12" s="195">
        <v>0</v>
      </c>
      <c r="V12" s="66">
        <f t="shared" si="2"/>
        <v>0</v>
      </c>
      <c r="X12" t="s">
        <v>36</v>
      </c>
      <c r="Y12" s="3"/>
      <c r="Z12" s="3"/>
      <c r="AA12" s="111">
        <f t="shared" si="3"/>
        <v>0</v>
      </c>
      <c r="AB12" s="111">
        <f t="shared" si="4"/>
        <v>2</v>
      </c>
      <c r="AC12" s="111">
        <f t="shared" si="5"/>
        <v>2</v>
      </c>
      <c r="AD12" s="111">
        <f t="shared" si="15"/>
        <v>2</v>
      </c>
      <c r="AE12" s="111">
        <f t="shared" si="6"/>
        <v>2</v>
      </c>
      <c r="AF12" s="111">
        <f t="shared" si="7"/>
        <v>2</v>
      </c>
      <c r="AG12" s="111">
        <f t="shared" si="8"/>
        <v>2</v>
      </c>
      <c r="AH12" s="47"/>
      <c r="AI12" s="227">
        <f t="shared" si="9"/>
        <v>0</v>
      </c>
      <c r="AJ12" s="227">
        <f t="shared" si="10"/>
        <v>0</v>
      </c>
      <c r="AK12" s="227">
        <f t="shared" si="11"/>
        <v>0</v>
      </c>
      <c r="AL12" s="227">
        <f t="shared" si="16"/>
        <v>0</v>
      </c>
      <c r="AM12" s="227">
        <f t="shared" si="12"/>
        <v>0</v>
      </c>
      <c r="AN12" s="227">
        <f t="shared" si="13"/>
        <v>0</v>
      </c>
      <c r="AO12" s="227">
        <f t="shared" si="14"/>
        <v>0</v>
      </c>
      <c r="AP12" s="66">
        <f t="shared" si="17"/>
        <v>0</v>
      </c>
      <c r="AQ12" s="110"/>
    </row>
    <row r="13" spans="1:45" x14ac:dyDescent="0.25">
      <c r="A13" t="s">
        <v>35</v>
      </c>
      <c r="B13" s="15" t="s">
        <v>70</v>
      </c>
      <c r="C13" s="3" t="s">
        <v>44</v>
      </c>
      <c r="D13" s="3" t="s">
        <v>320</v>
      </c>
      <c r="E13" s="3">
        <v>19</v>
      </c>
      <c r="F13" s="3">
        <v>55</v>
      </c>
      <c r="G13" s="216">
        <v>0</v>
      </c>
      <c r="H13" s="131">
        <v>2</v>
      </c>
      <c r="I13" s="216">
        <v>5.7</v>
      </c>
      <c r="J13" s="131">
        <v>11</v>
      </c>
      <c r="K13" s="216">
        <v>6</v>
      </c>
      <c r="L13" s="131">
        <v>7</v>
      </c>
      <c r="M13" s="216">
        <v>5</v>
      </c>
      <c r="N13" s="47">
        <v>1350</v>
      </c>
      <c r="O13" s="227">
        <v>0</v>
      </c>
      <c r="P13" s="227">
        <v>0</v>
      </c>
      <c r="Q13" s="227">
        <v>13</v>
      </c>
      <c r="R13" s="195">
        <v>28</v>
      </c>
      <c r="S13" s="195">
        <v>10</v>
      </c>
      <c r="T13" s="195">
        <v>16</v>
      </c>
      <c r="U13" s="195">
        <v>3</v>
      </c>
      <c r="V13" s="66">
        <f t="shared" si="2"/>
        <v>70</v>
      </c>
      <c r="X13" t="s">
        <v>35</v>
      </c>
      <c r="Y13" s="3">
        <v>20</v>
      </c>
      <c r="Z13" s="3">
        <f>F13+(7*$AR$10)-112</f>
        <v>83</v>
      </c>
      <c r="AA13" s="111">
        <f t="shared" si="3"/>
        <v>0</v>
      </c>
      <c r="AB13" s="111">
        <f t="shared" si="4"/>
        <v>2</v>
      </c>
      <c r="AC13" s="111">
        <f t="shared" si="5"/>
        <v>5.7</v>
      </c>
      <c r="AD13" s="111">
        <f>14+3/7</f>
        <v>14.428571428571429</v>
      </c>
      <c r="AE13" s="111">
        <f t="shared" si="6"/>
        <v>6</v>
      </c>
      <c r="AF13" s="111">
        <f t="shared" si="7"/>
        <v>7</v>
      </c>
      <c r="AG13" s="111">
        <f t="shared" si="8"/>
        <v>5</v>
      </c>
      <c r="AH13" s="47">
        <f>(14000+150+145+245)*1.016</f>
        <v>14772.64</v>
      </c>
      <c r="AI13" s="227">
        <f t="shared" si="9"/>
        <v>0</v>
      </c>
      <c r="AJ13" s="227">
        <f t="shared" si="10"/>
        <v>0</v>
      </c>
      <c r="AK13" s="227">
        <f t="shared" si="11"/>
        <v>13</v>
      </c>
      <c r="AL13" s="227">
        <f>47+3</f>
        <v>50</v>
      </c>
      <c r="AM13" s="227">
        <f t="shared" si="12"/>
        <v>10</v>
      </c>
      <c r="AN13" s="227">
        <f t="shared" si="13"/>
        <v>16</v>
      </c>
      <c r="AO13" s="227">
        <f t="shared" si="14"/>
        <v>3</v>
      </c>
      <c r="AP13" s="66">
        <f t="shared" si="17"/>
        <v>92</v>
      </c>
      <c r="AQ13" s="110"/>
    </row>
    <row r="14" spans="1:45" x14ac:dyDescent="0.25">
      <c r="A14" t="s">
        <v>39</v>
      </c>
      <c r="B14" s="15" t="s">
        <v>70</v>
      </c>
      <c r="C14" s="3" t="s">
        <v>44</v>
      </c>
      <c r="D14" s="3" t="s">
        <v>462</v>
      </c>
      <c r="E14" s="3">
        <v>19</v>
      </c>
      <c r="F14" s="3">
        <v>20</v>
      </c>
      <c r="G14" s="216">
        <v>0</v>
      </c>
      <c r="H14" s="131">
        <v>6</v>
      </c>
      <c r="I14" s="216">
        <v>3</v>
      </c>
      <c r="J14" s="131">
        <v>9</v>
      </c>
      <c r="K14" s="216">
        <v>7</v>
      </c>
      <c r="L14" s="131">
        <v>7</v>
      </c>
      <c r="M14" s="216">
        <v>3</v>
      </c>
      <c r="N14" s="47">
        <v>1110</v>
      </c>
      <c r="O14" s="227">
        <v>0</v>
      </c>
      <c r="P14" s="227">
        <v>14</v>
      </c>
      <c r="Q14" s="227">
        <v>3</v>
      </c>
      <c r="R14" s="195">
        <v>18</v>
      </c>
      <c r="S14" s="195">
        <v>14</v>
      </c>
      <c r="T14" s="195">
        <v>16</v>
      </c>
      <c r="U14" s="195">
        <v>1</v>
      </c>
      <c r="V14" s="66">
        <f>SUM(O14:U14)</f>
        <v>66</v>
      </c>
      <c r="X14" t="s">
        <v>39</v>
      </c>
      <c r="Y14" s="3">
        <v>20</v>
      </c>
      <c r="Z14" s="3">
        <f>F14+(7*$AR$10)-112</f>
        <v>48</v>
      </c>
      <c r="AA14" s="111">
        <f t="shared" si="3"/>
        <v>0</v>
      </c>
      <c r="AB14" s="111">
        <f t="shared" si="4"/>
        <v>6</v>
      </c>
      <c r="AC14" s="111">
        <f t="shared" si="5"/>
        <v>3</v>
      </c>
      <c r="AD14" s="111">
        <f>13+2/6</f>
        <v>13.333333333333334</v>
      </c>
      <c r="AE14" s="111">
        <f t="shared" si="6"/>
        <v>7</v>
      </c>
      <c r="AF14" s="111">
        <f t="shared" si="7"/>
        <v>7</v>
      </c>
      <c r="AG14" s="111">
        <f t="shared" si="8"/>
        <v>3</v>
      </c>
      <c r="AH14" s="47">
        <f>(8500+165+125+245)*1.012</f>
        <v>9143.42</v>
      </c>
      <c r="AI14" s="227">
        <f t="shared" si="9"/>
        <v>0</v>
      </c>
      <c r="AJ14" s="227">
        <f t="shared" si="10"/>
        <v>14</v>
      </c>
      <c r="AK14" s="227">
        <f t="shared" si="11"/>
        <v>3</v>
      </c>
      <c r="AL14" s="227">
        <v>42</v>
      </c>
      <c r="AM14" s="227">
        <f t="shared" si="12"/>
        <v>14</v>
      </c>
      <c r="AN14" s="227">
        <f t="shared" si="13"/>
        <v>16</v>
      </c>
      <c r="AO14" s="227">
        <f t="shared" si="14"/>
        <v>1</v>
      </c>
      <c r="AP14" s="66">
        <f>SUM(AI14:AO14)</f>
        <v>90</v>
      </c>
      <c r="AQ14" s="110"/>
    </row>
    <row r="15" spans="1:45" x14ac:dyDescent="0.25">
      <c r="A15" t="s">
        <v>33</v>
      </c>
      <c r="B15" s="15" t="s">
        <v>70</v>
      </c>
      <c r="C15" s="3" t="s">
        <v>294</v>
      </c>
      <c r="D15" s="3" t="s">
        <v>322</v>
      </c>
      <c r="E15" s="3">
        <v>19</v>
      </c>
      <c r="F15" s="3">
        <v>55</v>
      </c>
      <c r="G15" s="216">
        <v>0</v>
      </c>
      <c r="H15" s="131">
        <v>3</v>
      </c>
      <c r="I15" s="216">
        <v>5</v>
      </c>
      <c r="J15" s="131">
        <v>10.199999999999999</v>
      </c>
      <c r="K15" s="216">
        <v>5</v>
      </c>
      <c r="L15" s="131">
        <v>7</v>
      </c>
      <c r="M15" s="216">
        <v>3</v>
      </c>
      <c r="N15" s="47">
        <v>1050</v>
      </c>
      <c r="O15" s="227">
        <v>0</v>
      </c>
      <c r="P15" s="227">
        <v>3</v>
      </c>
      <c r="Q15" s="227">
        <v>9</v>
      </c>
      <c r="R15" s="195">
        <v>23</v>
      </c>
      <c r="S15" s="195">
        <v>7</v>
      </c>
      <c r="T15" s="195">
        <v>16</v>
      </c>
      <c r="U15" s="195">
        <v>1</v>
      </c>
      <c r="V15" s="66">
        <f>SUM(O15:U15)</f>
        <v>59</v>
      </c>
      <c r="X15" t="s">
        <v>33</v>
      </c>
      <c r="Y15" s="3">
        <v>20</v>
      </c>
      <c r="Z15" s="3">
        <f>F15+(7*$AR$10)-112</f>
        <v>83</v>
      </c>
      <c r="AA15" s="111">
        <f t="shared" si="3"/>
        <v>0</v>
      </c>
      <c r="AB15" s="111">
        <f t="shared" si="4"/>
        <v>3</v>
      </c>
      <c r="AC15" s="111">
        <f t="shared" si="5"/>
        <v>5</v>
      </c>
      <c r="AD15" s="111">
        <f>13+5/6</f>
        <v>13.833333333333334</v>
      </c>
      <c r="AE15" s="111">
        <f t="shared" si="6"/>
        <v>5</v>
      </c>
      <c r="AF15" s="111">
        <f t="shared" si="7"/>
        <v>7</v>
      </c>
      <c r="AG15" s="111">
        <f t="shared" si="8"/>
        <v>3</v>
      </c>
      <c r="AH15" s="47">
        <f>(10500+135+135+245)*1.012</f>
        <v>11147.18</v>
      </c>
      <c r="AI15" s="227">
        <f t="shared" si="9"/>
        <v>0</v>
      </c>
      <c r="AJ15" s="227">
        <f t="shared" si="10"/>
        <v>3</v>
      </c>
      <c r="AK15" s="227">
        <f t="shared" si="11"/>
        <v>9</v>
      </c>
      <c r="AL15" s="227">
        <v>46</v>
      </c>
      <c r="AM15" s="227">
        <f t="shared" si="12"/>
        <v>7</v>
      </c>
      <c r="AN15" s="227">
        <f t="shared" si="13"/>
        <v>16</v>
      </c>
      <c r="AO15" s="227">
        <f t="shared" si="14"/>
        <v>1</v>
      </c>
      <c r="AP15" s="66">
        <f>SUM(AI15:AO15)</f>
        <v>82</v>
      </c>
      <c r="AQ15" s="110"/>
    </row>
    <row r="16" spans="1:45" x14ac:dyDescent="0.25">
      <c r="A16" t="s">
        <v>41</v>
      </c>
      <c r="B16" s="15" t="s">
        <v>43</v>
      </c>
      <c r="C16" s="3"/>
      <c r="D16" s="3"/>
      <c r="E16" s="3"/>
      <c r="F16" s="3"/>
      <c r="G16" s="216">
        <v>0</v>
      </c>
      <c r="H16" s="131">
        <v>2</v>
      </c>
      <c r="I16" s="216">
        <v>2</v>
      </c>
      <c r="J16" s="131">
        <v>2</v>
      </c>
      <c r="K16" s="216">
        <v>2</v>
      </c>
      <c r="L16" s="131">
        <v>2</v>
      </c>
      <c r="M16" s="216">
        <v>2</v>
      </c>
      <c r="N16" s="47"/>
      <c r="O16" s="227">
        <v>0</v>
      </c>
      <c r="P16" s="227">
        <v>0</v>
      </c>
      <c r="Q16" s="227">
        <v>0</v>
      </c>
      <c r="R16" s="195">
        <v>0</v>
      </c>
      <c r="S16" s="195">
        <v>0</v>
      </c>
      <c r="T16" s="195">
        <v>0</v>
      </c>
      <c r="U16" s="195">
        <v>0</v>
      </c>
      <c r="V16" s="66">
        <f>SUM(O16:U16)</f>
        <v>0</v>
      </c>
      <c r="X16" t="s">
        <v>41</v>
      </c>
      <c r="Y16" s="3"/>
      <c r="Z16" s="3"/>
      <c r="AA16" s="111">
        <f t="shared" si="3"/>
        <v>0</v>
      </c>
      <c r="AB16" s="111">
        <f t="shared" si="4"/>
        <v>2</v>
      </c>
      <c r="AC16" s="111">
        <f t="shared" si="5"/>
        <v>2</v>
      </c>
      <c r="AD16" s="111">
        <f t="shared" si="15"/>
        <v>2</v>
      </c>
      <c r="AE16" s="111">
        <f t="shared" si="6"/>
        <v>2</v>
      </c>
      <c r="AF16" s="111">
        <f t="shared" si="7"/>
        <v>2</v>
      </c>
      <c r="AG16" s="111">
        <f t="shared" si="8"/>
        <v>2</v>
      </c>
      <c r="AH16" s="47"/>
      <c r="AI16" s="227">
        <f t="shared" si="9"/>
        <v>0</v>
      </c>
      <c r="AJ16" s="227">
        <f t="shared" si="10"/>
        <v>0</v>
      </c>
      <c r="AK16" s="227">
        <f t="shared" si="11"/>
        <v>0</v>
      </c>
      <c r="AL16" s="227">
        <f t="shared" si="16"/>
        <v>0</v>
      </c>
      <c r="AM16" s="227">
        <f t="shared" si="12"/>
        <v>0</v>
      </c>
      <c r="AN16" s="227">
        <f t="shared" si="13"/>
        <v>0</v>
      </c>
      <c r="AO16" s="227">
        <f t="shared" si="14"/>
        <v>0</v>
      </c>
      <c r="AP16" s="66">
        <f>SUM(AI16:AO16)</f>
        <v>0</v>
      </c>
      <c r="AQ16" s="110"/>
    </row>
    <row r="17" spans="1:45" x14ac:dyDescent="0.25">
      <c r="A17" t="s">
        <v>45</v>
      </c>
      <c r="B17" s="15" t="s">
        <v>43</v>
      </c>
      <c r="C17" s="3"/>
      <c r="D17" s="3"/>
      <c r="E17" s="3"/>
      <c r="F17" s="3"/>
      <c r="G17" s="216">
        <v>0</v>
      </c>
      <c r="H17" s="131">
        <v>2</v>
      </c>
      <c r="I17" s="216">
        <v>2</v>
      </c>
      <c r="J17" s="131">
        <v>2</v>
      </c>
      <c r="K17" s="216">
        <v>2</v>
      </c>
      <c r="L17" s="131">
        <v>2</v>
      </c>
      <c r="M17" s="216">
        <v>2</v>
      </c>
      <c r="N17" s="47"/>
      <c r="O17" s="227">
        <v>0</v>
      </c>
      <c r="P17" s="227">
        <v>0</v>
      </c>
      <c r="Q17" s="227">
        <v>0</v>
      </c>
      <c r="R17" s="195">
        <v>0</v>
      </c>
      <c r="S17" s="195">
        <v>0</v>
      </c>
      <c r="T17" s="195">
        <v>0</v>
      </c>
      <c r="U17" s="195">
        <v>0</v>
      </c>
      <c r="V17" s="66">
        <f>SUM(O17:U17)</f>
        <v>0</v>
      </c>
      <c r="X17" t="s">
        <v>45</v>
      </c>
      <c r="Y17" s="3"/>
      <c r="Z17" s="3"/>
      <c r="AA17" s="111">
        <f t="shared" si="3"/>
        <v>0</v>
      </c>
      <c r="AB17" s="111">
        <f t="shared" si="4"/>
        <v>2</v>
      </c>
      <c r="AC17" s="111">
        <f t="shared" si="5"/>
        <v>2</v>
      </c>
      <c r="AD17" s="111">
        <f t="shared" si="15"/>
        <v>2</v>
      </c>
      <c r="AE17" s="111">
        <f t="shared" si="6"/>
        <v>2</v>
      </c>
      <c r="AF17" s="111">
        <f t="shared" si="7"/>
        <v>2</v>
      </c>
      <c r="AG17" s="111">
        <f t="shared" si="8"/>
        <v>2</v>
      </c>
      <c r="AH17" s="47"/>
      <c r="AI17" s="227">
        <f t="shared" si="9"/>
        <v>0</v>
      </c>
      <c r="AJ17" s="227">
        <f t="shared" si="10"/>
        <v>0</v>
      </c>
      <c r="AK17" s="227">
        <f t="shared" si="11"/>
        <v>0</v>
      </c>
      <c r="AL17" s="227">
        <f t="shared" si="16"/>
        <v>0</v>
      </c>
      <c r="AM17" s="227">
        <f t="shared" si="12"/>
        <v>0</v>
      </c>
      <c r="AN17" s="227">
        <f t="shared" si="13"/>
        <v>0</v>
      </c>
      <c r="AO17" s="227">
        <f t="shared" si="14"/>
        <v>0</v>
      </c>
      <c r="AP17" s="66">
        <f>SUM(AI17:AO17)</f>
        <v>0</v>
      </c>
      <c r="AQ17" s="110"/>
    </row>
    <row r="18" spans="1:45" x14ac:dyDescent="0.25">
      <c r="A18" t="s">
        <v>323</v>
      </c>
      <c r="B18" s="15" t="s">
        <v>43</v>
      </c>
      <c r="C18" s="3"/>
      <c r="D18" s="3"/>
      <c r="E18" s="3"/>
      <c r="F18" s="3"/>
      <c r="G18" s="216">
        <v>0</v>
      </c>
      <c r="H18" s="131">
        <v>2</v>
      </c>
      <c r="I18" s="216">
        <v>2</v>
      </c>
      <c r="J18" s="131">
        <v>2</v>
      </c>
      <c r="K18" s="216">
        <v>2</v>
      </c>
      <c r="L18" s="131">
        <v>2</v>
      </c>
      <c r="M18" s="216">
        <v>2</v>
      </c>
      <c r="N18" s="47"/>
      <c r="O18" s="227">
        <v>0</v>
      </c>
      <c r="P18" s="227">
        <v>0</v>
      </c>
      <c r="Q18" s="227">
        <v>0</v>
      </c>
      <c r="R18" s="195">
        <v>0</v>
      </c>
      <c r="S18" s="195">
        <v>0</v>
      </c>
      <c r="T18" s="195">
        <v>0</v>
      </c>
      <c r="U18" s="195">
        <v>0</v>
      </c>
      <c r="V18" s="66">
        <f>SUM(O18:U18)</f>
        <v>0</v>
      </c>
      <c r="X18" t="s">
        <v>323</v>
      </c>
      <c r="Y18" s="3"/>
      <c r="Z18" s="3"/>
      <c r="AA18" s="111">
        <f t="shared" si="3"/>
        <v>0</v>
      </c>
      <c r="AB18" s="111">
        <f t="shared" si="4"/>
        <v>2</v>
      </c>
      <c r="AC18" s="111">
        <f t="shared" si="5"/>
        <v>2</v>
      </c>
      <c r="AD18" s="111">
        <f t="shared" si="15"/>
        <v>2</v>
      </c>
      <c r="AE18" s="111">
        <f t="shared" si="6"/>
        <v>2</v>
      </c>
      <c r="AF18" s="111">
        <f t="shared" si="7"/>
        <v>2</v>
      </c>
      <c r="AG18" s="111">
        <f t="shared" si="8"/>
        <v>2</v>
      </c>
      <c r="AH18" s="47"/>
      <c r="AI18" s="227">
        <f t="shared" si="9"/>
        <v>0</v>
      </c>
      <c r="AJ18" s="227">
        <f t="shared" si="10"/>
        <v>0</v>
      </c>
      <c r="AK18" s="227">
        <f t="shared" si="11"/>
        <v>0</v>
      </c>
      <c r="AL18" s="227">
        <f t="shared" si="16"/>
        <v>0</v>
      </c>
      <c r="AM18" s="227">
        <f t="shared" si="12"/>
        <v>0</v>
      </c>
      <c r="AN18" s="227">
        <f t="shared" si="13"/>
        <v>0</v>
      </c>
      <c r="AO18" s="227">
        <f t="shared" si="14"/>
        <v>0</v>
      </c>
      <c r="AP18" s="66">
        <f>SUM(AI18:AO18)</f>
        <v>0</v>
      </c>
      <c r="AQ18" s="110"/>
    </row>
    <row r="19" spans="1:45" x14ac:dyDescent="0.25">
      <c r="N19" s="196">
        <f>SUM(N21:N35)</f>
        <v>103349.28</v>
      </c>
      <c r="AH19" s="196">
        <f>SUM(AH21:AH35)</f>
        <v>186006.49999999997</v>
      </c>
      <c r="AQ19" s="110"/>
    </row>
    <row r="20" spans="1:45" x14ac:dyDescent="0.25">
      <c r="A20" s="10" t="s">
        <v>169</v>
      </c>
      <c r="B20" s="10" t="s">
        <v>2</v>
      </c>
      <c r="C20" s="10" t="s">
        <v>83</v>
      </c>
      <c r="D20" s="10" t="str">
        <f>D2</f>
        <v>Nombre</v>
      </c>
      <c r="E20" s="10" t="str">
        <f>E2</f>
        <v>Año</v>
      </c>
      <c r="F20" s="10" t="str">
        <f>F2</f>
        <v>Dia</v>
      </c>
      <c r="G20" s="10" t="s">
        <v>15</v>
      </c>
      <c r="H20" s="10" t="s">
        <v>16</v>
      </c>
      <c r="I20" s="10" t="s">
        <v>17</v>
      </c>
      <c r="J20" s="10" t="s">
        <v>18</v>
      </c>
      <c r="K20" s="10" t="s">
        <v>19</v>
      </c>
      <c r="L20" s="10" t="s">
        <v>20</v>
      </c>
      <c r="M20" s="10" t="s">
        <v>6</v>
      </c>
      <c r="N20" s="10" t="s">
        <v>67</v>
      </c>
      <c r="O20" s="10" t="s">
        <v>312</v>
      </c>
      <c r="P20" s="10" t="s">
        <v>313</v>
      </c>
      <c r="Q20" s="10" t="s">
        <v>314</v>
      </c>
      <c r="R20" s="10" t="s">
        <v>315</v>
      </c>
      <c r="S20" s="10" t="s">
        <v>316</v>
      </c>
      <c r="T20" s="10" t="s">
        <v>317</v>
      </c>
      <c r="U20" s="10" t="s">
        <v>318</v>
      </c>
      <c r="V20" s="10" t="s">
        <v>319</v>
      </c>
      <c r="X20" s="10" t="s">
        <v>169</v>
      </c>
      <c r="Y20" s="10" t="str">
        <f>Y2</f>
        <v>Año</v>
      </c>
      <c r="Z20" s="10" t="str">
        <f>Z2</f>
        <v>Dia</v>
      </c>
      <c r="AA20" s="10" t="s">
        <v>15</v>
      </c>
      <c r="AB20" s="10" t="s">
        <v>16</v>
      </c>
      <c r="AC20" s="10" t="s">
        <v>17</v>
      </c>
      <c r="AD20" s="10" t="s">
        <v>18</v>
      </c>
      <c r="AE20" s="10" t="s">
        <v>19</v>
      </c>
      <c r="AF20" s="10" t="s">
        <v>20</v>
      </c>
      <c r="AG20" s="10" t="s">
        <v>6</v>
      </c>
      <c r="AH20" s="10" t="s">
        <v>67</v>
      </c>
      <c r="AI20" s="10" t="s">
        <v>312</v>
      </c>
      <c r="AJ20" s="10" t="s">
        <v>313</v>
      </c>
      <c r="AK20" s="10" t="s">
        <v>314</v>
      </c>
      <c r="AL20" s="10" t="s">
        <v>315</v>
      </c>
      <c r="AM20" s="10" t="s">
        <v>316</v>
      </c>
      <c r="AN20" s="10" t="s">
        <v>317</v>
      </c>
      <c r="AO20" s="10" t="s">
        <v>318</v>
      </c>
      <c r="AP20" s="10" t="s">
        <v>319</v>
      </c>
      <c r="AQ20" s="110"/>
    </row>
    <row r="21" spans="1:45" x14ac:dyDescent="0.25">
      <c r="A21" t="s">
        <v>28</v>
      </c>
      <c r="B21" s="15" t="s">
        <v>27</v>
      </c>
      <c r="C21" s="18"/>
      <c r="D21" s="18" t="s">
        <v>71</v>
      </c>
      <c r="E21" s="18">
        <v>20</v>
      </c>
      <c r="F21" s="18">
        <v>50</v>
      </c>
      <c r="G21" s="111">
        <v>16</v>
      </c>
      <c r="H21" s="111">
        <v>4</v>
      </c>
      <c r="I21" s="111">
        <f t="shared" ref="I21:L21" si="18">AC3</f>
        <v>0</v>
      </c>
      <c r="J21" s="111">
        <f t="shared" si="18"/>
        <v>0</v>
      </c>
      <c r="K21" s="111">
        <f t="shared" si="18"/>
        <v>0</v>
      </c>
      <c r="L21" s="111">
        <f t="shared" si="18"/>
        <v>0</v>
      </c>
      <c r="M21" s="111">
        <v>4</v>
      </c>
      <c r="N21" s="47">
        <f>(31720+125)*1.012</f>
        <v>32227.14</v>
      </c>
      <c r="O21" s="227">
        <v>62</v>
      </c>
      <c r="P21" s="227">
        <v>6</v>
      </c>
      <c r="Q21" s="227">
        <f t="shared" ref="Q21:T21" si="19">AK3</f>
        <v>0</v>
      </c>
      <c r="R21" s="227">
        <f t="shared" si="19"/>
        <v>0</v>
      </c>
      <c r="S21" s="227">
        <f t="shared" si="19"/>
        <v>0</v>
      </c>
      <c r="T21" s="227">
        <f t="shared" si="19"/>
        <v>0</v>
      </c>
      <c r="U21" s="227">
        <v>2</v>
      </c>
      <c r="V21" s="66">
        <f>SUM(O21:U21)</f>
        <v>70</v>
      </c>
      <c r="X21" t="s">
        <v>28</v>
      </c>
      <c r="Y21" s="18">
        <v>23</v>
      </c>
      <c r="Z21" s="18">
        <f>F21+(AR25*7)-112-112-112</f>
        <v>1</v>
      </c>
      <c r="AA21" s="111">
        <f>G21</f>
        <v>16</v>
      </c>
      <c r="AB21" s="111">
        <v>11.1</v>
      </c>
      <c r="AC21" s="111">
        <f t="shared" ref="AC21:AG36" si="20">I21</f>
        <v>0</v>
      </c>
      <c r="AD21" s="111">
        <f t="shared" si="20"/>
        <v>0</v>
      </c>
      <c r="AE21" s="111">
        <f t="shared" si="20"/>
        <v>0</v>
      </c>
      <c r="AF21" s="111">
        <f t="shared" si="20"/>
        <v>0</v>
      </c>
      <c r="AG21" s="111">
        <f t="shared" si="20"/>
        <v>4</v>
      </c>
      <c r="AH21" s="47">
        <f>(31720+2300)*1.012</f>
        <v>34428.239999999998</v>
      </c>
      <c r="AI21" s="227">
        <f>O21</f>
        <v>62</v>
      </c>
      <c r="AJ21" s="227">
        <f t="shared" ref="AJ21:AJ28" si="21">P21+$AR$25</f>
        <v>47</v>
      </c>
      <c r="AK21" s="227">
        <f t="shared" ref="AK21:AO21" si="22">Q21</f>
        <v>0</v>
      </c>
      <c r="AL21" s="227">
        <f t="shared" si="22"/>
        <v>0</v>
      </c>
      <c r="AM21" s="227">
        <f t="shared" si="22"/>
        <v>0</v>
      </c>
      <c r="AN21" s="227">
        <f t="shared" si="22"/>
        <v>0</v>
      </c>
      <c r="AO21" s="227">
        <f t="shared" si="22"/>
        <v>2</v>
      </c>
      <c r="AP21" s="66">
        <f>SUM(AI21:AO21)</f>
        <v>111</v>
      </c>
      <c r="AQ21" s="110"/>
    </row>
    <row r="22" spans="1:45" x14ac:dyDescent="0.25">
      <c r="A22" t="s">
        <v>31</v>
      </c>
      <c r="B22" s="15" t="s">
        <v>29</v>
      </c>
      <c r="C22" s="3" t="s">
        <v>69</v>
      </c>
      <c r="D22" s="3" t="s">
        <v>365</v>
      </c>
      <c r="E22" s="18">
        <f t="shared" ref="E22:G22" si="23">Y4</f>
        <v>20</v>
      </c>
      <c r="F22" s="18">
        <f t="shared" si="23"/>
        <v>97</v>
      </c>
      <c r="G22" s="111">
        <f t="shared" si="23"/>
        <v>0</v>
      </c>
      <c r="H22" s="111">
        <f t="shared" ref="H22:H36" si="24">AB4</f>
        <v>6</v>
      </c>
      <c r="I22" s="111">
        <f t="shared" ref="I22:I36" si="25">AC4</f>
        <v>5</v>
      </c>
      <c r="J22" s="111">
        <f t="shared" ref="J22:J36" si="26">AD4</f>
        <v>11.6</v>
      </c>
      <c r="K22" s="111">
        <f t="shared" ref="K22:K36" si="27">AE4</f>
        <v>6</v>
      </c>
      <c r="L22" s="111">
        <f t="shared" ref="L22:L36" si="28">AF4</f>
        <v>8</v>
      </c>
      <c r="M22" s="111">
        <f t="shared" ref="M22:M36" si="29">AG4</f>
        <v>0</v>
      </c>
      <c r="N22" s="47">
        <f t="shared" ref="N22:N33" si="30">AH4</f>
        <v>4450</v>
      </c>
      <c r="O22" s="227">
        <f t="shared" ref="O22:O36" si="31">AI4</f>
        <v>0</v>
      </c>
      <c r="P22" s="227">
        <f t="shared" ref="P22:P36" si="32">AJ4</f>
        <v>14</v>
      </c>
      <c r="Q22" s="227">
        <f t="shared" ref="Q22:Q36" si="33">AK4</f>
        <v>9</v>
      </c>
      <c r="R22" s="227">
        <f t="shared" ref="R22:R36" si="34">AL4</f>
        <v>31</v>
      </c>
      <c r="S22" s="227">
        <f t="shared" ref="S22:S36" si="35">AM4</f>
        <v>10</v>
      </c>
      <c r="T22" s="227">
        <f t="shared" ref="T22:T36" si="36">AN4</f>
        <v>21</v>
      </c>
      <c r="U22" s="227">
        <f t="shared" ref="U22:U36" si="37">AO4</f>
        <v>0</v>
      </c>
      <c r="V22" s="66">
        <f>SUM(O22:U22)</f>
        <v>85</v>
      </c>
      <c r="X22" t="s">
        <v>31</v>
      </c>
      <c r="Y22" s="18">
        <v>23</v>
      </c>
      <c r="Z22" s="18">
        <f t="shared" ref="Z22:Z28" si="38">F22+($AR$25*7)-112-112-112</f>
        <v>48</v>
      </c>
      <c r="AA22" s="111">
        <f t="shared" ref="AA22:AB36" si="39">G22</f>
        <v>0</v>
      </c>
      <c r="AB22" s="111">
        <v>11.9</v>
      </c>
      <c r="AC22" s="111">
        <f t="shared" si="20"/>
        <v>5</v>
      </c>
      <c r="AD22" s="111">
        <f t="shared" si="20"/>
        <v>11.6</v>
      </c>
      <c r="AE22" s="111">
        <f t="shared" si="20"/>
        <v>6</v>
      </c>
      <c r="AF22" s="111">
        <f t="shared" si="20"/>
        <v>8</v>
      </c>
      <c r="AG22" s="111">
        <f t="shared" si="20"/>
        <v>0</v>
      </c>
      <c r="AH22" s="47">
        <f>(6750+135+1800+135+405)*1</f>
        <v>9225</v>
      </c>
      <c r="AI22" s="227">
        <f t="shared" ref="AI22:AI36" si="40">O22</f>
        <v>0</v>
      </c>
      <c r="AJ22" s="227">
        <f t="shared" si="21"/>
        <v>55</v>
      </c>
      <c r="AK22" s="227">
        <f t="shared" ref="AK22:AK36" si="41">Q22</f>
        <v>9</v>
      </c>
      <c r="AL22" s="227">
        <f t="shared" ref="AL22:AL36" si="42">R22</f>
        <v>31</v>
      </c>
      <c r="AM22" s="227">
        <f t="shared" ref="AM22:AM36" si="43">S22</f>
        <v>10</v>
      </c>
      <c r="AN22" s="227">
        <f t="shared" ref="AN22:AN36" si="44">T22</f>
        <v>21</v>
      </c>
      <c r="AO22" s="227">
        <f t="shared" ref="AO22:AO36" si="45">U22</f>
        <v>0</v>
      </c>
      <c r="AP22" s="66">
        <f>SUM(AI22:AO22)</f>
        <v>126</v>
      </c>
      <c r="AQ22" s="110"/>
    </row>
    <row r="23" spans="1:45" x14ac:dyDescent="0.25">
      <c r="A23" t="s">
        <v>32</v>
      </c>
      <c r="B23" s="15" t="s">
        <v>29</v>
      </c>
      <c r="C23" s="3" t="s">
        <v>464</v>
      </c>
      <c r="D23" s="3" t="s">
        <v>325</v>
      </c>
      <c r="E23" s="18">
        <v>20</v>
      </c>
      <c r="F23" s="18">
        <v>50</v>
      </c>
      <c r="G23" s="111">
        <f t="shared" ref="G23:G36" si="46">AA5</f>
        <v>0</v>
      </c>
      <c r="H23" s="111">
        <v>11</v>
      </c>
      <c r="I23" s="111">
        <v>5</v>
      </c>
      <c r="J23" s="111">
        <f t="shared" si="26"/>
        <v>2</v>
      </c>
      <c r="K23" s="111">
        <v>8</v>
      </c>
      <c r="L23" s="111">
        <v>4</v>
      </c>
      <c r="M23" s="111">
        <f t="shared" si="29"/>
        <v>2</v>
      </c>
      <c r="N23" s="47">
        <f>(4090+135+135+125)*1.008</f>
        <v>4520.88</v>
      </c>
      <c r="O23" s="227">
        <f t="shared" si="31"/>
        <v>0</v>
      </c>
      <c r="P23" s="227">
        <v>46</v>
      </c>
      <c r="Q23" s="227">
        <v>9</v>
      </c>
      <c r="R23" s="227">
        <f t="shared" si="34"/>
        <v>0</v>
      </c>
      <c r="S23" s="227">
        <v>18</v>
      </c>
      <c r="T23" s="227">
        <v>5</v>
      </c>
      <c r="U23" s="227">
        <f t="shared" si="37"/>
        <v>0</v>
      </c>
      <c r="V23" s="66">
        <f>SUM(O23:U23)</f>
        <v>78</v>
      </c>
      <c r="X23" t="s">
        <v>32</v>
      </c>
      <c r="Y23" s="18">
        <v>23</v>
      </c>
      <c r="Z23" s="18">
        <f t="shared" si="38"/>
        <v>1</v>
      </c>
      <c r="AA23" s="111">
        <f t="shared" si="39"/>
        <v>0</v>
      </c>
      <c r="AB23" s="111">
        <f>14+8/16</f>
        <v>14.5</v>
      </c>
      <c r="AC23" s="111">
        <f t="shared" si="20"/>
        <v>5</v>
      </c>
      <c r="AD23" s="111">
        <f t="shared" si="20"/>
        <v>2</v>
      </c>
      <c r="AE23" s="111">
        <f t="shared" si="20"/>
        <v>8</v>
      </c>
      <c r="AF23" s="111">
        <f t="shared" si="20"/>
        <v>4</v>
      </c>
      <c r="AG23" s="111">
        <f t="shared" si="20"/>
        <v>2</v>
      </c>
      <c r="AH23" s="47">
        <f>(22685+135+135+125)*1.008</f>
        <v>23264.639999999999</v>
      </c>
      <c r="AI23" s="227">
        <f t="shared" si="40"/>
        <v>0</v>
      </c>
      <c r="AJ23" s="227">
        <f t="shared" si="21"/>
        <v>87</v>
      </c>
      <c r="AK23" s="227">
        <f t="shared" si="41"/>
        <v>9</v>
      </c>
      <c r="AL23" s="227">
        <f t="shared" si="42"/>
        <v>0</v>
      </c>
      <c r="AM23" s="227">
        <f t="shared" si="43"/>
        <v>18</v>
      </c>
      <c r="AN23" s="227">
        <f t="shared" si="44"/>
        <v>5</v>
      </c>
      <c r="AO23" s="227">
        <f t="shared" si="45"/>
        <v>0</v>
      </c>
      <c r="AP23" s="66">
        <f>SUM(AI23:AO23)</f>
        <v>119</v>
      </c>
      <c r="AQ23" s="110"/>
    </row>
    <row r="24" spans="1:45" x14ac:dyDescent="0.25">
      <c r="A24" t="s">
        <v>38</v>
      </c>
      <c r="B24" s="15" t="s">
        <v>29</v>
      </c>
      <c r="C24" s="3" t="s">
        <v>464</v>
      </c>
      <c r="D24" s="3" t="s">
        <v>325</v>
      </c>
      <c r="E24" s="18">
        <v>20</v>
      </c>
      <c r="F24" s="18">
        <v>50</v>
      </c>
      <c r="G24" s="111">
        <f t="shared" ref="G24:G26" si="47">AA6</f>
        <v>0</v>
      </c>
      <c r="H24" s="111">
        <v>11</v>
      </c>
      <c r="I24" s="111">
        <v>5</v>
      </c>
      <c r="J24" s="111">
        <f t="shared" ref="J24:J26" si="48">AD6</f>
        <v>2</v>
      </c>
      <c r="K24" s="111">
        <v>8</v>
      </c>
      <c r="L24" s="111">
        <v>4</v>
      </c>
      <c r="M24" s="111">
        <f t="shared" ref="M24:M26" si="49">AG6</f>
        <v>2</v>
      </c>
      <c r="N24" s="47">
        <f>(4090+135+135+125)*1.008</f>
        <v>4520.88</v>
      </c>
      <c r="O24" s="227">
        <f t="shared" ref="O24:O26" si="50">AI6</f>
        <v>0</v>
      </c>
      <c r="P24" s="227">
        <v>46</v>
      </c>
      <c r="Q24" s="227">
        <v>9</v>
      </c>
      <c r="R24" s="227">
        <f t="shared" ref="R24:R26" si="51">AL6</f>
        <v>0</v>
      </c>
      <c r="S24" s="227">
        <v>18</v>
      </c>
      <c r="T24" s="227">
        <v>5</v>
      </c>
      <c r="U24" s="227">
        <f t="shared" ref="U24:U26" si="52">AO6</f>
        <v>0</v>
      </c>
      <c r="V24" s="66">
        <f>SUM(O24:U24)</f>
        <v>78</v>
      </c>
      <c r="X24" t="s">
        <v>38</v>
      </c>
      <c r="Y24" s="18">
        <v>23</v>
      </c>
      <c r="Z24" s="18">
        <f t="shared" si="38"/>
        <v>1</v>
      </c>
      <c r="AA24" s="111">
        <f t="shared" si="39"/>
        <v>0</v>
      </c>
      <c r="AB24" s="111">
        <f>14+8/16</f>
        <v>14.5</v>
      </c>
      <c r="AC24" s="111">
        <f t="shared" si="20"/>
        <v>5</v>
      </c>
      <c r="AD24" s="111">
        <f t="shared" si="20"/>
        <v>2</v>
      </c>
      <c r="AE24" s="111">
        <f t="shared" si="20"/>
        <v>8</v>
      </c>
      <c r="AF24" s="111">
        <f t="shared" si="20"/>
        <v>4</v>
      </c>
      <c r="AG24" s="111">
        <f t="shared" si="20"/>
        <v>2</v>
      </c>
      <c r="AH24" s="47">
        <f>(22685+135+135+125)*1.008</f>
        <v>23264.639999999999</v>
      </c>
      <c r="AI24" s="227">
        <f t="shared" si="40"/>
        <v>0</v>
      </c>
      <c r="AJ24" s="227">
        <f t="shared" si="21"/>
        <v>87</v>
      </c>
      <c r="AK24" s="227">
        <f t="shared" si="41"/>
        <v>9</v>
      </c>
      <c r="AL24" s="227">
        <f t="shared" si="42"/>
        <v>0</v>
      </c>
      <c r="AM24" s="227">
        <f t="shared" si="43"/>
        <v>18</v>
      </c>
      <c r="AN24" s="227">
        <f t="shared" si="44"/>
        <v>5</v>
      </c>
      <c r="AO24" s="227">
        <f t="shared" si="45"/>
        <v>0</v>
      </c>
      <c r="AP24" s="66">
        <f>SUM(AI24:AO24)</f>
        <v>119</v>
      </c>
      <c r="AQ24" s="110"/>
      <c r="AR24" t="s">
        <v>358</v>
      </c>
      <c r="AS24" t="s">
        <v>359</v>
      </c>
    </row>
    <row r="25" spans="1:45" x14ac:dyDescent="0.25">
      <c r="A25" t="s">
        <v>40</v>
      </c>
      <c r="B25" s="15" t="s">
        <v>29</v>
      </c>
      <c r="C25" s="3" t="s">
        <v>464</v>
      </c>
      <c r="D25" s="3" t="s">
        <v>325</v>
      </c>
      <c r="E25" s="18">
        <v>20</v>
      </c>
      <c r="F25" s="18">
        <v>50</v>
      </c>
      <c r="G25" s="111">
        <f t="shared" si="47"/>
        <v>0</v>
      </c>
      <c r="H25" s="111">
        <v>11</v>
      </c>
      <c r="I25" s="111">
        <v>5</v>
      </c>
      <c r="J25" s="111">
        <f t="shared" si="48"/>
        <v>2</v>
      </c>
      <c r="K25" s="111">
        <v>8</v>
      </c>
      <c r="L25" s="111">
        <v>4</v>
      </c>
      <c r="M25" s="111">
        <f t="shared" si="49"/>
        <v>2</v>
      </c>
      <c r="N25" s="47">
        <f>(4090+135+135+125)*1.008</f>
        <v>4520.88</v>
      </c>
      <c r="O25" s="227">
        <f t="shared" si="50"/>
        <v>0</v>
      </c>
      <c r="P25" s="227">
        <v>46</v>
      </c>
      <c r="Q25" s="227">
        <v>9</v>
      </c>
      <c r="R25" s="227">
        <f t="shared" si="51"/>
        <v>0</v>
      </c>
      <c r="S25" s="227">
        <v>18</v>
      </c>
      <c r="T25" s="227">
        <v>5</v>
      </c>
      <c r="U25" s="227">
        <f t="shared" si="52"/>
        <v>0</v>
      </c>
      <c r="V25" s="66">
        <f t="shared" ref="V25:V31" si="53">SUM(O25:U25)</f>
        <v>78</v>
      </c>
      <c r="X25" t="s">
        <v>40</v>
      </c>
      <c r="Y25" s="18">
        <v>23</v>
      </c>
      <c r="Z25" s="18">
        <f t="shared" si="38"/>
        <v>1</v>
      </c>
      <c r="AA25" s="111">
        <f t="shared" si="39"/>
        <v>0</v>
      </c>
      <c r="AB25" s="111">
        <f>14+8/16</f>
        <v>14.5</v>
      </c>
      <c r="AC25" s="111">
        <f t="shared" si="20"/>
        <v>5</v>
      </c>
      <c r="AD25" s="111">
        <f t="shared" si="20"/>
        <v>2</v>
      </c>
      <c r="AE25" s="111">
        <f t="shared" si="20"/>
        <v>8</v>
      </c>
      <c r="AF25" s="111">
        <f t="shared" si="20"/>
        <v>4</v>
      </c>
      <c r="AG25" s="111">
        <f t="shared" si="20"/>
        <v>2</v>
      </c>
      <c r="AH25" s="47">
        <f>(22685+135+135+125)*1.008</f>
        <v>23264.639999999999</v>
      </c>
      <c r="AI25" s="227">
        <f t="shared" si="40"/>
        <v>0</v>
      </c>
      <c r="AJ25" s="227">
        <f t="shared" si="21"/>
        <v>87</v>
      </c>
      <c r="AK25" s="227">
        <f t="shared" si="41"/>
        <v>9</v>
      </c>
      <c r="AL25" s="227">
        <f t="shared" si="42"/>
        <v>0</v>
      </c>
      <c r="AM25" s="227">
        <f t="shared" si="43"/>
        <v>18</v>
      </c>
      <c r="AN25" s="227">
        <f t="shared" si="44"/>
        <v>5</v>
      </c>
      <c r="AO25" s="227">
        <f t="shared" si="45"/>
        <v>0</v>
      </c>
      <c r="AP25" s="66">
        <f t="shared" ref="AP25:AP31" si="54">SUM(AI25:AO25)</f>
        <v>119</v>
      </c>
      <c r="AQ25" s="110" t="s">
        <v>29</v>
      </c>
      <c r="AR25">
        <f>33+8</f>
        <v>41</v>
      </c>
      <c r="AS25" s="37">
        <f>AR25/16</f>
        <v>2.5625</v>
      </c>
    </row>
    <row r="26" spans="1:45" x14ac:dyDescent="0.25">
      <c r="A26" t="s">
        <v>37</v>
      </c>
      <c r="B26" s="15" t="s">
        <v>29</v>
      </c>
      <c r="C26" s="3" t="s">
        <v>464</v>
      </c>
      <c r="D26" s="3" t="s">
        <v>325</v>
      </c>
      <c r="E26" s="18">
        <v>20</v>
      </c>
      <c r="F26" s="18">
        <v>50</v>
      </c>
      <c r="G26" s="111">
        <f t="shared" si="47"/>
        <v>0</v>
      </c>
      <c r="H26" s="111">
        <v>11</v>
      </c>
      <c r="I26" s="111">
        <v>5</v>
      </c>
      <c r="J26" s="111">
        <f t="shared" si="48"/>
        <v>2</v>
      </c>
      <c r="K26" s="111">
        <v>8</v>
      </c>
      <c r="L26" s="111">
        <v>4</v>
      </c>
      <c r="M26" s="111">
        <f t="shared" si="49"/>
        <v>2</v>
      </c>
      <c r="N26" s="47">
        <f>(4090+135+135+125)*1.008</f>
        <v>4520.88</v>
      </c>
      <c r="O26" s="227">
        <f t="shared" si="50"/>
        <v>0</v>
      </c>
      <c r="P26" s="227">
        <v>46</v>
      </c>
      <c r="Q26" s="227">
        <v>9</v>
      </c>
      <c r="R26" s="227">
        <f t="shared" si="51"/>
        <v>0</v>
      </c>
      <c r="S26" s="227">
        <v>18</v>
      </c>
      <c r="T26" s="227">
        <v>5</v>
      </c>
      <c r="U26" s="227">
        <f t="shared" si="52"/>
        <v>0</v>
      </c>
      <c r="V26" s="66">
        <f t="shared" si="53"/>
        <v>78</v>
      </c>
      <c r="X26" t="s">
        <v>37</v>
      </c>
      <c r="Y26" s="18">
        <v>23</v>
      </c>
      <c r="Z26" s="18">
        <f t="shared" si="38"/>
        <v>1</v>
      </c>
      <c r="AA26" s="111">
        <f t="shared" si="39"/>
        <v>0</v>
      </c>
      <c r="AB26" s="111">
        <f>14+8/16</f>
        <v>14.5</v>
      </c>
      <c r="AC26" s="111">
        <f t="shared" si="20"/>
        <v>5</v>
      </c>
      <c r="AD26" s="111">
        <f t="shared" si="20"/>
        <v>2</v>
      </c>
      <c r="AE26" s="111">
        <f t="shared" si="20"/>
        <v>8</v>
      </c>
      <c r="AF26" s="111">
        <f t="shared" si="20"/>
        <v>4</v>
      </c>
      <c r="AG26" s="111">
        <f t="shared" si="20"/>
        <v>2</v>
      </c>
      <c r="AH26" s="47">
        <f>(22685+135+135+125)*1.008</f>
        <v>23264.639999999999</v>
      </c>
      <c r="AI26" s="227">
        <f t="shared" si="40"/>
        <v>0</v>
      </c>
      <c r="AJ26" s="227">
        <f t="shared" si="21"/>
        <v>87</v>
      </c>
      <c r="AK26" s="227">
        <f t="shared" si="41"/>
        <v>9</v>
      </c>
      <c r="AL26" s="227">
        <f t="shared" si="42"/>
        <v>0</v>
      </c>
      <c r="AM26" s="227">
        <f t="shared" si="43"/>
        <v>18</v>
      </c>
      <c r="AN26" s="227">
        <f t="shared" si="44"/>
        <v>5</v>
      </c>
      <c r="AO26" s="227">
        <f t="shared" si="45"/>
        <v>0</v>
      </c>
      <c r="AP26" s="66">
        <f t="shared" si="54"/>
        <v>119</v>
      </c>
      <c r="AQ26" s="110"/>
    </row>
    <row r="27" spans="1:45" x14ac:dyDescent="0.25">
      <c r="A27" t="s">
        <v>34</v>
      </c>
      <c r="B27" s="15" t="s">
        <v>29</v>
      </c>
      <c r="C27" s="3" t="s">
        <v>294</v>
      </c>
      <c r="D27" s="3" t="s">
        <v>463</v>
      </c>
      <c r="E27" s="18">
        <f t="shared" ref="E27:F27" si="55">Y9</f>
        <v>20</v>
      </c>
      <c r="F27" s="18">
        <f t="shared" si="55"/>
        <v>87</v>
      </c>
      <c r="G27" s="111">
        <f t="shared" si="46"/>
        <v>0</v>
      </c>
      <c r="H27" s="111">
        <f t="shared" si="24"/>
        <v>8</v>
      </c>
      <c r="I27" s="111">
        <f t="shared" si="25"/>
        <v>4</v>
      </c>
      <c r="J27" s="111">
        <f t="shared" si="26"/>
        <v>13</v>
      </c>
      <c r="K27" s="111">
        <f t="shared" si="27"/>
        <v>4</v>
      </c>
      <c r="L27" s="111">
        <f t="shared" si="28"/>
        <v>7</v>
      </c>
      <c r="M27" s="111">
        <f t="shared" si="29"/>
        <v>3</v>
      </c>
      <c r="N27" s="47">
        <f t="shared" si="30"/>
        <v>8440.08</v>
      </c>
      <c r="O27" s="227">
        <f t="shared" si="31"/>
        <v>0</v>
      </c>
      <c r="P27" s="227">
        <f t="shared" si="32"/>
        <v>24</v>
      </c>
      <c r="Q27" s="227">
        <f t="shared" si="33"/>
        <v>6</v>
      </c>
      <c r="R27" s="227">
        <f t="shared" si="34"/>
        <v>40</v>
      </c>
      <c r="S27" s="227">
        <f t="shared" si="35"/>
        <v>4</v>
      </c>
      <c r="T27" s="227">
        <f t="shared" si="36"/>
        <v>16</v>
      </c>
      <c r="U27" s="227">
        <f t="shared" si="37"/>
        <v>1</v>
      </c>
      <c r="V27" s="66">
        <f t="shared" si="53"/>
        <v>91</v>
      </c>
      <c r="X27" t="s">
        <v>34</v>
      </c>
      <c r="Y27" s="18">
        <v>23</v>
      </c>
      <c r="Z27" s="18">
        <f t="shared" si="38"/>
        <v>38</v>
      </c>
      <c r="AA27" s="111">
        <f t="shared" si="39"/>
        <v>0</v>
      </c>
      <c r="AB27" s="111">
        <f>12+9/11</f>
        <v>12.818181818181818</v>
      </c>
      <c r="AC27" s="111">
        <f t="shared" si="20"/>
        <v>4</v>
      </c>
      <c r="AD27" s="111">
        <f t="shared" si="20"/>
        <v>13</v>
      </c>
      <c r="AE27" s="111">
        <f t="shared" si="20"/>
        <v>4</v>
      </c>
      <c r="AF27" s="111">
        <f t="shared" si="20"/>
        <v>7</v>
      </c>
      <c r="AG27" s="111">
        <f t="shared" si="20"/>
        <v>3</v>
      </c>
      <c r="AH27" s="47">
        <f>(7010+125+5300+125+245)*1.012</f>
        <v>12958.66</v>
      </c>
      <c r="AI27" s="227">
        <f t="shared" si="40"/>
        <v>0</v>
      </c>
      <c r="AJ27" s="227">
        <f t="shared" si="21"/>
        <v>65</v>
      </c>
      <c r="AK27" s="227">
        <f t="shared" si="41"/>
        <v>6</v>
      </c>
      <c r="AL27" s="227">
        <f t="shared" si="42"/>
        <v>40</v>
      </c>
      <c r="AM27" s="227">
        <f t="shared" si="43"/>
        <v>4</v>
      </c>
      <c r="AN27" s="227">
        <f t="shared" si="44"/>
        <v>16</v>
      </c>
      <c r="AO27" s="227">
        <f t="shared" si="45"/>
        <v>1</v>
      </c>
      <c r="AP27" s="66">
        <f t="shared" si="54"/>
        <v>132</v>
      </c>
      <c r="AQ27" s="110"/>
    </row>
    <row r="28" spans="1:45" x14ac:dyDescent="0.25">
      <c r="A28" t="s">
        <v>30</v>
      </c>
      <c r="B28" s="15" t="s">
        <v>29</v>
      </c>
      <c r="C28" s="3" t="s">
        <v>294</v>
      </c>
      <c r="D28" s="3" t="s">
        <v>321</v>
      </c>
      <c r="E28" s="18">
        <f t="shared" ref="E28:F28" si="56">Y10</f>
        <v>20</v>
      </c>
      <c r="F28" s="18">
        <f t="shared" si="56"/>
        <v>87</v>
      </c>
      <c r="G28" s="111">
        <f t="shared" si="46"/>
        <v>0</v>
      </c>
      <c r="H28" s="111">
        <f t="shared" si="24"/>
        <v>6</v>
      </c>
      <c r="I28" s="111">
        <f t="shared" si="25"/>
        <v>3</v>
      </c>
      <c r="J28" s="111">
        <f t="shared" si="26"/>
        <v>12</v>
      </c>
      <c r="K28" s="111">
        <f t="shared" si="27"/>
        <v>6</v>
      </c>
      <c r="L28" s="111">
        <f t="shared" si="28"/>
        <v>7</v>
      </c>
      <c r="M28" s="111">
        <f t="shared" si="29"/>
        <v>3</v>
      </c>
      <c r="N28" s="47">
        <f t="shared" si="30"/>
        <v>5085.3</v>
      </c>
      <c r="O28" s="227">
        <f t="shared" si="31"/>
        <v>0</v>
      </c>
      <c r="P28" s="227">
        <f t="shared" si="32"/>
        <v>14</v>
      </c>
      <c r="Q28" s="227">
        <f t="shared" si="33"/>
        <v>3</v>
      </c>
      <c r="R28" s="227">
        <f t="shared" si="34"/>
        <v>33</v>
      </c>
      <c r="S28" s="227">
        <f t="shared" si="35"/>
        <v>10</v>
      </c>
      <c r="T28" s="227">
        <f t="shared" si="36"/>
        <v>16</v>
      </c>
      <c r="U28" s="227">
        <f t="shared" si="37"/>
        <v>1</v>
      </c>
      <c r="V28" s="66">
        <f t="shared" si="53"/>
        <v>77</v>
      </c>
      <c r="X28" t="s">
        <v>30</v>
      </c>
      <c r="Y28" s="18">
        <v>23</v>
      </c>
      <c r="Z28" s="18">
        <f t="shared" si="38"/>
        <v>38</v>
      </c>
      <c r="AA28" s="111">
        <f t="shared" si="39"/>
        <v>0</v>
      </c>
      <c r="AB28" s="111">
        <f>AB22</f>
        <v>11.9</v>
      </c>
      <c r="AC28" s="111">
        <f t="shared" si="20"/>
        <v>3</v>
      </c>
      <c r="AD28" s="111">
        <f t="shared" si="20"/>
        <v>12</v>
      </c>
      <c r="AE28" s="111">
        <f t="shared" si="20"/>
        <v>6</v>
      </c>
      <c r="AF28" s="111">
        <f t="shared" si="20"/>
        <v>7</v>
      </c>
      <c r="AG28" s="111">
        <f t="shared" si="20"/>
        <v>3</v>
      </c>
      <c r="AH28" s="47">
        <f>(3590+3300+145+245)*1.012</f>
        <v>7367.36</v>
      </c>
      <c r="AI28" s="227">
        <f t="shared" si="40"/>
        <v>0</v>
      </c>
      <c r="AJ28" s="227">
        <f t="shared" si="21"/>
        <v>55</v>
      </c>
      <c r="AK28" s="227">
        <f t="shared" si="41"/>
        <v>3</v>
      </c>
      <c r="AL28" s="227">
        <f t="shared" si="42"/>
        <v>33</v>
      </c>
      <c r="AM28" s="227">
        <f t="shared" si="43"/>
        <v>10</v>
      </c>
      <c r="AN28" s="227">
        <f t="shared" si="44"/>
        <v>16</v>
      </c>
      <c r="AO28" s="227">
        <f t="shared" si="45"/>
        <v>1</v>
      </c>
      <c r="AP28" s="66">
        <f t="shared" si="54"/>
        <v>118</v>
      </c>
      <c r="AQ28" s="110"/>
    </row>
    <row r="29" spans="1:45" x14ac:dyDescent="0.25">
      <c r="A29" t="s">
        <v>42</v>
      </c>
      <c r="B29" s="15" t="s">
        <v>366</v>
      </c>
      <c r="C29" s="3"/>
      <c r="D29" s="3"/>
      <c r="E29" s="18"/>
      <c r="F29" s="18"/>
      <c r="G29" s="111">
        <f t="shared" si="46"/>
        <v>0</v>
      </c>
      <c r="H29" s="111">
        <f t="shared" si="24"/>
        <v>2</v>
      </c>
      <c r="I29" s="111">
        <f t="shared" si="25"/>
        <v>2</v>
      </c>
      <c r="J29" s="111">
        <f t="shared" si="26"/>
        <v>2</v>
      </c>
      <c r="K29" s="111">
        <f t="shared" si="27"/>
        <v>2</v>
      </c>
      <c r="L29" s="111">
        <f t="shared" si="28"/>
        <v>2</v>
      </c>
      <c r="M29" s="111">
        <f t="shared" si="29"/>
        <v>2</v>
      </c>
      <c r="N29" s="47"/>
      <c r="O29" s="227">
        <f t="shared" si="31"/>
        <v>0</v>
      </c>
      <c r="P29" s="227">
        <f t="shared" si="32"/>
        <v>0</v>
      </c>
      <c r="Q29" s="227">
        <f t="shared" si="33"/>
        <v>0</v>
      </c>
      <c r="R29" s="227">
        <f t="shared" si="34"/>
        <v>0</v>
      </c>
      <c r="S29" s="227">
        <f t="shared" si="35"/>
        <v>0</v>
      </c>
      <c r="T29" s="227">
        <f t="shared" si="36"/>
        <v>0</v>
      </c>
      <c r="U29" s="227">
        <f t="shared" si="37"/>
        <v>0</v>
      </c>
      <c r="V29" s="66">
        <f t="shared" si="53"/>
        <v>0</v>
      </c>
      <c r="X29" t="s">
        <v>42</v>
      </c>
      <c r="Y29" s="18"/>
      <c r="Z29" s="18"/>
      <c r="AA29" s="111">
        <f t="shared" si="39"/>
        <v>0</v>
      </c>
      <c r="AB29" s="111">
        <f t="shared" si="39"/>
        <v>2</v>
      </c>
      <c r="AC29" s="111">
        <f t="shared" si="20"/>
        <v>2</v>
      </c>
      <c r="AD29" s="111">
        <f t="shared" si="20"/>
        <v>2</v>
      </c>
      <c r="AE29" s="111">
        <f t="shared" si="20"/>
        <v>2</v>
      </c>
      <c r="AF29" s="111">
        <f t="shared" si="20"/>
        <v>2</v>
      </c>
      <c r="AG29" s="111">
        <f t="shared" si="20"/>
        <v>2</v>
      </c>
      <c r="AH29" s="47"/>
      <c r="AI29" s="227">
        <f t="shared" si="40"/>
        <v>0</v>
      </c>
      <c r="AJ29" s="227">
        <f t="shared" ref="AJ29:AJ36" si="57">P29</f>
        <v>0</v>
      </c>
      <c r="AK29" s="227">
        <f t="shared" si="41"/>
        <v>0</v>
      </c>
      <c r="AL29" s="227">
        <f t="shared" si="42"/>
        <v>0</v>
      </c>
      <c r="AM29" s="227">
        <f t="shared" si="43"/>
        <v>0</v>
      </c>
      <c r="AN29" s="227">
        <f t="shared" si="44"/>
        <v>0</v>
      </c>
      <c r="AO29" s="227">
        <f t="shared" si="45"/>
        <v>0</v>
      </c>
      <c r="AP29" s="66">
        <f t="shared" si="54"/>
        <v>0</v>
      </c>
      <c r="AQ29" s="110"/>
    </row>
    <row r="30" spans="1:45" x14ac:dyDescent="0.25">
      <c r="A30" t="s">
        <v>36</v>
      </c>
      <c r="B30" s="15" t="s">
        <v>366</v>
      </c>
      <c r="C30" s="3"/>
      <c r="D30" s="3"/>
      <c r="E30" s="18"/>
      <c r="F30" s="18"/>
      <c r="G30" s="111">
        <f t="shared" si="46"/>
        <v>0</v>
      </c>
      <c r="H30" s="111">
        <f t="shared" si="24"/>
        <v>2</v>
      </c>
      <c r="I30" s="111">
        <f t="shared" si="25"/>
        <v>2</v>
      </c>
      <c r="J30" s="111">
        <f t="shared" si="26"/>
        <v>2</v>
      </c>
      <c r="K30" s="111">
        <f t="shared" si="27"/>
        <v>2</v>
      </c>
      <c r="L30" s="111">
        <f t="shared" si="28"/>
        <v>2</v>
      </c>
      <c r="M30" s="111">
        <f t="shared" si="29"/>
        <v>2</v>
      </c>
      <c r="N30" s="47"/>
      <c r="O30" s="227">
        <f t="shared" si="31"/>
        <v>0</v>
      </c>
      <c r="P30" s="227">
        <f t="shared" si="32"/>
        <v>0</v>
      </c>
      <c r="Q30" s="227">
        <f t="shared" si="33"/>
        <v>0</v>
      </c>
      <c r="R30" s="227">
        <f t="shared" si="34"/>
        <v>0</v>
      </c>
      <c r="S30" s="227">
        <f t="shared" si="35"/>
        <v>0</v>
      </c>
      <c r="T30" s="227">
        <f t="shared" si="36"/>
        <v>0</v>
      </c>
      <c r="U30" s="227">
        <f t="shared" si="37"/>
        <v>0</v>
      </c>
      <c r="V30" s="66">
        <f t="shared" si="53"/>
        <v>0</v>
      </c>
      <c r="X30" t="s">
        <v>36</v>
      </c>
      <c r="Y30" s="18"/>
      <c r="Z30" s="18"/>
      <c r="AA30" s="111">
        <f t="shared" si="39"/>
        <v>0</v>
      </c>
      <c r="AB30" s="111">
        <f t="shared" si="39"/>
        <v>2</v>
      </c>
      <c r="AC30" s="111">
        <f t="shared" si="20"/>
        <v>2</v>
      </c>
      <c r="AD30" s="111">
        <f t="shared" si="20"/>
        <v>2</v>
      </c>
      <c r="AE30" s="111">
        <f t="shared" si="20"/>
        <v>2</v>
      </c>
      <c r="AF30" s="111">
        <f t="shared" si="20"/>
        <v>2</v>
      </c>
      <c r="AG30" s="111">
        <f t="shared" si="20"/>
        <v>2</v>
      </c>
      <c r="AH30" s="47"/>
      <c r="AI30" s="227">
        <f t="shared" si="40"/>
        <v>0</v>
      </c>
      <c r="AJ30" s="227">
        <f t="shared" si="57"/>
        <v>0</v>
      </c>
      <c r="AK30" s="227">
        <f t="shared" si="41"/>
        <v>0</v>
      </c>
      <c r="AL30" s="227">
        <f t="shared" si="42"/>
        <v>0</v>
      </c>
      <c r="AM30" s="227">
        <f t="shared" si="43"/>
        <v>0</v>
      </c>
      <c r="AN30" s="227">
        <f t="shared" si="44"/>
        <v>0</v>
      </c>
      <c r="AO30" s="227">
        <f t="shared" si="45"/>
        <v>0</v>
      </c>
      <c r="AP30" s="66">
        <f t="shared" si="54"/>
        <v>0</v>
      </c>
      <c r="AQ30" s="110"/>
    </row>
    <row r="31" spans="1:45" x14ac:dyDescent="0.25">
      <c r="A31" t="s">
        <v>35</v>
      </c>
      <c r="B31" s="15" t="s">
        <v>70</v>
      </c>
      <c r="C31" s="3" t="s">
        <v>44</v>
      </c>
      <c r="D31" s="3" t="s">
        <v>320</v>
      </c>
      <c r="E31" s="18">
        <f t="shared" ref="E31:F31" si="58">Y13</f>
        <v>20</v>
      </c>
      <c r="F31" s="18">
        <f t="shared" si="58"/>
        <v>83</v>
      </c>
      <c r="G31" s="111">
        <f t="shared" si="46"/>
        <v>0</v>
      </c>
      <c r="H31" s="111">
        <f t="shared" si="24"/>
        <v>2</v>
      </c>
      <c r="I31" s="111">
        <f t="shared" si="25"/>
        <v>5.7</v>
      </c>
      <c r="J31" s="111">
        <f t="shared" si="26"/>
        <v>14.428571428571429</v>
      </c>
      <c r="K31" s="111">
        <f t="shared" si="27"/>
        <v>6</v>
      </c>
      <c r="L31" s="111">
        <f t="shared" si="28"/>
        <v>7</v>
      </c>
      <c r="M31" s="111">
        <f t="shared" si="29"/>
        <v>5</v>
      </c>
      <c r="N31" s="47">
        <f t="shared" si="30"/>
        <v>14772.64</v>
      </c>
      <c r="O31" s="227">
        <f t="shared" si="31"/>
        <v>0</v>
      </c>
      <c r="P31" s="227">
        <f t="shared" si="32"/>
        <v>0</v>
      </c>
      <c r="Q31" s="227">
        <f t="shared" si="33"/>
        <v>13</v>
      </c>
      <c r="R31" s="227">
        <f t="shared" si="34"/>
        <v>50</v>
      </c>
      <c r="S31" s="227">
        <f t="shared" si="35"/>
        <v>10</v>
      </c>
      <c r="T31" s="227">
        <f t="shared" si="36"/>
        <v>16</v>
      </c>
      <c r="U31" s="227">
        <f t="shared" si="37"/>
        <v>3</v>
      </c>
      <c r="V31" s="66">
        <f t="shared" si="53"/>
        <v>92</v>
      </c>
      <c r="X31" t="s">
        <v>35</v>
      </c>
      <c r="Y31" s="18">
        <v>23</v>
      </c>
      <c r="Z31" s="18">
        <f>F31+($AR$25*7)-112-112-112</f>
        <v>34</v>
      </c>
      <c r="AA31" s="111">
        <f t="shared" si="39"/>
        <v>0</v>
      </c>
      <c r="AB31" s="111">
        <f>10+4/9</f>
        <v>10.444444444444445</v>
      </c>
      <c r="AC31" s="111">
        <f t="shared" si="20"/>
        <v>5.7</v>
      </c>
      <c r="AD31" s="111">
        <f t="shared" si="20"/>
        <v>14.428571428571429</v>
      </c>
      <c r="AE31" s="111">
        <f t="shared" si="20"/>
        <v>6</v>
      </c>
      <c r="AF31" s="111">
        <f t="shared" si="20"/>
        <v>7</v>
      </c>
      <c r="AG31" s="111">
        <f t="shared" si="20"/>
        <v>5</v>
      </c>
      <c r="AH31" s="47">
        <f>(9540+1350+150+145+245)*1.016</f>
        <v>11612.880000000001</v>
      </c>
      <c r="AI31" s="227">
        <f t="shared" si="40"/>
        <v>0</v>
      </c>
      <c r="AJ31" s="227">
        <f>P31+$AR$25</f>
        <v>41</v>
      </c>
      <c r="AK31" s="227">
        <f t="shared" si="41"/>
        <v>13</v>
      </c>
      <c r="AL31" s="227">
        <f t="shared" si="42"/>
        <v>50</v>
      </c>
      <c r="AM31" s="227">
        <f t="shared" si="43"/>
        <v>10</v>
      </c>
      <c r="AN31" s="227">
        <f t="shared" si="44"/>
        <v>16</v>
      </c>
      <c r="AO31" s="227">
        <f t="shared" si="45"/>
        <v>3</v>
      </c>
      <c r="AP31" s="66">
        <f t="shared" si="54"/>
        <v>133</v>
      </c>
      <c r="AQ31" s="110"/>
    </row>
    <row r="32" spans="1:45" x14ac:dyDescent="0.25">
      <c r="A32" t="s">
        <v>39</v>
      </c>
      <c r="B32" s="15" t="s">
        <v>70</v>
      </c>
      <c r="C32" s="3" t="s">
        <v>44</v>
      </c>
      <c r="D32" s="3" t="s">
        <v>462</v>
      </c>
      <c r="E32" s="18">
        <f t="shared" ref="E32:F32" si="59">Y14</f>
        <v>20</v>
      </c>
      <c r="F32" s="18">
        <f t="shared" si="59"/>
        <v>48</v>
      </c>
      <c r="G32" s="111">
        <f t="shared" si="46"/>
        <v>0</v>
      </c>
      <c r="H32" s="111">
        <f t="shared" si="24"/>
        <v>6</v>
      </c>
      <c r="I32" s="111">
        <f t="shared" si="25"/>
        <v>3</v>
      </c>
      <c r="J32" s="111">
        <f t="shared" si="26"/>
        <v>13.333333333333334</v>
      </c>
      <c r="K32" s="111">
        <f t="shared" si="27"/>
        <v>7</v>
      </c>
      <c r="L32" s="111">
        <f t="shared" si="28"/>
        <v>7</v>
      </c>
      <c r="M32" s="111">
        <f t="shared" si="29"/>
        <v>3</v>
      </c>
      <c r="N32" s="47">
        <f t="shared" si="30"/>
        <v>9143.42</v>
      </c>
      <c r="O32" s="227">
        <f t="shared" si="31"/>
        <v>0</v>
      </c>
      <c r="P32" s="227">
        <f t="shared" si="32"/>
        <v>14</v>
      </c>
      <c r="Q32" s="227">
        <f t="shared" si="33"/>
        <v>3</v>
      </c>
      <c r="R32" s="227">
        <f t="shared" si="34"/>
        <v>42</v>
      </c>
      <c r="S32" s="227">
        <f t="shared" si="35"/>
        <v>14</v>
      </c>
      <c r="T32" s="227">
        <f t="shared" si="36"/>
        <v>16</v>
      </c>
      <c r="U32" s="227">
        <f t="shared" si="37"/>
        <v>1</v>
      </c>
      <c r="V32" s="66">
        <f>SUM(O32:U32)</f>
        <v>90</v>
      </c>
      <c r="X32" t="s">
        <v>39</v>
      </c>
      <c r="Y32" s="18">
        <v>22</v>
      </c>
      <c r="Z32" s="18">
        <f>F32+(AR25*7)-112-112</f>
        <v>111</v>
      </c>
      <c r="AA32" s="111">
        <f t="shared" si="39"/>
        <v>0</v>
      </c>
      <c r="AB32" s="111">
        <f>AB28</f>
        <v>11.9</v>
      </c>
      <c r="AC32" s="111">
        <f t="shared" si="20"/>
        <v>3</v>
      </c>
      <c r="AD32" s="111">
        <f t="shared" si="20"/>
        <v>13.333333333333334</v>
      </c>
      <c r="AE32" s="111">
        <f t="shared" si="20"/>
        <v>7</v>
      </c>
      <c r="AF32" s="111">
        <f t="shared" si="20"/>
        <v>7</v>
      </c>
      <c r="AG32" s="111">
        <f t="shared" si="20"/>
        <v>3</v>
      </c>
      <c r="AH32" s="47">
        <f>(4800+3300+165+125+245)*1.012</f>
        <v>8738.6200000000008</v>
      </c>
      <c r="AI32" s="227">
        <f t="shared" si="40"/>
        <v>0</v>
      </c>
      <c r="AJ32" s="227">
        <f>P32+$AR$25</f>
        <v>55</v>
      </c>
      <c r="AK32" s="227">
        <f t="shared" si="41"/>
        <v>3</v>
      </c>
      <c r="AL32" s="227">
        <f t="shared" si="42"/>
        <v>42</v>
      </c>
      <c r="AM32" s="227">
        <f t="shared" si="43"/>
        <v>14</v>
      </c>
      <c r="AN32" s="227">
        <f t="shared" si="44"/>
        <v>16</v>
      </c>
      <c r="AO32" s="227">
        <f t="shared" si="45"/>
        <v>1</v>
      </c>
      <c r="AP32" s="66">
        <f>SUM(AI32:AO32)</f>
        <v>131</v>
      </c>
      <c r="AQ32" s="110"/>
    </row>
    <row r="33" spans="1:45" x14ac:dyDescent="0.25">
      <c r="A33" t="s">
        <v>33</v>
      </c>
      <c r="B33" s="15" t="s">
        <v>70</v>
      </c>
      <c r="C33" s="3" t="s">
        <v>294</v>
      </c>
      <c r="D33" s="3" t="s">
        <v>322</v>
      </c>
      <c r="E33" s="18">
        <f t="shared" ref="E33:F33" si="60">Y15</f>
        <v>20</v>
      </c>
      <c r="F33" s="18">
        <f t="shared" si="60"/>
        <v>83</v>
      </c>
      <c r="G33" s="111">
        <f t="shared" si="46"/>
        <v>0</v>
      </c>
      <c r="H33" s="111">
        <f t="shared" si="24"/>
        <v>3</v>
      </c>
      <c r="I33" s="111">
        <f t="shared" si="25"/>
        <v>5</v>
      </c>
      <c r="J33" s="111">
        <f t="shared" si="26"/>
        <v>13.833333333333334</v>
      </c>
      <c r="K33" s="111">
        <f t="shared" si="27"/>
        <v>5</v>
      </c>
      <c r="L33" s="111">
        <f t="shared" si="28"/>
        <v>7</v>
      </c>
      <c r="M33" s="111">
        <f t="shared" si="29"/>
        <v>3</v>
      </c>
      <c r="N33" s="47">
        <f t="shared" si="30"/>
        <v>11147.18</v>
      </c>
      <c r="O33" s="227">
        <f t="shared" si="31"/>
        <v>0</v>
      </c>
      <c r="P33" s="227">
        <f t="shared" si="32"/>
        <v>3</v>
      </c>
      <c r="Q33" s="227">
        <f t="shared" si="33"/>
        <v>9</v>
      </c>
      <c r="R33" s="227">
        <f t="shared" si="34"/>
        <v>46</v>
      </c>
      <c r="S33" s="227">
        <f t="shared" si="35"/>
        <v>7</v>
      </c>
      <c r="T33" s="227">
        <f t="shared" si="36"/>
        <v>16</v>
      </c>
      <c r="U33" s="227">
        <f t="shared" si="37"/>
        <v>1</v>
      </c>
      <c r="V33" s="66">
        <f>SUM(O33:U33)</f>
        <v>82</v>
      </c>
      <c r="X33" t="s">
        <v>33</v>
      </c>
      <c r="Y33" s="18">
        <v>23</v>
      </c>
      <c r="Z33" s="18">
        <f>F33+($AR$25*7)-112-112-112</f>
        <v>34</v>
      </c>
      <c r="AA33" s="111">
        <f t="shared" si="39"/>
        <v>0</v>
      </c>
      <c r="AB33" s="111">
        <f>10+7/9</f>
        <v>10.777777777777779</v>
      </c>
      <c r="AC33" s="111">
        <f t="shared" si="20"/>
        <v>5</v>
      </c>
      <c r="AD33" s="111">
        <f t="shared" si="20"/>
        <v>13.833333333333334</v>
      </c>
      <c r="AE33" s="111">
        <f t="shared" si="20"/>
        <v>5</v>
      </c>
      <c r="AF33" s="111">
        <f t="shared" si="20"/>
        <v>7</v>
      </c>
      <c r="AG33" s="111">
        <f t="shared" si="20"/>
        <v>3</v>
      </c>
      <c r="AH33" s="47">
        <f>(6500+1500+135+135+245)*1.012</f>
        <v>8617.18</v>
      </c>
      <c r="AI33" s="227">
        <f t="shared" si="40"/>
        <v>0</v>
      </c>
      <c r="AJ33" s="227">
        <f>P33+$AR$25</f>
        <v>44</v>
      </c>
      <c r="AK33" s="227">
        <f t="shared" si="41"/>
        <v>9</v>
      </c>
      <c r="AL33" s="227">
        <f t="shared" si="42"/>
        <v>46</v>
      </c>
      <c r="AM33" s="227">
        <f t="shared" si="43"/>
        <v>7</v>
      </c>
      <c r="AN33" s="227">
        <f t="shared" si="44"/>
        <v>16</v>
      </c>
      <c r="AO33" s="227">
        <f t="shared" si="45"/>
        <v>1</v>
      </c>
      <c r="AP33" s="66">
        <f>SUM(AI33:AO33)</f>
        <v>123</v>
      </c>
      <c r="AQ33" s="110"/>
    </row>
    <row r="34" spans="1:45" x14ac:dyDescent="0.25">
      <c r="A34" t="s">
        <v>41</v>
      </c>
      <c r="B34" s="15" t="s">
        <v>43</v>
      </c>
      <c r="C34" s="3"/>
      <c r="D34" s="3"/>
      <c r="E34" s="18"/>
      <c r="F34" s="18"/>
      <c r="G34" s="111">
        <f t="shared" si="46"/>
        <v>0</v>
      </c>
      <c r="H34" s="111">
        <f t="shared" si="24"/>
        <v>2</v>
      </c>
      <c r="I34" s="111">
        <f t="shared" si="25"/>
        <v>2</v>
      </c>
      <c r="J34" s="111">
        <f t="shared" si="26"/>
        <v>2</v>
      </c>
      <c r="K34" s="111">
        <f t="shared" si="27"/>
        <v>2</v>
      </c>
      <c r="L34" s="111">
        <f t="shared" si="28"/>
        <v>2</v>
      </c>
      <c r="M34" s="111">
        <f t="shared" si="29"/>
        <v>2</v>
      </c>
      <c r="N34" s="47"/>
      <c r="O34" s="227">
        <f t="shared" si="31"/>
        <v>0</v>
      </c>
      <c r="P34" s="227">
        <f t="shared" si="32"/>
        <v>0</v>
      </c>
      <c r="Q34" s="227">
        <f t="shared" si="33"/>
        <v>0</v>
      </c>
      <c r="R34" s="227">
        <f t="shared" si="34"/>
        <v>0</v>
      </c>
      <c r="S34" s="227">
        <f t="shared" si="35"/>
        <v>0</v>
      </c>
      <c r="T34" s="227">
        <f t="shared" si="36"/>
        <v>0</v>
      </c>
      <c r="U34" s="227">
        <f t="shared" si="37"/>
        <v>0</v>
      </c>
      <c r="V34" s="66">
        <f>SUM(O34:U34)</f>
        <v>0</v>
      </c>
      <c r="X34" t="s">
        <v>41</v>
      </c>
      <c r="Y34" s="18"/>
      <c r="Z34" s="18"/>
      <c r="AA34" s="111">
        <f t="shared" si="39"/>
        <v>0</v>
      </c>
      <c r="AB34" s="111">
        <f t="shared" si="39"/>
        <v>2</v>
      </c>
      <c r="AC34" s="111">
        <f t="shared" si="20"/>
        <v>2</v>
      </c>
      <c r="AD34" s="111">
        <f t="shared" si="20"/>
        <v>2</v>
      </c>
      <c r="AE34" s="111">
        <f t="shared" si="20"/>
        <v>2</v>
      </c>
      <c r="AF34" s="111">
        <f t="shared" si="20"/>
        <v>2</v>
      </c>
      <c r="AG34" s="111">
        <f t="shared" si="20"/>
        <v>2</v>
      </c>
      <c r="AH34" s="47"/>
      <c r="AI34" s="227">
        <f t="shared" si="40"/>
        <v>0</v>
      </c>
      <c r="AJ34" s="227">
        <f t="shared" si="57"/>
        <v>0</v>
      </c>
      <c r="AK34" s="227">
        <f t="shared" si="41"/>
        <v>0</v>
      </c>
      <c r="AL34" s="227">
        <f t="shared" si="42"/>
        <v>0</v>
      </c>
      <c r="AM34" s="227">
        <f t="shared" si="43"/>
        <v>0</v>
      </c>
      <c r="AN34" s="227">
        <f t="shared" si="44"/>
        <v>0</v>
      </c>
      <c r="AO34" s="227">
        <f t="shared" si="45"/>
        <v>0</v>
      </c>
      <c r="AP34" s="66">
        <f>SUM(AI34:AO34)</f>
        <v>0</v>
      </c>
      <c r="AQ34" s="110"/>
    </row>
    <row r="35" spans="1:45" x14ac:dyDescent="0.25">
      <c r="A35" t="s">
        <v>45</v>
      </c>
      <c r="B35" s="15" t="s">
        <v>43</v>
      </c>
      <c r="C35" s="3"/>
      <c r="D35" s="3"/>
      <c r="E35" s="18"/>
      <c r="F35" s="18"/>
      <c r="G35" s="111">
        <f t="shared" si="46"/>
        <v>0</v>
      </c>
      <c r="H35" s="111">
        <f t="shared" si="24"/>
        <v>2</v>
      </c>
      <c r="I35" s="111">
        <f t="shared" si="25"/>
        <v>2</v>
      </c>
      <c r="J35" s="111">
        <f t="shared" si="26"/>
        <v>2</v>
      </c>
      <c r="K35" s="111">
        <f t="shared" si="27"/>
        <v>2</v>
      </c>
      <c r="L35" s="111">
        <f t="shared" si="28"/>
        <v>2</v>
      </c>
      <c r="M35" s="111">
        <f t="shared" si="29"/>
        <v>2</v>
      </c>
      <c r="N35" s="47"/>
      <c r="O35" s="227">
        <f t="shared" si="31"/>
        <v>0</v>
      </c>
      <c r="P35" s="227">
        <f t="shared" si="32"/>
        <v>0</v>
      </c>
      <c r="Q35" s="227">
        <f t="shared" si="33"/>
        <v>0</v>
      </c>
      <c r="R35" s="227">
        <f t="shared" si="34"/>
        <v>0</v>
      </c>
      <c r="S35" s="227">
        <f t="shared" si="35"/>
        <v>0</v>
      </c>
      <c r="T35" s="227">
        <f t="shared" si="36"/>
        <v>0</v>
      </c>
      <c r="U35" s="227">
        <f t="shared" si="37"/>
        <v>0</v>
      </c>
      <c r="V35" s="66">
        <f>SUM(O35:U35)</f>
        <v>0</v>
      </c>
      <c r="X35" t="s">
        <v>45</v>
      </c>
      <c r="Y35" s="18"/>
      <c r="Z35" s="18"/>
      <c r="AA35" s="111">
        <f t="shared" si="39"/>
        <v>0</v>
      </c>
      <c r="AB35" s="111">
        <f t="shared" si="39"/>
        <v>2</v>
      </c>
      <c r="AC35" s="111">
        <f t="shared" si="20"/>
        <v>2</v>
      </c>
      <c r="AD35" s="111">
        <f t="shared" si="20"/>
        <v>2</v>
      </c>
      <c r="AE35" s="111">
        <f t="shared" si="20"/>
        <v>2</v>
      </c>
      <c r="AF35" s="111">
        <f t="shared" si="20"/>
        <v>2</v>
      </c>
      <c r="AG35" s="111">
        <f t="shared" si="20"/>
        <v>2</v>
      </c>
      <c r="AH35" s="47"/>
      <c r="AI35" s="227">
        <f t="shared" si="40"/>
        <v>0</v>
      </c>
      <c r="AJ35" s="227">
        <f t="shared" si="57"/>
        <v>0</v>
      </c>
      <c r="AK35" s="227">
        <f t="shared" si="41"/>
        <v>0</v>
      </c>
      <c r="AL35" s="227">
        <f t="shared" si="42"/>
        <v>0</v>
      </c>
      <c r="AM35" s="227">
        <f t="shared" si="43"/>
        <v>0</v>
      </c>
      <c r="AN35" s="227">
        <f t="shared" si="44"/>
        <v>0</v>
      </c>
      <c r="AO35" s="227">
        <f t="shared" si="45"/>
        <v>0</v>
      </c>
      <c r="AP35" s="66">
        <f>SUM(AI35:AO35)</f>
        <v>0</v>
      </c>
      <c r="AQ35" s="110"/>
    </row>
    <row r="36" spans="1:45" x14ac:dyDescent="0.25">
      <c r="A36" t="s">
        <v>323</v>
      </c>
      <c r="B36" s="15" t="s">
        <v>43</v>
      </c>
      <c r="C36" s="3"/>
      <c r="D36" s="3"/>
      <c r="E36" s="18"/>
      <c r="F36" s="18"/>
      <c r="G36" s="111">
        <f t="shared" si="46"/>
        <v>0</v>
      </c>
      <c r="H36" s="111">
        <f t="shared" si="24"/>
        <v>2</v>
      </c>
      <c r="I36" s="111">
        <f t="shared" si="25"/>
        <v>2</v>
      </c>
      <c r="J36" s="111">
        <f t="shared" si="26"/>
        <v>2</v>
      </c>
      <c r="K36" s="111">
        <f t="shared" si="27"/>
        <v>2</v>
      </c>
      <c r="L36" s="111">
        <f t="shared" si="28"/>
        <v>2</v>
      </c>
      <c r="M36" s="111">
        <f t="shared" si="29"/>
        <v>2</v>
      </c>
      <c r="N36" s="47"/>
      <c r="O36" s="227">
        <f t="shared" si="31"/>
        <v>0</v>
      </c>
      <c r="P36" s="227">
        <f t="shared" si="32"/>
        <v>0</v>
      </c>
      <c r="Q36" s="227">
        <f t="shared" si="33"/>
        <v>0</v>
      </c>
      <c r="R36" s="227">
        <f t="shared" si="34"/>
        <v>0</v>
      </c>
      <c r="S36" s="227">
        <f t="shared" si="35"/>
        <v>0</v>
      </c>
      <c r="T36" s="227">
        <f t="shared" si="36"/>
        <v>0</v>
      </c>
      <c r="U36" s="227">
        <f t="shared" si="37"/>
        <v>0</v>
      </c>
      <c r="V36" s="66">
        <f>SUM(O36:U36)</f>
        <v>0</v>
      </c>
      <c r="X36" t="s">
        <v>323</v>
      </c>
      <c r="Y36" s="18"/>
      <c r="Z36" s="18"/>
      <c r="AA36" s="111">
        <f t="shared" si="39"/>
        <v>0</v>
      </c>
      <c r="AB36" s="111">
        <f t="shared" si="39"/>
        <v>2</v>
      </c>
      <c r="AC36" s="111">
        <f t="shared" si="20"/>
        <v>2</v>
      </c>
      <c r="AD36" s="111">
        <f t="shared" si="20"/>
        <v>2</v>
      </c>
      <c r="AE36" s="111">
        <f t="shared" si="20"/>
        <v>2</v>
      </c>
      <c r="AF36" s="111">
        <f t="shared" si="20"/>
        <v>2</v>
      </c>
      <c r="AG36" s="111">
        <f t="shared" si="20"/>
        <v>2</v>
      </c>
      <c r="AH36" s="47"/>
      <c r="AI36" s="227">
        <f t="shared" si="40"/>
        <v>0</v>
      </c>
      <c r="AJ36" s="227">
        <f t="shared" si="57"/>
        <v>0</v>
      </c>
      <c r="AK36" s="227">
        <f t="shared" si="41"/>
        <v>0</v>
      </c>
      <c r="AL36" s="227">
        <f t="shared" si="42"/>
        <v>0</v>
      </c>
      <c r="AM36" s="227">
        <f t="shared" si="43"/>
        <v>0</v>
      </c>
      <c r="AN36" s="227">
        <f t="shared" si="44"/>
        <v>0</v>
      </c>
      <c r="AO36" s="227">
        <f t="shared" si="45"/>
        <v>0</v>
      </c>
      <c r="AP36" s="66">
        <f>SUM(AI36:AO36)</f>
        <v>0</v>
      </c>
      <c r="AQ36" s="110"/>
    </row>
    <row r="37" spans="1:45" x14ac:dyDescent="0.25">
      <c r="N37" s="196">
        <f>SUM(N39:N53)</f>
        <v>186006.49999999997</v>
      </c>
      <c r="AH37" s="196">
        <f>SUM(AH39:AH53)</f>
        <v>191894.49000000002</v>
      </c>
      <c r="AQ37" s="110"/>
    </row>
    <row r="38" spans="1:45" x14ac:dyDescent="0.25">
      <c r="A38" s="10" t="s">
        <v>169</v>
      </c>
      <c r="B38" s="10" t="s">
        <v>2</v>
      </c>
      <c r="C38" s="10" t="s">
        <v>83</v>
      </c>
      <c r="D38" s="10" t="str">
        <f>D20</f>
        <v>Nombre</v>
      </c>
      <c r="E38" s="10" t="str">
        <f>E20</f>
        <v>Año</v>
      </c>
      <c r="F38" s="10" t="str">
        <f>F20</f>
        <v>Dia</v>
      </c>
      <c r="G38" s="10" t="s">
        <v>15</v>
      </c>
      <c r="H38" s="10" t="s">
        <v>16</v>
      </c>
      <c r="I38" s="10" t="s">
        <v>17</v>
      </c>
      <c r="J38" s="10" t="s">
        <v>18</v>
      </c>
      <c r="K38" s="10" t="s">
        <v>19</v>
      </c>
      <c r="L38" s="10" t="s">
        <v>20</v>
      </c>
      <c r="M38" s="10" t="s">
        <v>6</v>
      </c>
      <c r="N38" s="10" t="s">
        <v>67</v>
      </c>
      <c r="O38" s="10" t="s">
        <v>312</v>
      </c>
      <c r="P38" s="10" t="s">
        <v>313</v>
      </c>
      <c r="Q38" s="10" t="s">
        <v>314</v>
      </c>
      <c r="R38" s="10" t="s">
        <v>315</v>
      </c>
      <c r="S38" s="10" t="s">
        <v>316</v>
      </c>
      <c r="T38" s="10" t="s">
        <v>317</v>
      </c>
      <c r="U38" s="10" t="s">
        <v>318</v>
      </c>
      <c r="V38" s="10" t="s">
        <v>319</v>
      </c>
      <c r="X38" s="10" t="s">
        <v>169</v>
      </c>
      <c r="Y38" s="10" t="str">
        <f>Y20</f>
        <v>Año</v>
      </c>
      <c r="Z38" s="10" t="str">
        <f>Z20</f>
        <v>Dia</v>
      </c>
      <c r="AA38" s="10" t="s">
        <v>15</v>
      </c>
      <c r="AB38" s="10" t="s">
        <v>16</v>
      </c>
      <c r="AC38" s="10" t="s">
        <v>17</v>
      </c>
      <c r="AD38" s="10" t="s">
        <v>18</v>
      </c>
      <c r="AE38" s="10" t="s">
        <v>19</v>
      </c>
      <c r="AF38" s="10" t="s">
        <v>20</v>
      </c>
      <c r="AG38" s="10" t="s">
        <v>6</v>
      </c>
      <c r="AH38" s="10" t="s">
        <v>67</v>
      </c>
      <c r="AI38" s="10" t="s">
        <v>312</v>
      </c>
      <c r="AJ38" s="10" t="s">
        <v>313</v>
      </c>
      <c r="AK38" s="10" t="s">
        <v>314</v>
      </c>
      <c r="AL38" s="10" t="s">
        <v>315</v>
      </c>
      <c r="AM38" s="10" t="s">
        <v>316</v>
      </c>
      <c r="AN38" s="10" t="s">
        <v>317</v>
      </c>
      <c r="AO38" s="10" t="s">
        <v>318</v>
      </c>
      <c r="AP38" s="10" t="s">
        <v>319</v>
      </c>
      <c r="AQ38" s="110"/>
    </row>
    <row r="39" spans="1:45" x14ac:dyDescent="0.25">
      <c r="A39" t="s">
        <v>28</v>
      </c>
      <c r="B39" s="15" t="str">
        <f>B21</f>
        <v>POR</v>
      </c>
      <c r="C39" s="18"/>
      <c r="D39" s="18" t="str">
        <f>D21</f>
        <v>Portero</v>
      </c>
      <c r="E39" s="18">
        <f>Y21</f>
        <v>23</v>
      </c>
      <c r="F39" s="18">
        <f>Z21</f>
        <v>1</v>
      </c>
      <c r="G39" s="111">
        <f>AA21</f>
        <v>16</v>
      </c>
      <c r="H39" s="111">
        <f t="shared" ref="H39:M39" si="61">AB21</f>
        <v>11.1</v>
      </c>
      <c r="I39" s="111">
        <f t="shared" si="61"/>
        <v>0</v>
      </c>
      <c r="J39" s="111">
        <f t="shared" si="61"/>
        <v>0</v>
      </c>
      <c r="K39" s="111">
        <f t="shared" si="61"/>
        <v>0</v>
      </c>
      <c r="L39" s="111">
        <f t="shared" si="61"/>
        <v>0</v>
      </c>
      <c r="M39" s="111">
        <f t="shared" si="61"/>
        <v>4</v>
      </c>
      <c r="N39" s="47">
        <f>AH21</f>
        <v>34428.239999999998</v>
      </c>
      <c r="O39" s="227">
        <f>AI21</f>
        <v>62</v>
      </c>
      <c r="P39" s="229">
        <f t="shared" ref="P39:U39" si="62">AJ21</f>
        <v>47</v>
      </c>
      <c r="Q39" s="229">
        <f t="shared" si="62"/>
        <v>0</v>
      </c>
      <c r="R39" s="229">
        <f t="shared" si="62"/>
        <v>0</v>
      </c>
      <c r="S39" s="229">
        <f t="shared" si="62"/>
        <v>0</v>
      </c>
      <c r="T39" s="229">
        <f t="shared" si="62"/>
        <v>0</v>
      </c>
      <c r="U39" s="229">
        <f t="shared" si="62"/>
        <v>2</v>
      </c>
      <c r="V39" s="66">
        <f>SUM(O39:U39)</f>
        <v>111</v>
      </c>
      <c r="X39" t="s">
        <v>28</v>
      </c>
      <c r="Y39" s="18">
        <v>23</v>
      </c>
      <c r="Z39" s="18">
        <f>F39+($AR$44*7)+($AR$45*7)-112</f>
        <v>71</v>
      </c>
      <c r="AA39" s="111">
        <f>G39</f>
        <v>16</v>
      </c>
      <c r="AB39" s="111">
        <f t="shared" ref="AB39:AF39" si="63">H39</f>
        <v>11.1</v>
      </c>
      <c r="AC39" s="111">
        <f t="shared" si="63"/>
        <v>0</v>
      </c>
      <c r="AD39" s="111">
        <f t="shared" si="63"/>
        <v>0</v>
      </c>
      <c r="AE39" s="111">
        <f t="shared" si="63"/>
        <v>0</v>
      </c>
      <c r="AF39" s="111">
        <f t="shared" si="63"/>
        <v>0</v>
      </c>
      <c r="AG39" s="111">
        <v>16</v>
      </c>
      <c r="AH39" s="47">
        <f>(31720+2300)*1.047</f>
        <v>35618.939999999995</v>
      </c>
      <c r="AI39" s="227">
        <f>O39</f>
        <v>62</v>
      </c>
      <c r="AJ39" s="229">
        <f t="shared" ref="AJ39:AN39" si="64">P39</f>
        <v>47</v>
      </c>
      <c r="AK39" s="229">
        <f t="shared" si="64"/>
        <v>0</v>
      </c>
      <c r="AL39" s="229">
        <f t="shared" si="64"/>
        <v>0</v>
      </c>
      <c r="AM39" s="229">
        <f t="shared" si="64"/>
        <v>0</v>
      </c>
      <c r="AN39" s="229">
        <f t="shared" si="64"/>
        <v>0</v>
      </c>
      <c r="AO39" s="229">
        <f>U39+($AR$44*1.25)</f>
        <v>20.75</v>
      </c>
      <c r="AP39" s="66">
        <f>SUM(AI39:AO39)</f>
        <v>129.75</v>
      </c>
      <c r="AQ39" s="110"/>
    </row>
    <row r="40" spans="1:45" x14ac:dyDescent="0.25">
      <c r="A40" t="s">
        <v>31</v>
      </c>
      <c r="B40" s="15" t="str">
        <f t="shared" ref="B40:D45" si="65">B22</f>
        <v>DEF</v>
      </c>
      <c r="C40" s="18" t="str">
        <f t="shared" si="65"/>
        <v>TEC</v>
      </c>
      <c r="D40" s="18" t="str">
        <f t="shared" si="65"/>
        <v>J. G. de Minaya</v>
      </c>
      <c r="E40" s="18">
        <f t="shared" ref="E40:G40" si="66">Y22</f>
        <v>23</v>
      </c>
      <c r="F40" s="18">
        <f t="shared" si="66"/>
        <v>48</v>
      </c>
      <c r="G40" s="111">
        <f t="shared" si="66"/>
        <v>0</v>
      </c>
      <c r="H40" s="111">
        <f t="shared" ref="H40:H51" si="67">AB22</f>
        <v>11.9</v>
      </c>
      <c r="I40" s="111">
        <f t="shared" ref="I40:I51" si="68">AC22</f>
        <v>5</v>
      </c>
      <c r="J40" s="111">
        <f t="shared" ref="J40:J51" si="69">AD22</f>
        <v>11.6</v>
      </c>
      <c r="K40" s="111">
        <f t="shared" ref="K40:K51" si="70">AE22</f>
        <v>6</v>
      </c>
      <c r="L40" s="111">
        <f t="shared" ref="L40:L51" si="71">AF22</f>
        <v>8</v>
      </c>
      <c r="M40" s="111">
        <f t="shared" ref="M40:M51" si="72">AG22</f>
        <v>0</v>
      </c>
      <c r="N40" s="47">
        <f t="shared" ref="N40:N51" si="73">AH22</f>
        <v>9225</v>
      </c>
      <c r="O40" s="229">
        <f t="shared" ref="O40:O51" si="74">AI22</f>
        <v>0</v>
      </c>
      <c r="P40" s="229">
        <f t="shared" ref="P40:P51" si="75">AJ22</f>
        <v>55</v>
      </c>
      <c r="Q40" s="229">
        <f t="shared" ref="Q40:Q51" si="76">AK22</f>
        <v>9</v>
      </c>
      <c r="R40" s="229">
        <f t="shared" ref="R40:R51" si="77">AL22</f>
        <v>31</v>
      </c>
      <c r="S40" s="229">
        <f t="shared" ref="S40:S51" si="78">AM22</f>
        <v>10</v>
      </c>
      <c r="T40" s="229">
        <f t="shared" ref="T40:T51" si="79">AN22</f>
        <v>21</v>
      </c>
      <c r="U40" s="229">
        <f t="shared" ref="U40:U51" si="80">AO22</f>
        <v>0</v>
      </c>
      <c r="V40" s="66">
        <f>SUM(O40:U40)</f>
        <v>126</v>
      </c>
      <c r="X40" t="s">
        <v>31</v>
      </c>
      <c r="Y40" s="18">
        <v>24</v>
      </c>
      <c r="Z40" s="18">
        <f t="shared" ref="Z40:Z50" si="81">F40+($AR$44*7)+($AR$45*7)-112-112</f>
        <v>6</v>
      </c>
      <c r="AA40" s="111">
        <f t="shared" ref="AA40:AA51" si="82">G40</f>
        <v>0</v>
      </c>
      <c r="AB40" s="111">
        <f t="shared" ref="AB40:AB51" si="83">H40</f>
        <v>11.9</v>
      </c>
      <c r="AC40" s="111">
        <f t="shared" ref="AC40:AC51" si="84">I40</f>
        <v>5</v>
      </c>
      <c r="AD40" s="111">
        <f t="shared" ref="AD40:AD51" si="85">J40</f>
        <v>11.6</v>
      </c>
      <c r="AE40" s="111">
        <v>8.5</v>
      </c>
      <c r="AF40" s="111">
        <f t="shared" ref="AF40:AF51" si="86">L40</f>
        <v>8</v>
      </c>
      <c r="AG40" s="111">
        <v>14.5</v>
      </c>
      <c r="AH40" s="47">
        <f>(6750+135+1800+135+405)*1.04</f>
        <v>9594</v>
      </c>
      <c r="AI40" s="229">
        <f t="shared" ref="AI40:AI51" si="87">O40</f>
        <v>0</v>
      </c>
      <c r="AJ40" s="229">
        <f t="shared" ref="AJ40:AJ51" si="88">P40</f>
        <v>55</v>
      </c>
      <c r="AK40" s="229">
        <f t="shared" ref="AK40:AK51" si="89">Q40</f>
        <v>9</v>
      </c>
      <c r="AL40" s="229">
        <f t="shared" ref="AL40:AL51" si="90">R40</f>
        <v>31</v>
      </c>
      <c r="AM40" s="229">
        <f>S40+$AR$45</f>
        <v>21</v>
      </c>
      <c r="AN40" s="229">
        <f t="shared" ref="AN40:AN51" si="91">T40</f>
        <v>21</v>
      </c>
      <c r="AO40" s="229">
        <f t="shared" ref="AO40:AO51" si="92">U40+$AR$44</f>
        <v>15</v>
      </c>
      <c r="AP40" s="66">
        <f>SUM(AI40:AO40)</f>
        <v>152</v>
      </c>
      <c r="AQ40" s="110"/>
    </row>
    <row r="41" spans="1:45" x14ac:dyDescent="0.25">
      <c r="A41" t="s">
        <v>32</v>
      </c>
      <c r="B41" s="15" t="str">
        <f t="shared" si="65"/>
        <v>DEF</v>
      </c>
      <c r="C41" s="18" t="str">
        <f t="shared" si="65"/>
        <v>IMP/RAP</v>
      </c>
      <c r="D41" s="18" t="str">
        <f t="shared" si="65"/>
        <v>Defensa</v>
      </c>
      <c r="E41" s="18">
        <f t="shared" ref="E41:G41" si="93">Y23</f>
        <v>23</v>
      </c>
      <c r="F41" s="18">
        <f t="shared" si="93"/>
        <v>1</v>
      </c>
      <c r="G41" s="111">
        <f t="shared" si="93"/>
        <v>0</v>
      </c>
      <c r="H41" s="111">
        <f t="shared" si="67"/>
        <v>14.5</v>
      </c>
      <c r="I41" s="111">
        <f t="shared" si="68"/>
        <v>5</v>
      </c>
      <c r="J41" s="111">
        <f t="shared" si="69"/>
        <v>2</v>
      </c>
      <c r="K41" s="111">
        <f t="shared" si="70"/>
        <v>8</v>
      </c>
      <c r="L41" s="111">
        <f t="shared" si="71"/>
        <v>4</v>
      </c>
      <c r="M41" s="111">
        <f t="shared" si="72"/>
        <v>2</v>
      </c>
      <c r="N41" s="47">
        <f t="shared" si="73"/>
        <v>23264.639999999999</v>
      </c>
      <c r="O41" s="229">
        <f t="shared" si="74"/>
        <v>0</v>
      </c>
      <c r="P41" s="229">
        <f t="shared" si="75"/>
        <v>87</v>
      </c>
      <c r="Q41" s="229">
        <f t="shared" si="76"/>
        <v>9</v>
      </c>
      <c r="R41" s="229">
        <f t="shared" si="77"/>
        <v>0</v>
      </c>
      <c r="S41" s="229">
        <f t="shared" si="78"/>
        <v>18</v>
      </c>
      <c r="T41" s="229">
        <f t="shared" si="79"/>
        <v>5</v>
      </c>
      <c r="U41" s="229">
        <f t="shared" si="80"/>
        <v>0</v>
      </c>
      <c r="V41" s="66">
        <f>SUM(O41:U41)</f>
        <v>119</v>
      </c>
      <c r="X41" t="s">
        <v>32</v>
      </c>
      <c r="Y41" s="18">
        <v>23</v>
      </c>
      <c r="Z41" s="18">
        <f t="shared" ref="Z41:Z46" si="94">F41+($AR$44*7)+($AR$45*7)-112</f>
        <v>71</v>
      </c>
      <c r="AA41" s="111">
        <f t="shared" si="82"/>
        <v>0</v>
      </c>
      <c r="AB41" s="111">
        <f t="shared" si="83"/>
        <v>14.5</v>
      </c>
      <c r="AC41" s="111">
        <f t="shared" si="84"/>
        <v>5</v>
      </c>
      <c r="AD41" s="111">
        <f t="shared" si="85"/>
        <v>2</v>
      </c>
      <c r="AE41" s="111">
        <v>10</v>
      </c>
      <c r="AF41" s="111">
        <f t="shared" si="86"/>
        <v>4</v>
      </c>
      <c r="AG41" s="111">
        <v>14.5</v>
      </c>
      <c r="AH41" s="47">
        <f>(22685+135+135+125)*1.04</f>
        <v>24003.200000000001</v>
      </c>
      <c r="AI41" s="229">
        <f t="shared" si="87"/>
        <v>0</v>
      </c>
      <c r="AJ41" s="229">
        <f t="shared" si="88"/>
        <v>87</v>
      </c>
      <c r="AK41" s="229">
        <f t="shared" si="89"/>
        <v>9</v>
      </c>
      <c r="AL41" s="229">
        <f t="shared" si="90"/>
        <v>0</v>
      </c>
      <c r="AM41" s="229">
        <f t="shared" ref="AM41:AM51" si="95">S41+$AR$45</f>
        <v>29</v>
      </c>
      <c r="AN41" s="229">
        <f t="shared" si="91"/>
        <v>5</v>
      </c>
      <c r="AO41" s="229">
        <f t="shared" si="92"/>
        <v>15</v>
      </c>
      <c r="AP41" s="66">
        <f>SUM(AI41:AO41)</f>
        <v>145</v>
      </c>
      <c r="AQ41" s="110"/>
    </row>
    <row r="42" spans="1:45" x14ac:dyDescent="0.25">
      <c r="A42" t="s">
        <v>38</v>
      </c>
      <c r="B42" s="15" t="str">
        <f t="shared" si="65"/>
        <v>DEF</v>
      </c>
      <c r="C42" s="18" t="str">
        <f t="shared" si="65"/>
        <v>IMP/RAP</v>
      </c>
      <c r="D42" s="18" t="str">
        <f t="shared" si="65"/>
        <v>Defensa</v>
      </c>
      <c r="E42" s="18">
        <f t="shared" ref="E42:G42" si="96">Y24</f>
        <v>23</v>
      </c>
      <c r="F42" s="18">
        <f t="shared" si="96"/>
        <v>1</v>
      </c>
      <c r="G42" s="111">
        <f t="shared" si="96"/>
        <v>0</v>
      </c>
      <c r="H42" s="111">
        <f t="shared" si="67"/>
        <v>14.5</v>
      </c>
      <c r="I42" s="111">
        <f t="shared" si="68"/>
        <v>5</v>
      </c>
      <c r="J42" s="111">
        <f t="shared" si="69"/>
        <v>2</v>
      </c>
      <c r="K42" s="111">
        <f t="shared" si="70"/>
        <v>8</v>
      </c>
      <c r="L42" s="111">
        <f t="shared" si="71"/>
        <v>4</v>
      </c>
      <c r="M42" s="111">
        <f t="shared" si="72"/>
        <v>2</v>
      </c>
      <c r="N42" s="47">
        <f t="shared" si="73"/>
        <v>23264.639999999999</v>
      </c>
      <c r="O42" s="229">
        <f t="shared" si="74"/>
        <v>0</v>
      </c>
      <c r="P42" s="229">
        <f t="shared" si="75"/>
        <v>87</v>
      </c>
      <c r="Q42" s="229">
        <f t="shared" si="76"/>
        <v>9</v>
      </c>
      <c r="R42" s="229">
        <f t="shared" si="77"/>
        <v>0</v>
      </c>
      <c r="S42" s="229">
        <f t="shared" si="78"/>
        <v>18</v>
      </c>
      <c r="T42" s="229">
        <f t="shared" si="79"/>
        <v>5</v>
      </c>
      <c r="U42" s="229">
        <f t="shared" si="80"/>
        <v>0</v>
      </c>
      <c r="V42" s="66">
        <f>SUM(O42:U42)</f>
        <v>119</v>
      </c>
      <c r="X42" t="s">
        <v>38</v>
      </c>
      <c r="Y42" s="18">
        <v>23</v>
      </c>
      <c r="Z42" s="18">
        <f t="shared" si="94"/>
        <v>71</v>
      </c>
      <c r="AA42" s="111">
        <f t="shared" si="82"/>
        <v>0</v>
      </c>
      <c r="AB42" s="111">
        <f t="shared" si="83"/>
        <v>14.5</v>
      </c>
      <c r="AC42" s="111">
        <f t="shared" si="84"/>
        <v>5</v>
      </c>
      <c r="AD42" s="111">
        <f t="shared" si="85"/>
        <v>2</v>
      </c>
      <c r="AE42" s="111">
        <v>10</v>
      </c>
      <c r="AF42" s="111">
        <f t="shared" si="86"/>
        <v>4</v>
      </c>
      <c r="AG42" s="111">
        <v>14.5</v>
      </c>
      <c r="AH42" s="47">
        <f>(22685+135+135+125)*1.04</f>
        <v>24003.200000000001</v>
      </c>
      <c r="AI42" s="229">
        <f t="shared" si="87"/>
        <v>0</v>
      </c>
      <c r="AJ42" s="229">
        <f t="shared" si="88"/>
        <v>87</v>
      </c>
      <c r="AK42" s="229">
        <f t="shared" si="89"/>
        <v>9</v>
      </c>
      <c r="AL42" s="229">
        <f t="shared" si="90"/>
        <v>0</v>
      </c>
      <c r="AM42" s="229">
        <f t="shared" si="95"/>
        <v>29</v>
      </c>
      <c r="AN42" s="229">
        <f t="shared" si="91"/>
        <v>5</v>
      </c>
      <c r="AO42" s="229">
        <f t="shared" si="92"/>
        <v>15</v>
      </c>
      <c r="AP42" s="66">
        <f>SUM(AI42:AO42)</f>
        <v>145</v>
      </c>
      <c r="AQ42" s="110"/>
    </row>
    <row r="43" spans="1:45" x14ac:dyDescent="0.25">
      <c r="A43" t="s">
        <v>40</v>
      </c>
      <c r="B43" s="15" t="str">
        <f t="shared" si="65"/>
        <v>DEF</v>
      </c>
      <c r="C43" s="18" t="str">
        <f t="shared" si="65"/>
        <v>IMP/RAP</v>
      </c>
      <c r="D43" s="18" t="str">
        <f t="shared" si="65"/>
        <v>Defensa</v>
      </c>
      <c r="E43" s="18">
        <f t="shared" ref="E43:G43" si="97">Y25</f>
        <v>23</v>
      </c>
      <c r="F43" s="18">
        <f t="shared" si="97"/>
        <v>1</v>
      </c>
      <c r="G43" s="111">
        <f t="shared" si="97"/>
        <v>0</v>
      </c>
      <c r="H43" s="111">
        <f t="shared" si="67"/>
        <v>14.5</v>
      </c>
      <c r="I43" s="111">
        <f t="shared" si="68"/>
        <v>5</v>
      </c>
      <c r="J43" s="111">
        <f t="shared" si="69"/>
        <v>2</v>
      </c>
      <c r="K43" s="111">
        <f t="shared" si="70"/>
        <v>8</v>
      </c>
      <c r="L43" s="111">
        <f t="shared" si="71"/>
        <v>4</v>
      </c>
      <c r="M43" s="111">
        <f t="shared" si="72"/>
        <v>2</v>
      </c>
      <c r="N43" s="47">
        <f t="shared" si="73"/>
        <v>23264.639999999999</v>
      </c>
      <c r="O43" s="229">
        <f t="shared" si="74"/>
        <v>0</v>
      </c>
      <c r="P43" s="229">
        <f t="shared" si="75"/>
        <v>87</v>
      </c>
      <c r="Q43" s="229">
        <f t="shared" si="76"/>
        <v>9</v>
      </c>
      <c r="R43" s="229">
        <f t="shared" si="77"/>
        <v>0</v>
      </c>
      <c r="S43" s="229">
        <f t="shared" si="78"/>
        <v>18</v>
      </c>
      <c r="T43" s="229">
        <f t="shared" si="79"/>
        <v>5</v>
      </c>
      <c r="U43" s="229">
        <f t="shared" si="80"/>
        <v>0</v>
      </c>
      <c r="V43" s="66">
        <f t="shared" ref="V43:V49" si="98">SUM(O43:U43)</f>
        <v>119</v>
      </c>
      <c r="X43" t="s">
        <v>40</v>
      </c>
      <c r="Y43" s="18">
        <v>23</v>
      </c>
      <c r="Z43" s="18">
        <f t="shared" si="94"/>
        <v>71</v>
      </c>
      <c r="AA43" s="111">
        <f t="shared" si="82"/>
        <v>0</v>
      </c>
      <c r="AB43" s="111">
        <f t="shared" si="83"/>
        <v>14.5</v>
      </c>
      <c r="AC43" s="111">
        <f t="shared" si="84"/>
        <v>5</v>
      </c>
      <c r="AD43" s="111">
        <f t="shared" si="85"/>
        <v>2</v>
      </c>
      <c r="AE43" s="111">
        <v>10</v>
      </c>
      <c r="AF43" s="111">
        <f t="shared" si="86"/>
        <v>4</v>
      </c>
      <c r="AG43" s="111">
        <v>14.5</v>
      </c>
      <c r="AH43" s="47">
        <f>(22685+135+135+125)*1.04</f>
        <v>24003.200000000001</v>
      </c>
      <c r="AI43" s="229">
        <f t="shared" si="87"/>
        <v>0</v>
      </c>
      <c r="AJ43" s="229">
        <f t="shared" si="88"/>
        <v>87</v>
      </c>
      <c r="AK43" s="229">
        <f t="shared" si="89"/>
        <v>9</v>
      </c>
      <c r="AL43" s="229">
        <f t="shared" si="90"/>
        <v>0</v>
      </c>
      <c r="AM43" s="229">
        <f t="shared" si="95"/>
        <v>29</v>
      </c>
      <c r="AN43" s="229">
        <f t="shared" si="91"/>
        <v>5</v>
      </c>
      <c r="AO43" s="229">
        <f t="shared" si="92"/>
        <v>15</v>
      </c>
      <c r="AP43" s="66">
        <f t="shared" ref="AP43:AP49" si="99">SUM(AI43:AO43)</f>
        <v>145</v>
      </c>
      <c r="AQ43" s="110"/>
      <c r="AR43" t="s">
        <v>358</v>
      </c>
      <c r="AS43" t="s">
        <v>359</v>
      </c>
    </row>
    <row r="44" spans="1:45" x14ac:dyDescent="0.25">
      <c r="A44" t="s">
        <v>37</v>
      </c>
      <c r="B44" s="15" t="str">
        <f t="shared" si="65"/>
        <v>DEF</v>
      </c>
      <c r="C44" s="18" t="str">
        <f t="shared" si="65"/>
        <v>IMP/RAP</v>
      </c>
      <c r="D44" s="18" t="str">
        <f t="shared" ref="D44:D51" si="100">D26</f>
        <v>Defensa</v>
      </c>
      <c r="E44" s="18">
        <f t="shared" ref="E44:G44" si="101">Y26</f>
        <v>23</v>
      </c>
      <c r="F44" s="18">
        <f t="shared" si="101"/>
        <v>1</v>
      </c>
      <c r="G44" s="111">
        <f t="shared" si="101"/>
        <v>0</v>
      </c>
      <c r="H44" s="111">
        <f t="shared" si="67"/>
        <v>14.5</v>
      </c>
      <c r="I44" s="111">
        <f t="shared" si="68"/>
        <v>5</v>
      </c>
      <c r="J44" s="111">
        <f t="shared" si="69"/>
        <v>2</v>
      </c>
      <c r="K44" s="111">
        <f t="shared" si="70"/>
        <v>8</v>
      </c>
      <c r="L44" s="111">
        <f t="shared" si="71"/>
        <v>4</v>
      </c>
      <c r="M44" s="111">
        <f t="shared" si="72"/>
        <v>2</v>
      </c>
      <c r="N44" s="47">
        <f t="shared" si="73"/>
        <v>23264.639999999999</v>
      </c>
      <c r="O44" s="229">
        <f t="shared" si="74"/>
        <v>0</v>
      </c>
      <c r="P44" s="229">
        <f t="shared" si="75"/>
        <v>87</v>
      </c>
      <c r="Q44" s="229">
        <f t="shared" si="76"/>
        <v>9</v>
      </c>
      <c r="R44" s="229">
        <f t="shared" si="77"/>
        <v>0</v>
      </c>
      <c r="S44" s="229">
        <f t="shared" si="78"/>
        <v>18</v>
      </c>
      <c r="T44" s="229">
        <f t="shared" si="79"/>
        <v>5</v>
      </c>
      <c r="U44" s="229">
        <f t="shared" si="80"/>
        <v>0</v>
      </c>
      <c r="V44" s="66">
        <f t="shared" si="98"/>
        <v>119</v>
      </c>
      <c r="X44" t="s">
        <v>37</v>
      </c>
      <c r="Y44" s="18">
        <v>23</v>
      </c>
      <c r="Z44" s="18">
        <f t="shared" si="94"/>
        <v>71</v>
      </c>
      <c r="AA44" s="111">
        <f t="shared" si="82"/>
        <v>0</v>
      </c>
      <c r="AB44" s="111">
        <f t="shared" si="83"/>
        <v>14.5</v>
      </c>
      <c r="AC44" s="111">
        <f t="shared" si="84"/>
        <v>5</v>
      </c>
      <c r="AD44" s="111">
        <f t="shared" si="85"/>
        <v>2</v>
      </c>
      <c r="AE44" s="111">
        <v>10</v>
      </c>
      <c r="AF44" s="111">
        <f t="shared" si="86"/>
        <v>4</v>
      </c>
      <c r="AG44" s="111">
        <v>14.5</v>
      </c>
      <c r="AH44" s="47">
        <f>(22685+135+135+125)*1.04</f>
        <v>24003.200000000001</v>
      </c>
      <c r="AI44" s="229">
        <f t="shared" si="87"/>
        <v>0</v>
      </c>
      <c r="AJ44" s="229">
        <f t="shared" si="88"/>
        <v>87</v>
      </c>
      <c r="AK44" s="229">
        <f t="shared" si="89"/>
        <v>9</v>
      </c>
      <c r="AL44" s="229">
        <f t="shared" si="90"/>
        <v>0</v>
      </c>
      <c r="AM44" s="229">
        <f t="shared" si="95"/>
        <v>29</v>
      </c>
      <c r="AN44" s="229">
        <f t="shared" si="91"/>
        <v>5</v>
      </c>
      <c r="AO44" s="229">
        <f t="shared" si="92"/>
        <v>15</v>
      </c>
      <c r="AP44" s="66">
        <f t="shared" si="99"/>
        <v>145</v>
      </c>
      <c r="AQ44" s="110" t="s">
        <v>46</v>
      </c>
      <c r="AR44">
        <v>15</v>
      </c>
      <c r="AS44" s="37">
        <f>AR44/16</f>
        <v>0.9375</v>
      </c>
    </row>
    <row r="45" spans="1:45" x14ac:dyDescent="0.25">
      <c r="A45" t="s">
        <v>34</v>
      </c>
      <c r="B45" s="15" t="str">
        <f t="shared" si="65"/>
        <v>DEF</v>
      </c>
      <c r="C45" s="18" t="str">
        <f t="shared" si="65"/>
        <v>IMP</v>
      </c>
      <c r="D45" s="18" t="str">
        <f t="shared" si="100"/>
        <v>F. Añigas</v>
      </c>
      <c r="E45" s="18">
        <f t="shared" ref="E45:G45" si="102">Y27</f>
        <v>23</v>
      </c>
      <c r="F45" s="18">
        <f t="shared" si="102"/>
        <v>38</v>
      </c>
      <c r="G45" s="111">
        <f t="shared" si="102"/>
        <v>0</v>
      </c>
      <c r="H45" s="111">
        <f t="shared" si="67"/>
        <v>12.818181818181818</v>
      </c>
      <c r="I45" s="111">
        <f t="shared" si="68"/>
        <v>4</v>
      </c>
      <c r="J45" s="111">
        <f t="shared" si="69"/>
        <v>13</v>
      </c>
      <c r="K45" s="111">
        <f t="shared" si="70"/>
        <v>4</v>
      </c>
      <c r="L45" s="111">
        <f t="shared" si="71"/>
        <v>7</v>
      </c>
      <c r="M45" s="111">
        <f t="shared" si="72"/>
        <v>3</v>
      </c>
      <c r="N45" s="47">
        <f t="shared" si="73"/>
        <v>12958.66</v>
      </c>
      <c r="O45" s="229">
        <f t="shared" si="74"/>
        <v>0</v>
      </c>
      <c r="P45" s="229">
        <f t="shared" si="75"/>
        <v>65</v>
      </c>
      <c r="Q45" s="229">
        <f t="shared" si="76"/>
        <v>6</v>
      </c>
      <c r="R45" s="229">
        <f t="shared" si="77"/>
        <v>40</v>
      </c>
      <c r="S45" s="229">
        <f t="shared" si="78"/>
        <v>4</v>
      </c>
      <c r="T45" s="229">
        <f t="shared" si="79"/>
        <v>16</v>
      </c>
      <c r="U45" s="229">
        <f t="shared" si="80"/>
        <v>1</v>
      </c>
      <c r="V45" s="66">
        <f t="shared" si="98"/>
        <v>132</v>
      </c>
      <c r="X45" t="s">
        <v>34</v>
      </c>
      <c r="Y45" s="18">
        <v>23</v>
      </c>
      <c r="Z45" s="18">
        <f t="shared" si="94"/>
        <v>108</v>
      </c>
      <c r="AA45" s="111">
        <f t="shared" si="82"/>
        <v>0</v>
      </c>
      <c r="AB45" s="111">
        <f t="shared" si="83"/>
        <v>12.818181818181818</v>
      </c>
      <c r="AC45" s="111">
        <f t="shared" si="84"/>
        <v>4</v>
      </c>
      <c r="AD45" s="111">
        <f t="shared" si="85"/>
        <v>13</v>
      </c>
      <c r="AE45" s="111">
        <v>7.25</v>
      </c>
      <c r="AF45" s="111">
        <f t="shared" si="86"/>
        <v>7</v>
      </c>
      <c r="AG45" s="111">
        <v>14</v>
      </c>
      <c r="AH45" s="47">
        <f>(7010+125+5300+125+245)*1.04</f>
        <v>13317.2</v>
      </c>
      <c r="AI45" s="229">
        <f t="shared" si="87"/>
        <v>0</v>
      </c>
      <c r="AJ45" s="229">
        <f t="shared" si="88"/>
        <v>65</v>
      </c>
      <c r="AK45" s="229">
        <f t="shared" si="89"/>
        <v>6</v>
      </c>
      <c r="AL45" s="229">
        <f t="shared" si="90"/>
        <v>40</v>
      </c>
      <c r="AM45" s="229">
        <f t="shared" si="95"/>
        <v>15</v>
      </c>
      <c r="AN45" s="229">
        <f t="shared" si="91"/>
        <v>16</v>
      </c>
      <c r="AO45" s="229">
        <f t="shared" si="92"/>
        <v>16</v>
      </c>
      <c r="AP45" s="66">
        <f t="shared" si="99"/>
        <v>158</v>
      </c>
      <c r="AQ45" s="110" t="s">
        <v>308</v>
      </c>
      <c r="AR45">
        <v>11</v>
      </c>
    </row>
    <row r="46" spans="1:45" x14ac:dyDescent="0.25">
      <c r="A46" t="s">
        <v>30</v>
      </c>
      <c r="B46" s="15" t="s">
        <v>29</v>
      </c>
      <c r="C46" s="18" t="str">
        <f t="shared" ref="C46:C51" si="103">C28</f>
        <v>IMP</v>
      </c>
      <c r="D46" s="18" t="str">
        <f t="shared" si="100"/>
        <v>V. Gomis</v>
      </c>
      <c r="E46" s="18">
        <f t="shared" ref="E46:G46" si="104">Y28</f>
        <v>23</v>
      </c>
      <c r="F46" s="18">
        <f t="shared" si="104"/>
        <v>38</v>
      </c>
      <c r="G46" s="111">
        <f t="shared" si="104"/>
        <v>0</v>
      </c>
      <c r="H46" s="111">
        <f t="shared" si="67"/>
        <v>11.9</v>
      </c>
      <c r="I46" s="111">
        <f t="shared" si="68"/>
        <v>3</v>
      </c>
      <c r="J46" s="111">
        <f t="shared" si="69"/>
        <v>12</v>
      </c>
      <c r="K46" s="111">
        <f t="shared" si="70"/>
        <v>6</v>
      </c>
      <c r="L46" s="111">
        <f t="shared" si="71"/>
        <v>7</v>
      </c>
      <c r="M46" s="111">
        <f t="shared" si="72"/>
        <v>3</v>
      </c>
      <c r="N46" s="47">
        <f t="shared" si="73"/>
        <v>7367.36</v>
      </c>
      <c r="O46" s="229">
        <f t="shared" si="74"/>
        <v>0</v>
      </c>
      <c r="P46" s="229">
        <f t="shared" si="75"/>
        <v>55</v>
      </c>
      <c r="Q46" s="229">
        <f t="shared" si="76"/>
        <v>3</v>
      </c>
      <c r="R46" s="229">
        <f t="shared" si="77"/>
        <v>33</v>
      </c>
      <c r="S46" s="229">
        <f t="shared" si="78"/>
        <v>10</v>
      </c>
      <c r="T46" s="229">
        <f t="shared" si="79"/>
        <v>16</v>
      </c>
      <c r="U46" s="229">
        <f t="shared" si="80"/>
        <v>1</v>
      </c>
      <c r="V46" s="66">
        <f t="shared" si="98"/>
        <v>118</v>
      </c>
      <c r="X46" t="s">
        <v>30</v>
      </c>
      <c r="Y46" s="18">
        <v>23</v>
      </c>
      <c r="Z46" s="18">
        <f t="shared" si="94"/>
        <v>108</v>
      </c>
      <c r="AA46" s="111">
        <f t="shared" si="82"/>
        <v>0</v>
      </c>
      <c r="AB46" s="111">
        <f t="shared" si="83"/>
        <v>11.9</v>
      </c>
      <c r="AC46" s="111">
        <f t="shared" si="84"/>
        <v>3</v>
      </c>
      <c r="AD46" s="111">
        <f t="shared" si="85"/>
        <v>12</v>
      </c>
      <c r="AE46" s="111">
        <v>8.5</v>
      </c>
      <c r="AF46" s="111">
        <f t="shared" si="86"/>
        <v>7</v>
      </c>
      <c r="AG46" s="111">
        <v>14</v>
      </c>
      <c r="AH46" s="47">
        <f>(3590+3300+145+245)*1.04</f>
        <v>7571.2</v>
      </c>
      <c r="AI46" s="229">
        <f t="shared" si="87"/>
        <v>0</v>
      </c>
      <c r="AJ46" s="229">
        <f t="shared" si="88"/>
        <v>55</v>
      </c>
      <c r="AK46" s="229">
        <f t="shared" si="89"/>
        <v>3</v>
      </c>
      <c r="AL46" s="229">
        <f t="shared" si="90"/>
        <v>33</v>
      </c>
      <c r="AM46" s="229">
        <f t="shared" si="95"/>
        <v>21</v>
      </c>
      <c r="AN46" s="229">
        <f t="shared" si="91"/>
        <v>16</v>
      </c>
      <c r="AO46" s="229">
        <f t="shared" si="92"/>
        <v>16</v>
      </c>
      <c r="AP46" s="66">
        <f t="shared" si="99"/>
        <v>144</v>
      </c>
      <c r="AQ46" s="110"/>
    </row>
    <row r="47" spans="1:45" x14ac:dyDescent="0.25">
      <c r="A47" t="s">
        <v>42</v>
      </c>
      <c r="B47" s="15" t="str">
        <f t="shared" ref="B47:B54" si="105">B29</f>
        <v>INN</v>
      </c>
      <c r="C47" s="18"/>
      <c r="D47" s="18"/>
      <c r="E47" s="18"/>
      <c r="F47" s="18"/>
      <c r="G47" s="111"/>
      <c r="H47" s="111"/>
      <c r="I47" s="111"/>
      <c r="J47" s="111"/>
      <c r="K47" s="111"/>
      <c r="L47" s="111"/>
      <c r="M47" s="111"/>
      <c r="N47" s="47"/>
      <c r="O47" s="229"/>
      <c r="P47" s="229"/>
      <c r="Q47" s="229"/>
      <c r="R47" s="229"/>
      <c r="S47" s="229"/>
      <c r="T47" s="229"/>
      <c r="U47" s="229"/>
      <c r="V47" s="66">
        <f t="shared" si="98"/>
        <v>0</v>
      </c>
      <c r="X47" t="s">
        <v>42</v>
      </c>
      <c r="Y47" s="18"/>
      <c r="Z47" s="18"/>
      <c r="AA47" s="111"/>
      <c r="AB47" s="111"/>
      <c r="AC47" s="111"/>
      <c r="AD47" s="111"/>
      <c r="AE47" s="111"/>
      <c r="AF47" s="111"/>
      <c r="AG47" s="111"/>
      <c r="AH47" s="47"/>
      <c r="AI47" s="229"/>
      <c r="AJ47" s="229"/>
      <c r="AK47" s="229"/>
      <c r="AL47" s="229"/>
      <c r="AM47" s="229"/>
      <c r="AN47" s="229"/>
      <c r="AO47" s="229"/>
      <c r="AP47" s="66">
        <f t="shared" si="99"/>
        <v>0</v>
      </c>
      <c r="AQ47" s="110"/>
    </row>
    <row r="48" spans="1:45" x14ac:dyDescent="0.25">
      <c r="A48" t="s">
        <v>36</v>
      </c>
      <c r="B48" s="15" t="str">
        <f t="shared" si="105"/>
        <v>INN</v>
      </c>
      <c r="C48" s="18"/>
      <c r="D48" s="18"/>
      <c r="E48" s="18"/>
      <c r="F48" s="18"/>
      <c r="G48" s="111"/>
      <c r="H48" s="111"/>
      <c r="I48" s="111"/>
      <c r="J48" s="111"/>
      <c r="K48" s="111"/>
      <c r="L48" s="111"/>
      <c r="M48" s="111"/>
      <c r="N48" s="47"/>
      <c r="O48" s="229"/>
      <c r="P48" s="229"/>
      <c r="Q48" s="229"/>
      <c r="R48" s="229"/>
      <c r="S48" s="229"/>
      <c r="T48" s="229"/>
      <c r="U48" s="229"/>
      <c r="V48" s="66">
        <f t="shared" si="98"/>
        <v>0</v>
      </c>
      <c r="X48" t="s">
        <v>36</v>
      </c>
      <c r="Y48" s="18"/>
      <c r="Z48" s="18"/>
      <c r="AA48" s="111"/>
      <c r="AB48" s="111"/>
      <c r="AC48" s="111"/>
      <c r="AD48" s="111"/>
      <c r="AE48" s="111"/>
      <c r="AF48" s="111"/>
      <c r="AG48" s="111"/>
      <c r="AH48" s="47"/>
      <c r="AI48" s="229"/>
      <c r="AJ48" s="229"/>
      <c r="AK48" s="229"/>
      <c r="AL48" s="229"/>
      <c r="AM48" s="229"/>
      <c r="AN48" s="229"/>
      <c r="AO48" s="229"/>
      <c r="AP48" s="66">
        <f t="shared" si="99"/>
        <v>0</v>
      </c>
      <c r="AQ48" s="110"/>
    </row>
    <row r="49" spans="1:43" x14ac:dyDescent="0.25">
      <c r="A49" t="s">
        <v>35</v>
      </c>
      <c r="B49" s="15" t="str">
        <f t="shared" si="105"/>
        <v>EXT</v>
      </c>
      <c r="C49" s="18" t="str">
        <f t="shared" si="103"/>
        <v>RAP</v>
      </c>
      <c r="D49" s="18" t="str">
        <f t="shared" si="100"/>
        <v>E. Cubas</v>
      </c>
      <c r="E49" s="18">
        <f t="shared" ref="E49:F49" si="106">Y31</f>
        <v>23</v>
      </c>
      <c r="F49" s="18">
        <f t="shared" si="106"/>
        <v>34</v>
      </c>
      <c r="G49" s="111">
        <f t="shared" ref="G49:G51" si="107">AA31</f>
        <v>0</v>
      </c>
      <c r="H49" s="111">
        <f t="shared" si="67"/>
        <v>10.444444444444445</v>
      </c>
      <c r="I49" s="111">
        <f t="shared" si="68"/>
        <v>5.7</v>
      </c>
      <c r="J49" s="111">
        <f t="shared" si="69"/>
        <v>14.428571428571429</v>
      </c>
      <c r="K49" s="111">
        <f t="shared" si="70"/>
        <v>6</v>
      </c>
      <c r="L49" s="111">
        <f t="shared" si="71"/>
        <v>7</v>
      </c>
      <c r="M49" s="111">
        <f t="shared" si="72"/>
        <v>5</v>
      </c>
      <c r="N49" s="47">
        <f t="shared" si="73"/>
        <v>11612.880000000001</v>
      </c>
      <c r="O49" s="229">
        <f t="shared" si="74"/>
        <v>0</v>
      </c>
      <c r="P49" s="229">
        <f t="shared" si="75"/>
        <v>41</v>
      </c>
      <c r="Q49" s="229">
        <f t="shared" si="76"/>
        <v>13</v>
      </c>
      <c r="R49" s="229">
        <f t="shared" si="77"/>
        <v>50</v>
      </c>
      <c r="S49" s="229">
        <f t="shared" si="78"/>
        <v>10</v>
      </c>
      <c r="T49" s="229">
        <f t="shared" si="79"/>
        <v>16</v>
      </c>
      <c r="U49" s="229">
        <f t="shared" si="80"/>
        <v>3</v>
      </c>
      <c r="V49" s="66">
        <f t="shared" si="98"/>
        <v>133</v>
      </c>
      <c r="X49" t="s">
        <v>35</v>
      </c>
      <c r="Y49" s="18">
        <v>23</v>
      </c>
      <c r="Z49" s="18">
        <f>F49+($AR$44*7)+($AR$45*7)-112</f>
        <v>104</v>
      </c>
      <c r="AA49" s="111">
        <f t="shared" si="82"/>
        <v>0</v>
      </c>
      <c r="AB49" s="111">
        <f t="shared" si="83"/>
        <v>10.444444444444445</v>
      </c>
      <c r="AC49" s="111">
        <f t="shared" si="84"/>
        <v>5.7</v>
      </c>
      <c r="AD49" s="111">
        <f t="shared" si="85"/>
        <v>14.428571428571429</v>
      </c>
      <c r="AE49" s="111">
        <v>8.5</v>
      </c>
      <c r="AF49" s="111">
        <f t="shared" si="86"/>
        <v>7</v>
      </c>
      <c r="AG49" s="111">
        <v>15</v>
      </c>
      <c r="AH49" s="47">
        <f>(9540+1350+150+145+245)*1.045</f>
        <v>11944.349999999999</v>
      </c>
      <c r="AI49" s="229">
        <f t="shared" si="87"/>
        <v>0</v>
      </c>
      <c r="AJ49" s="229">
        <f t="shared" si="88"/>
        <v>41</v>
      </c>
      <c r="AK49" s="229">
        <f t="shared" si="89"/>
        <v>13</v>
      </c>
      <c r="AL49" s="229">
        <f t="shared" si="90"/>
        <v>50</v>
      </c>
      <c r="AM49" s="229">
        <f t="shared" si="95"/>
        <v>21</v>
      </c>
      <c r="AN49" s="229">
        <f t="shared" si="91"/>
        <v>16</v>
      </c>
      <c r="AO49" s="229">
        <f t="shared" si="92"/>
        <v>18</v>
      </c>
      <c r="AP49" s="66">
        <f t="shared" si="99"/>
        <v>159</v>
      </c>
      <c r="AQ49" s="110"/>
    </row>
    <row r="50" spans="1:43" x14ac:dyDescent="0.25">
      <c r="A50" t="s">
        <v>39</v>
      </c>
      <c r="B50" s="15" t="str">
        <f t="shared" si="105"/>
        <v>EXT</v>
      </c>
      <c r="C50" s="18" t="str">
        <f t="shared" si="103"/>
        <v>RAP</v>
      </c>
      <c r="D50" s="18" t="str">
        <f t="shared" si="100"/>
        <v>W. Duffill</v>
      </c>
      <c r="E50" s="18">
        <f t="shared" ref="E50:F50" si="108">Y32</f>
        <v>22</v>
      </c>
      <c r="F50" s="18">
        <f t="shared" si="108"/>
        <v>111</v>
      </c>
      <c r="G50" s="111">
        <f t="shared" si="107"/>
        <v>0</v>
      </c>
      <c r="H50" s="111">
        <f t="shared" si="67"/>
        <v>11.9</v>
      </c>
      <c r="I50" s="111">
        <f t="shared" si="68"/>
        <v>3</v>
      </c>
      <c r="J50" s="111">
        <f t="shared" si="69"/>
        <v>13.333333333333334</v>
      </c>
      <c r="K50" s="111">
        <f t="shared" si="70"/>
        <v>7</v>
      </c>
      <c r="L50" s="111">
        <f t="shared" si="71"/>
        <v>7</v>
      </c>
      <c r="M50" s="111">
        <f t="shared" si="72"/>
        <v>3</v>
      </c>
      <c r="N50" s="47">
        <f t="shared" si="73"/>
        <v>8738.6200000000008</v>
      </c>
      <c r="O50" s="229">
        <f t="shared" si="74"/>
        <v>0</v>
      </c>
      <c r="P50" s="229">
        <f t="shared" si="75"/>
        <v>55</v>
      </c>
      <c r="Q50" s="229">
        <f t="shared" si="76"/>
        <v>3</v>
      </c>
      <c r="R50" s="229">
        <f t="shared" si="77"/>
        <v>42</v>
      </c>
      <c r="S50" s="229">
        <f t="shared" si="78"/>
        <v>14</v>
      </c>
      <c r="T50" s="229">
        <f t="shared" si="79"/>
        <v>16</v>
      </c>
      <c r="U50" s="229">
        <f t="shared" si="80"/>
        <v>1</v>
      </c>
      <c r="V50" s="66">
        <f>SUM(O50:U50)</f>
        <v>131</v>
      </c>
      <c r="X50" t="s">
        <v>39</v>
      </c>
      <c r="Y50" s="18">
        <v>24</v>
      </c>
      <c r="Z50" s="18">
        <f t="shared" si="81"/>
        <v>69</v>
      </c>
      <c r="AA50" s="111">
        <f t="shared" si="82"/>
        <v>0</v>
      </c>
      <c r="AB50" s="111">
        <f t="shared" si="83"/>
        <v>11.9</v>
      </c>
      <c r="AC50" s="111">
        <f t="shared" si="84"/>
        <v>3</v>
      </c>
      <c r="AD50" s="111">
        <f t="shared" si="85"/>
        <v>13.333333333333334</v>
      </c>
      <c r="AE50" s="111">
        <v>9.5</v>
      </c>
      <c r="AF50" s="111">
        <f t="shared" si="86"/>
        <v>7</v>
      </c>
      <c r="AG50" s="111">
        <v>14</v>
      </c>
      <c r="AH50" s="47">
        <f>(4800+3300+165+125+245)*1.04</f>
        <v>8980.4</v>
      </c>
      <c r="AI50" s="229">
        <f t="shared" si="87"/>
        <v>0</v>
      </c>
      <c r="AJ50" s="229">
        <f t="shared" si="88"/>
        <v>55</v>
      </c>
      <c r="AK50" s="229">
        <f t="shared" si="89"/>
        <v>3</v>
      </c>
      <c r="AL50" s="229">
        <f t="shared" si="90"/>
        <v>42</v>
      </c>
      <c r="AM50" s="229">
        <f t="shared" si="95"/>
        <v>25</v>
      </c>
      <c r="AN50" s="229">
        <f t="shared" si="91"/>
        <v>16</v>
      </c>
      <c r="AO50" s="229">
        <f t="shared" si="92"/>
        <v>16</v>
      </c>
      <c r="AP50" s="66">
        <f>SUM(AI50:AO50)</f>
        <v>157</v>
      </c>
      <c r="AQ50" s="110"/>
    </row>
    <row r="51" spans="1:43" x14ac:dyDescent="0.25">
      <c r="A51" t="s">
        <v>33</v>
      </c>
      <c r="B51" s="15" t="str">
        <f t="shared" si="105"/>
        <v>EXT</v>
      </c>
      <c r="C51" s="18" t="str">
        <f t="shared" si="103"/>
        <v>IMP</v>
      </c>
      <c r="D51" s="18" t="str">
        <f t="shared" si="100"/>
        <v>J.G. Peñuela</v>
      </c>
      <c r="E51" s="18">
        <f t="shared" ref="E51:F51" si="109">Y33</f>
        <v>23</v>
      </c>
      <c r="F51" s="18">
        <f t="shared" si="109"/>
        <v>34</v>
      </c>
      <c r="G51" s="111">
        <f t="shared" si="107"/>
        <v>0</v>
      </c>
      <c r="H51" s="111">
        <f t="shared" si="67"/>
        <v>10.777777777777779</v>
      </c>
      <c r="I51" s="111">
        <f t="shared" si="68"/>
        <v>5</v>
      </c>
      <c r="J51" s="111">
        <f t="shared" si="69"/>
        <v>13.833333333333334</v>
      </c>
      <c r="K51" s="111">
        <f t="shared" si="70"/>
        <v>5</v>
      </c>
      <c r="L51" s="111">
        <f t="shared" si="71"/>
        <v>7</v>
      </c>
      <c r="M51" s="111">
        <f t="shared" si="72"/>
        <v>3</v>
      </c>
      <c r="N51" s="47">
        <f t="shared" si="73"/>
        <v>8617.18</v>
      </c>
      <c r="O51" s="229">
        <f t="shared" si="74"/>
        <v>0</v>
      </c>
      <c r="P51" s="229">
        <f t="shared" si="75"/>
        <v>44</v>
      </c>
      <c r="Q51" s="229">
        <f t="shared" si="76"/>
        <v>9</v>
      </c>
      <c r="R51" s="229">
        <f t="shared" si="77"/>
        <v>46</v>
      </c>
      <c r="S51" s="229">
        <f t="shared" si="78"/>
        <v>7</v>
      </c>
      <c r="T51" s="229">
        <f t="shared" si="79"/>
        <v>16</v>
      </c>
      <c r="U51" s="229">
        <f t="shared" si="80"/>
        <v>1</v>
      </c>
      <c r="V51" s="66">
        <f>SUM(O51:U51)</f>
        <v>123</v>
      </c>
      <c r="X51" t="s">
        <v>33</v>
      </c>
      <c r="Y51" s="18">
        <v>23</v>
      </c>
      <c r="Z51" s="18">
        <f>F51+($AR$44*7)+($AR$45*7)-112</f>
        <v>104</v>
      </c>
      <c r="AA51" s="111">
        <f t="shared" si="82"/>
        <v>0</v>
      </c>
      <c r="AB51" s="111">
        <f t="shared" si="83"/>
        <v>10.777777777777779</v>
      </c>
      <c r="AC51" s="111">
        <f t="shared" si="84"/>
        <v>5</v>
      </c>
      <c r="AD51" s="111">
        <f t="shared" si="85"/>
        <v>13.833333333333334</v>
      </c>
      <c r="AE51" s="111">
        <v>8</v>
      </c>
      <c r="AF51" s="111">
        <f t="shared" si="86"/>
        <v>7</v>
      </c>
      <c r="AG51" s="111">
        <v>14</v>
      </c>
      <c r="AH51" s="47">
        <f>(6500+1500+135+135+245)*1.04</f>
        <v>8855.6</v>
      </c>
      <c r="AI51" s="229">
        <f t="shared" si="87"/>
        <v>0</v>
      </c>
      <c r="AJ51" s="229">
        <f t="shared" si="88"/>
        <v>44</v>
      </c>
      <c r="AK51" s="229">
        <f t="shared" si="89"/>
        <v>9</v>
      </c>
      <c r="AL51" s="229">
        <f t="shared" si="90"/>
        <v>46</v>
      </c>
      <c r="AM51" s="229">
        <f t="shared" si="95"/>
        <v>18</v>
      </c>
      <c r="AN51" s="229">
        <f t="shared" si="91"/>
        <v>16</v>
      </c>
      <c r="AO51" s="229">
        <f t="shared" si="92"/>
        <v>16</v>
      </c>
      <c r="AP51" s="66">
        <f>SUM(AI51:AO51)</f>
        <v>149</v>
      </c>
      <c r="AQ51" s="110"/>
    </row>
    <row r="52" spans="1:43" x14ac:dyDescent="0.25">
      <c r="A52" t="s">
        <v>41</v>
      </c>
      <c r="B52" s="15" t="str">
        <f t="shared" si="105"/>
        <v>DAV</v>
      </c>
      <c r="C52" s="18"/>
      <c r="D52" s="18"/>
      <c r="E52" s="18"/>
      <c r="F52" s="18"/>
      <c r="G52" s="111"/>
      <c r="H52" s="111"/>
      <c r="I52" s="111"/>
      <c r="J52" s="111"/>
      <c r="K52" s="111"/>
      <c r="L52" s="111"/>
      <c r="M52" s="111"/>
      <c r="N52" s="47"/>
      <c r="O52" s="229"/>
      <c r="P52" s="229"/>
      <c r="Q52" s="229"/>
      <c r="R52" s="229"/>
      <c r="S52" s="229"/>
      <c r="T52" s="229"/>
      <c r="U52" s="229"/>
      <c r="V52" s="66">
        <f>SUM(O52:U52)</f>
        <v>0</v>
      </c>
      <c r="X52" t="s">
        <v>41</v>
      </c>
      <c r="Y52" s="18"/>
      <c r="Z52" s="18"/>
      <c r="AA52" s="111"/>
      <c r="AB52" s="111"/>
      <c r="AC52" s="111"/>
      <c r="AD52" s="111"/>
      <c r="AE52" s="111"/>
      <c r="AF52" s="111"/>
      <c r="AG52" s="111"/>
      <c r="AH52" s="47"/>
      <c r="AI52" s="229"/>
      <c r="AJ52" s="229"/>
      <c r="AK52" s="229"/>
      <c r="AL52" s="229"/>
      <c r="AM52" s="229"/>
      <c r="AN52" s="229"/>
      <c r="AO52" s="229"/>
      <c r="AP52" s="66">
        <f>SUM(AI52:AO52)</f>
        <v>0</v>
      </c>
      <c r="AQ52" s="110"/>
    </row>
    <row r="53" spans="1:43" x14ac:dyDescent="0.25">
      <c r="A53" t="s">
        <v>45</v>
      </c>
      <c r="B53" s="15" t="str">
        <f t="shared" si="105"/>
        <v>DAV</v>
      </c>
      <c r="C53" s="18"/>
      <c r="D53" s="18"/>
      <c r="E53" s="18"/>
      <c r="F53" s="18"/>
      <c r="G53" s="111"/>
      <c r="H53" s="111"/>
      <c r="I53" s="111"/>
      <c r="J53" s="111"/>
      <c r="K53" s="111"/>
      <c r="L53" s="111"/>
      <c r="M53" s="111"/>
      <c r="N53" s="47"/>
      <c r="O53" s="229"/>
      <c r="P53" s="229"/>
      <c r="Q53" s="229"/>
      <c r="R53" s="229"/>
      <c r="S53" s="229"/>
      <c r="T53" s="229"/>
      <c r="U53" s="229"/>
      <c r="V53" s="66">
        <f>SUM(O53:U53)</f>
        <v>0</v>
      </c>
      <c r="X53" t="s">
        <v>45</v>
      </c>
      <c r="Y53" s="18"/>
      <c r="Z53" s="18"/>
      <c r="AA53" s="111"/>
      <c r="AB53" s="111"/>
      <c r="AC53" s="111"/>
      <c r="AD53" s="111"/>
      <c r="AE53" s="111"/>
      <c r="AF53" s="111"/>
      <c r="AG53" s="111"/>
      <c r="AH53" s="47"/>
      <c r="AI53" s="229"/>
      <c r="AJ53" s="229"/>
      <c r="AK53" s="229"/>
      <c r="AL53" s="229"/>
      <c r="AM53" s="229"/>
      <c r="AN53" s="229"/>
      <c r="AO53" s="229"/>
      <c r="AP53" s="66">
        <f>SUM(AI53:AO53)</f>
        <v>0</v>
      </c>
      <c r="AQ53" s="110"/>
    </row>
    <row r="54" spans="1:43" x14ac:dyDescent="0.25">
      <c r="A54" t="s">
        <v>323</v>
      </c>
      <c r="B54" s="15" t="str">
        <f t="shared" si="105"/>
        <v>DAV</v>
      </c>
      <c r="C54" s="18"/>
      <c r="D54" s="18"/>
      <c r="E54" s="18"/>
      <c r="F54" s="18"/>
      <c r="G54" s="111"/>
      <c r="H54" s="111"/>
      <c r="I54" s="111"/>
      <c r="J54" s="111"/>
      <c r="K54" s="111"/>
      <c r="L54" s="111"/>
      <c r="M54" s="111"/>
      <c r="N54" s="47"/>
      <c r="O54" s="229"/>
      <c r="P54" s="229"/>
      <c r="Q54" s="229"/>
      <c r="R54" s="229"/>
      <c r="S54" s="229"/>
      <c r="T54" s="229"/>
      <c r="U54" s="229"/>
      <c r="V54" s="66">
        <f>SUM(O54:U54)</f>
        <v>0</v>
      </c>
      <c r="X54" t="s">
        <v>323</v>
      </c>
      <c r="Y54" s="18"/>
      <c r="Z54" s="18"/>
      <c r="AA54" s="111"/>
      <c r="AB54" s="111"/>
      <c r="AC54" s="111"/>
      <c r="AD54" s="111"/>
      <c r="AE54" s="111"/>
      <c r="AF54" s="111"/>
      <c r="AG54" s="111"/>
      <c r="AH54" s="47"/>
      <c r="AI54" s="229"/>
      <c r="AJ54" s="229"/>
      <c r="AK54" s="229"/>
      <c r="AL54" s="229"/>
      <c r="AM54" s="229"/>
      <c r="AN54" s="229"/>
      <c r="AO54" s="229"/>
      <c r="AP54" s="66">
        <f>SUM(AI54:AO54)</f>
        <v>0</v>
      </c>
      <c r="AQ54" s="110"/>
    </row>
    <row r="55" spans="1:43" x14ac:dyDescent="0.25">
      <c r="AQ55" s="110"/>
    </row>
    <row r="56" spans="1:43" x14ac:dyDescent="0.25">
      <c r="AQ56" s="110"/>
    </row>
    <row r="57" spans="1:43" x14ac:dyDescent="0.25">
      <c r="AQ57" s="110"/>
    </row>
    <row r="58" spans="1:43" x14ac:dyDescent="0.25">
      <c r="AQ58" s="110"/>
    </row>
    <row r="59" spans="1:43" x14ac:dyDescent="0.25">
      <c r="AQ59" s="110"/>
    </row>
    <row r="60" spans="1:43" x14ac:dyDescent="0.25">
      <c r="AQ60" s="110"/>
    </row>
    <row r="61" spans="1:43" x14ac:dyDescent="0.25">
      <c r="AQ61" s="110"/>
    </row>
    <row r="62" spans="1:43" x14ac:dyDescent="0.25">
      <c r="AQ62" s="110"/>
    </row>
    <row r="63" spans="1:43" x14ac:dyDescent="0.25">
      <c r="AQ63" s="110"/>
    </row>
    <row r="64" spans="1:43"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sheetData>
  <conditionalFormatting sqref="G3:M18">
    <cfRule type="colorScale" priority="18">
      <colorScale>
        <cfvo type="min"/>
        <cfvo type="max"/>
        <color rgb="FFFFEF9C"/>
        <color rgb="FF63BE7B"/>
      </colorScale>
    </cfRule>
  </conditionalFormatting>
  <conditionalFormatting sqref="N3:N18">
    <cfRule type="dataBar" priority="17">
      <dataBar>
        <cfvo type="min"/>
        <cfvo type="max"/>
        <color rgb="FFFF555A"/>
      </dataBar>
      <extLst>
        <ext xmlns:x14="http://schemas.microsoft.com/office/spreadsheetml/2009/9/main" uri="{B025F937-C7B1-47D3-B67F-A62EFF666E3E}">
          <x14:id>{6E875304-AB50-48C1-964F-78DEC091AF1B}</x14:id>
        </ext>
      </extLst>
    </cfRule>
  </conditionalFormatting>
  <conditionalFormatting sqref="O3:U18">
    <cfRule type="colorScale" priority="16">
      <colorScale>
        <cfvo type="min"/>
        <cfvo type="max"/>
        <color rgb="FFFCFCFF"/>
        <color rgb="FF63BE7B"/>
      </colorScale>
    </cfRule>
  </conditionalFormatting>
  <conditionalFormatting sqref="AA3:AG18">
    <cfRule type="colorScale" priority="15">
      <colorScale>
        <cfvo type="min"/>
        <cfvo type="max"/>
        <color rgb="FFFFEF9C"/>
        <color rgb="FF63BE7B"/>
      </colorScale>
    </cfRule>
  </conditionalFormatting>
  <conditionalFormatting sqref="AH3:AH18">
    <cfRule type="dataBar" priority="14">
      <dataBar>
        <cfvo type="min"/>
        <cfvo type="max"/>
        <color rgb="FFFF555A"/>
      </dataBar>
      <extLst>
        <ext xmlns:x14="http://schemas.microsoft.com/office/spreadsheetml/2009/9/main" uri="{B025F937-C7B1-47D3-B67F-A62EFF666E3E}">
          <x14:id>{85250534-3512-402C-9776-4648EC2E069A}</x14:id>
        </ext>
      </extLst>
    </cfRule>
  </conditionalFormatting>
  <conditionalFormatting sqref="AI3:AO18">
    <cfRule type="colorScale" priority="13">
      <colorScale>
        <cfvo type="min"/>
        <cfvo type="max"/>
        <color rgb="FFFCFCFF"/>
        <color rgb="FF63BE7B"/>
      </colorScale>
    </cfRule>
  </conditionalFormatting>
  <conditionalFormatting sqref="G21:M36">
    <cfRule type="colorScale" priority="12">
      <colorScale>
        <cfvo type="min"/>
        <cfvo type="max"/>
        <color rgb="FFFFEF9C"/>
        <color rgb="FF63BE7B"/>
      </colorScale>
    </cfRule>
  </conditionalFormatting>
  <conditionalFormatting sqref="N21:N36">
    <cfRule type="dataBar" priority="11">
      <dataBar>
        <cfvo type="min"/>
        <cfvo type="max"/>
        <color rgb="FFFF555A"/>
      </dataBar>
      <extLst>
        <ext xmlns:x14="http://schemas.microsoft.com/office/spreadsheetml/2009/9/main" uri="{B025F937-C7B1-47D3-B67F-A62EFF666E3E}">
          <x14:id>{DA1C1184-74E0-4F7A-B644-44B87E1EC0FC}</x14:id>
        </ext>
      </extLst>
    </cfRule>
  </conditionalFormatting>
  <conditionalFormatting sqref="O21:U36">
    <cfRule type="colorScale" priority="10">
      <colorScale>
        <cfvo type="min"/>
        <cfvo type="max"/>
        <color rgb="FFFCFCFF"/>
        <color rgb="FF63BE7B"/>
      </colorScale>
    </cfRule>
  </conditionalFormatting>
  <conditionalFormatting sqref="AA21:AG36">
    <cfRule type="colorScale" priority="9">
      <colorScale>
        <cfvo type="min"/>
        <cfvo type="max"/>
        <color rgb="FFFFEF9C"/>
        <color rgb="FF63BE7B"/>
      </colorScale>
    </cfRule>
  </conditionalFormatting>
  <conditionalFormatting sqref="AH21:AH36">
    <cfRule type="dataBar" priority="8">
      <dataBar>
        <cfvo type="min"/>
        <cfvo type="max"/>
        <color rgb="FFFF555A"/>
      </dataBar>
      <extLst>
        <ext xmlns:x14="http://schemas.microsoft.com/office/spreadsheetml/2009/9/main" uri="{B025F937-C7B1-47D3-B67F-A62EFF666E3E}">
          <x14:id>{72D1599D-D8E1-4638-A926-365F0D0D10F8}</x14:id>
        </ext>
      </extLst>
    </cfRule>
  </conditionalFormatting>
  <conditionalFormatting sqref="AI21:AO36">
    <cfRule type="colorScale" priority="7">
      <colorScale>
        <cfvo type="min"/>
        <cfvo type="max"/>
        <color rgb="FFFCFCFF"/>
        <color rgb="FF63BE7B"/>
      </colorScale>
    </cfRule>
  </conditionalFormatting>
  <conditionalFormatting sqref="G39:M54">
    <cfRule type="colorScale" priority="6">
      <colorScale>
        <cfvo type="min"/>
        <cfvo type="max"/>
        <color rgb="FFFFEF9C"/>
        <color rgb="FF63BE7B"/>
      </colorScale>
    </cfRule>
  </conditionalFormatting>
  <conditionalFormatting sqref="N39:N54">
    <cfRule type="dataBar" priority="5">
      <dataBar>
        <cfvo type="min"/>
        <cfvo type="max"/>
        <color rgb="FFFF555A"/>
      </dataBar>
      <extLst>
        <ext xmlns:x14="http://schemas.microsoft.com/office/spreadsheetml/2009/9/main" uri="{B025F937-C7B1-47D3-B67F-A62EFF666E3E}">
          <x14:id>{088ACC03-E21A-472A-8413-5A60B4A547EF}</x14:id>
        </ext>
      </extLst>
    </cfRule>
  </conditionalFormatting>
  <conditionalFormatting sqref="O39:U54">
    <cfRule type="colorScale" priority="4">
      <colorScale>
        <cfvo type="min"/>
        <cfvo type="max"/>
        <color rgb="FFFCFCFF"/>
        <color rgb="FF63BE7B"/>
      </colorScale>
    </cfRule>
  </conditionalFormatting>
  <conditionalFormatting sqref="AA39:AG54">
    <cfRule type="colorScale" priority="3">
      <colorScale>
        <cfvo type="min"/>
        <cfvo type="max"/>
        <color rgb="FFFFEF9C"/>
        <color rgb="FF63BE7B"/>
      </colorScale>
    </cfRule>
  </conditionalFormatting>
  <conditionalFormatting sqref="AH39:AH54">
    <cfRule type="dataBar" priority="2">
      <dataBar>
        <cfvo type="min"/>
        <cfvo type="max"/>
        <color rgb="FFFF555A"/>
      </dataBar>
      <extLst>
        <ext xmlns:x14="http://schemas.microsoft.com/office/spreadsheetml/2009/9/main" uri="{B025F937-C7B1-47D3-B67F-A62EFF666E3E}">
          <x14:id>{6490B220-3C83-4861-8BAF-5556E2198940}</x14:id>
        </ext>
      </extLst>
    </cfRule>
  </conditionalFormatting>
  <conditionalFormatting sqref="AI39:AO54">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E875304-AB50-48C1-964F-78DEC091AF1B}">
            <x14:dataBar minLength="0" maxLength="100" gradient="0">
              <x14:cfvo type="autoMin"/>
              <x14:cfvo type="autoMax"/>
              <x14:negativeFillColor rgb="FFFF0000"/>
              <x14:axisColor rgb="FF000000"/>
            </x14:dataBar>
          </x14:cfRule>
          <xm:sqref>N3:N18</xm:sqref>
        </x14:conditionalFormatting>
        <x14:conditionalFormatting xmlns:xm="http://schemas.microsoft.com/office/excel/2006/main">
          <x14:cfRule type="dataBar" id="{85250534-3512-402C-9776-4648EC2E069A}">
            <x14:dataBar minLength="0" maxLength="100" gradient="0">
              <x14:cfvo type="autoMin"/>
              <x14:cfvo type="autoMax"/>
              <x14:negativeFillColor rgb="FFFF0000"/>
              <x14:axisColor rgb="FF000000"/>
            </x14:dataBar>
          </x14:cfRule>
          <xm:sqref>AH3:AH18</xm:sqref>
        </x14:conditionalFormatting>
        <x14:conditionalFormatting xmlns:xm="http://schemas.microsoft.com/office/excel/2006/main">
          <x14:cfRule type="dataBar" id="{DA1C1184-74E0-4F7A-B644-44B87E1EC0FC}">
            <x14:dataBar minLength="0" maxLength="100" gradient="0">
              <x14:cfvo type="autoMin"/>
              <x14:cfvo type="autoMax"/>
              <x14:negativeFillColor rgb="FFFF0000"/>
              <x14:axisColor rgb="FF000000"/>
            </x14:dataBar>
          </x14:cfRule>
          <xm:sqref>N21:N36</xm:sqref>
        </x14:conditionalFormatting>
        <x14:conditionalFormatting xmlns:xm="http://schemas.microsoft.com/office/excel/2006/main">
          <x14:cfRule type="dataBar" id="{72D1599D-D8E1-4638-A926-365F0D0D10F8}">
            <x14:dataBar minLength="0" maxLength="100" gradient="0">
              <x14:cfvo type="autoMin"/>
              <x14:cfvo type="autoMax"/>
              <x14:negativeFillColor rgb="FFFF0000"/>
              <x14:axisColor rgb="FF000000"/>
            </x14:dataBar>
          </x14:cfRule>
          <xm:sqref>AH21:AH36</xm:sqref>
        </x14:conditionalFormatting>
        <x14:conditionalFormatting xmlns:xm="http://schemas.microsoft.com/office/excel/2006/main">
          <x14:cfRule type="dataBar" id="{088ACC03-E21A-472A-8413-5A60B4A547EF}">
            <x14:dataBar minLength="0" maxLength="100" gradient="0">
              <x14:cfvo type="autoMin"/>
              <x14:cfvo type="autoMax"/>
              <x14:negativeFillColor rgb="FFFF0000"/>
              <x14:axisColor rgb="FF000000"/>
            </x14:dataBar>
          </x14:cfRule>
          <xm:sqref>N39:N54</xm:sqref>
        </x14:conditionalFormatting>
        <x14:conditionalFormatting xmlns:xm="http://schemas.microsoft.com/office/excel/2006/main">
          <x14:cfRule type="dataBar" id="{6490B220-3C83-4861-8BAF-5556E2198940}">
            <x14:dataBar minLength="0" maxLength="100" gradient="0">
              <x14:cfvo type="autoMin"/>
              <x14:cfvo type="autoMax"/>
              <x14:negativeFillColor rgb="FFFF0000"/>
              <x14:axisColor rgb="FF000000"/>
            </x14:dataBar>
          </x14:cfRule>
          <xm:sqref>AH39:AH54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sheetPr>
  <dimension ref="A1:U76"/>
  <sheetViews>
    <sheetView zoomScale="90" zoomScaleNormal="90" workbookViewId="0">
      <pane ySplit="1" topLeftCell="A2" activePane="bottomLeft" state="frozen"/>
      <selection pane="bottomLeft" activeCell="F11" sqref="F11"/>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55" t="s">
        <v>201</v>
      </c>
      <c r="B1" s="255"/>
      <c r="C1" s="255"/>
      <c r="D1" s="255"/>
      <c r="F1" s="10" t="s">
        <v>3</v>
      </c>
      <c r="G1" s="10" t="s">
        <v>4</v>
      </c>
      <c r="H1" s="10" t="s">
        <v>5</v>
      </c>
      <c r="I1" s="34" t="s">
        <v>86</v>
      </c>
      <c r="J1" s="34" t="s">
        <v>7</v>
      </c>
      <c r="K1" s="34" t="s">
        <v>67</v>
      </c>
      <c r="L1" s="34" t="s">
        <v>184</v>
      </c>
      <c r="M1" s="34" t="s">
        <v>266</v>
      </c>
      <c r="N1" s="132" t="s">
        <v>185</v>
      </c>
      <c r="O1" s="132" t="s">
        <v>186</v>
      </c>
      <c r="P1" s="132" t="s">
        <v>261</v>
      </c>
      <c r="Q1" s="132" t="s">
        <v>118</v>
      </c>
      <c r="R1" s="133" t="s">
        <v>187</v>
      </c>
      <c r="S1" s="133" t="s">
        <v>188</v>
      </c>
      <c r="T1" s="133" t="s">
        <v>261</v>
      </c>
      <c r="U1" s="133" t="s">
        <v>118</v>
      </c>
    </row>
    <row r="2" spans="1:21" x14ac:dyDescent="0.25">
      <c r="A2" s="256" t="s">
        <v>202</v>
      </c>
      <c r="B2" s="257" t="s">
        <v>203</v>
      </c>
      <c r="C2" s="257" t="s">
        <v>204</v>
      </c>
      <c r="D2" s="257" t="s">
        <v>205</v>
      </c>
      <c r="F2" s="212" t="s">
        <v>343</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56"/>
      <c r="B3" s="257"/>
      <c r="C3" s="257"/>
      <c r="D3" s="257"/>
      <c r="F3" s="212" t="s">
        <v>344</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203</v>
      </c>
      <c r="B4" s="159" t="s">
        <v>206</v>
      </c>
      <c r="C4" s="159" t="s">
        <v>207</v>
      </c>
      <c r="D4" s="159" t="s">
        <v>207</v>
      </c>
      <c r="F4" s="212" t="s">
        <v>345</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204</v>
      </c>
      <c r="B5" s="161" t="s">
        <v>208</v>
      </c>
      <c r="C5" s="161" t="s">
        <v>209</v>
      </c>
      <c r="D5" s="161" t="s">
        <v>207</v>
      </c>
      <c r="F5" s="212" t="s">
        <v>346</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205</v>
      </c>
      <c r="B6" s="159" t="s">
        <v>210</v>
      </c>
      <c r="C6" s="159" t="s">
        <v>211</v>
      </c>
      <c r="D6" s="159" t="s">
        <v>212</v>
      </c>
      <c r="F6" s="212" t="s">
        <v>348</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213</v>
      </c>
      <c r="B7" s="161" t="s">
        <v>214</v>
      </c>
      <c r="C7" s="161" t="s">
        <v>215</v>
      </c>
      <c r="D7" s="161" t="s">
        <v>216</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217</v>
      </c>
      <c r="B8" s="159" t="s">
        <v>218</v>
      </c>
      <c r="C8" s="159" t="s">
        <v>219</v>
      </c>
      <c r="D8" s="159" t="s">
        <v>220</v>
      </c>
      <c r="F8" s="212" t="s">
        <v>347</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221</v>
      </c>
      <c r="B9" s="161" t="s">
        <v>222</v>
      </c>
      <c r="C9" s="161" t="s">
        <v>223</v>
      </c>
      <c r="D9" s="161" t="s">
        <v>224</v>
      </c>
      <c r="F9" s="212" t="s">
        <v>349</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225</v>
      </c>
      <c r="B10" s="159" t="s">
        <v>226</v>
      </c>
      <c r="C10" s="159" t="s">
        <v>227</v>
      </c>
      <c r="D10" s="159" t="s">
        <v>228</v>
      </c>
      <c r="F10" s="212" t="s">
        <v>350</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229</v>
      </c>
      <c r="B11" s="161" t="s">
        <v>230</v>
      </c>
      <c r="C11" s="161" t="s">
        <v>231</v>
      </c>
      <c r="D11" s="161" t="s">
        <v>232</v>
      </c>
      <c r="F11" s="212" t="s">
        <v>351</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233</v>
      </c>
      <c r="B12" s="159" t="s">
        <v>234</v>
      </c>
      <c r="C12" s="159" t="s">
        <v>235</v>
      </c>
      <c r="D12" s="159" t="s">
        <v>236</v>
      </c>
      <c r="F12" s="212" t="s">
        <v>352</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237</v>
      </c>
      <c r="B13" s="161" t="s">
        <v>238</v>
      </c>
      <c r="C13" s="161" t="s">
        <v>239</v>
      </c>
      <c r="D13" s="161" t="s">
        <v>240</v>
      </c>
      <c r="F13" s="212" t="s">
        <v>355</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241</v>
      </c>
      <c r="B14" s="159" t="s">
        <v>242</v>
      </c>
      <c r="C14" s="159" t="s">
        <v>243</v>
      </c>
      <c r="D14" s="159" t="s">
        <v>244</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245</v>
      </c>
      <c r="B15" s="161" t="s">
        <v>246</v>
      </c>
      <c r="C15" s="161" t="s">
        <v>247</v>
      </c>
      <c r="D15" s="161" t="s">
        <v>248</v>
      </c>
      <c r="F15" s="212" t="s">
        <v>465</v>
      </c>
      <c r="G15">
        <v>40</v>
      </c>
      <c r="H15">
        <v>1</v>
      </c>
      <c r="I15" s="111">
        <v>16.100000000000001</v>
      </c>
      <c r="J15" s="113">
        <v>5</v>
      </c>
      <c r="K15" s="70">
        <v>492</v>
      </c>
      <c r="L15" s="70">
        <v>1100000</v>
      </c>
      <c r="M15" s="128">
        <v>2</v>
      </c>
      <c r="N15" s="70">
        <v>296000</v>
      </c>
      <c r="O15" s="70">
        <f t="shared" ref="O15:O46" si="5">L15+N15</f>
        <v>1396000</v>
      </c>
      <c r="P15" s="134">
        <v>8</v>
      </c>
      <c r="Q15" s="162">
        <f t="shared" ref="Q15:Q46" si="6">O15/P15</f>
        <v>174500</v>
      </c>
      <c r="R15" s="70">
        <v>2100000</v>
      </c>
      <c r="S15" s="70">
        <f t="shared" ref="S15:S46" si="7">R15+L15</f>
        <v>3200000</v>
      </c>
      <c r="T15" s="135">
        <f t="shared" ref="T15:T46" si="8">P15</f>
        <v>8</v>
      </c>
      <c r="U15" s="162">
        <f t="shared" ref="U15:U46" si="9">S15/T15</f>
        <v>400000</v>
      </c>
    </row>
    <row r="16" spans="1:21" x14ac:dyDescent="0.25">
      <c r="A16" s="158" t="s">
        <v>249</v>
      </c>
      <c r="B16" s="159" t="s">
        <v>250</v>
      </c>
      <c r="C16" s="159" t="s">
        <v>251</v>
      </c>
      <c r="D16" s="159" t="s">
        <v>252</v>
      </c>
      <c r="F16" s="212" t="s">
        <v>466</v>
      </c>
      <c r="G16">
        <v>36</v>
      </c>
      <c r="H16">
        <v>0</v>
      </c>
      <c r="I16" s="111">
        <v>27</v>
      </c>
      <c r="J16" s="113">
        <v>5</v>
      </c>
      <c r="K16" s="70">
        <v>7812</v>
      </c>
      <c r="L16" s="70">
        <v>3500000</v>
      </c>
      <c r="M16" s="128">
        <v>3</v>
      </c>
      <c r="N16" s="136">
        <v>161800</v>
      </c>
      <c r="O16" s="70">
        <f t="shared" si="5"/>
        <v>3661800</v>
      </c>
      <c r="P16" s="134">
        <v>8</v>
      </c>
      <c r="Q16" s="162">
        <f t="shared" si="6"/>
        <v>457725</v>
      </c>
      <c r="R16" s="70">
        <v>1150800</v>
      </c>
      <c r="S16" s="70">
        <f t="shared" si="7"/>
        <v>4650800</v>
      </c>
      <c r="T16" s="135">
        <f t="shared" si="8"/>
        <v>8</v>
      </c>
      <c r="U16" s="162">
        <f t="shared" si="9"/>
        <v>581350</v>
      </c>
    </row>
    <row r="17" spans="1:21" x14ac:dyDescent="0.25">
      <c r="A17" s="160" t="s">
        <v>253</v>
      </c>
      <c r="B17" s="161" t="s">
        <v>254</v>
      </c>
      <c r="C17" s="161" t="s">
        <v>255</v>
      </c>
      <c r="D17" s="161" t="s">
        <v>256</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257</v>
      </c>
      <c r="B18" s="159" t="s">
        <v>258</v>
      </c>
      <c r="C18" s="159" t="s">
        <v>259</v>
      </c>
      <c r="D18" s="159" t="s">
        <v>260</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199</v>
      </c>
      <c r="B20" s="10" t="s">
        <v>200</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198</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197</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196</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193</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194</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195</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262</v>
      </c>
      <c r="B28" s="10" t="s">
        <v>263</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136</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104</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105</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106</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107</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265</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264</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270</v>
      </c>
      <c r="B1" s="190" t="s">
        <v>276</v>
      </c>
      <c r="C1" s="190" t="s">
        <v>271</v>
      </c>
      <c r="D1" s="190" t="s">
        <v>275</v>
      </c>
      <c r="E1" s="190" t="s">
        <v>272</v>
      </c>
      <c r="F1" s="190" t="s">
        <v>267</v>
      </c>
      <c r="G1" s="190" t="s">
        <v>268</v>
      </c>
      <c r="H1" s="190" t="s">
        <v>269</v>
      </c>
    </row>
    <row r="2" spans="1:11" x14ac:dyDescent="0.25">
      <c r="A2" s="189">
        <v>54</v>
      </c>
      <c r="B2" s="189" t="s">
        <v>277</v>
      </c>
      <c r="C2" s="189" t="s">
        <v>273</v>
      </c>
      <c r="D2" s="191">
        <v>0.17499999999999999</v>
      </c>
      <c r="E2" s="67">
        <v>0.3</v>
      </c>
      <c r="F2" s="189">
        <f>Empleados!L5</f>
        <v>-0.31299999999999994</v>
      </c>
      <c r="G2" s="46">
        <f>Empleados!M5</f>
        <v>-5.0079999999999991</v>
      </c>
      <c r="H2" s="46">
        <f>Empleados!N5</f>
        <v>-35.055999999999997</v>
      </c>
    </row>
    <row r="3" spans="1:11" x14ac:dyDescent="0.25">
      <c r="A3" s="189">
        <v>55</v>
      </c>
      <c r="B3" s="189" t="s">
        <v>278</v>
      </c>
      <c r="C3" s="189" t="s">
        <v>273</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279</v>
      </c>
      <c r="C4" s="189" t="s">
        <v>274</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280</v>
      </c>
      <c r="C5" s="189" t="s">
        <v>274</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281</v>
      </c>
      <c r="C6" s="189" t="s">
        <v>274</v>
      </c>
      <c r="D6" s="67">
        <v>0.35</v>
      </c>
      <c r="E6" s="67">
        <v>0.05</v>
      </c>
      <c r="F6" s="189">
        <f t="shared" si="0"/>
        <v>0.16500000000000004</v>
      </c>
      <c r="G6" s="46">
        <f t="shared" si="0"/>
        <v>2.6400000000000006</v>
      </c>
      <c r="H6" s="46">
        <f t="shared" si="0"/>
        <v>18.480000000000004</v>
      </c>
    </row>
    <row r="7" spans="1:11" x14ac:dyDescent="0.25">
      <c r="A7" s="189">
        <v>59</v>
      </c>
      <c r="B7" s="189" t="s">
        <v>282</v>
      </c>
      <c r="C7" s="189" t="s">
        <v>274</v>
      </c>
      <c r="D7" s="67">
        <v>0.35</v>
      </c>
      <c r="E7" s="67">
        <v>0.05</v>
      </c>
      <c r="F7" s="189">
        <f t="shared" si="0"/>
        <v>0.16500000000000004</v>
      </c>
      <c r="G7" s="46">
        <f t="shared" si="0"/>
        <v>2.6400000000000006</v>
      </c>
      <c r="H7" s="46">
        <f t="shared" si="0"/>
        <v>18.480000000000004</v>
      </c>
    </row>
    <row r="8" spans="1:11" x14ac:dyDescent="0.25">
      <c r="A8" s="189">
        <v>60</v>
      </c>
      <c r="B8" s="189" t="s">
        <v>283</v>
      </c>
      <c r="C8" s="189" t="s">
        <v>274</v>
      </c>
      <c r="D8" s="67">
        <v>0.35</v>
      </c>
      <c r="E8" s="67">
        <v>0.1</v>
      </c>
      <c r="F8" s="189">
        <f>Empleados!L8</f>
        <v>0.11499999999999999</v>
      </c>
      <c r="G8" s="189">
        <f>Empleados!M8</f>
        <v>1.8399999999999999</v>
      </c>
      <c r="H8" s="189">
        <f>Empleados!N8</f>
        <v>12.879999999999999</v>
      </c>
    </row>
    <row r="9" spans="1:11" x14ac:dyDescent="0.25">
      <c r="A9" s="189">
        <v>61</v>
      </c>
      <c r="B9" s="189" t="s">
        <v>284</v>
      </c>
      <c r="C9" s="189" t="s">
        <v>274</v>
      </c>
      <c r="D9" s="67">
        <v>0.35</v>
      </c>
      <c r="E9" s="67">
        <v>0.1</v>
      </c>
      <c r="F9" s="189">
        <f t="shared" ref="F9:H13" si="1">F8</f>
        <v>0.11499999999999999</v>
      </c>
      <c r="G9" s="189">
        <f t="shared" si="1"/>
        <v>1.8399999999999999</v>
      </c>
      <c r="H9" s="189">
        <f t="shared" si="1"/>
        <v>12.879999999999999</v>
      </c>
    </row>
    <row r="10" spans="1:11" x14ac:dyDescent="0.25">
      <c r="A10" s="189">
        <v>62</v>
      </c>
      <c r="B10" s="189" t="s">
        <v>285</v>
      </c>
      <c r="C10" s="189" t="s">
        <v>274</v>
      </c>
      <c r="D10" s="67">
        <v>0.35</v>
      </c>
      <c r="E10" s="67">
        <v>0.1</v>
      </c>
      <c r="F10" s="189">
        <f t="shared" si="1"/>
        <v>0.11499999999999999</v>
      </c>
      <c r="G10" s="189">
        <f t="shared" si="1"/>
        <v>1.8399999999999999</v>
      </c>
      <c r="H10" s="189">
        <f t="shared" si="1"/>
        <v>12.879999999999999</v>
      </c>
    </row>
    <row r="11" spans="1:11" x14ac:dyDescent="0.25">
      <c r="A11" s="189">
        <v>63</v>
      </c>
      <c r="B11" s="189" t="s">
        <v>286</v>
      </c>
      <c r="C11" s="189" t="s">
        <v>274</v>
      </c>
      <c r="D11" s="67">
        <v>0.35</v>
      </c>
      <c r="E11" s="67">
        <v>0.1</v>
      </c>
      <c r="F11" s="189">
        <f t="shared" si="1"/>
        <v>0.11499999999999999</v>
      </c>
      <c r="G11" s="189">
        <f t="shared" si="1"/>
        <v>1.8399999999999999</v>
      </c>
      <c r="H11" s="189">
        <f t="shared" si="1"/>
        <v>12.879999999999999</v>
      </c>
    </row>
    <row r="12" spans="1:11" x14ac:dyDescent="0.25">
      <c r="A12" s="189">
        <v>64</v>
      </c>
      <c r="B12" s="189" t="s">
        <v>287</v>
      </c>
      <c r="C12" s="189" t="s">
        <v>274</v>
      </c>
      <c r="D12" s="67">
        <v>0.35</v>
      </c>
      <c r="E12" s="67">
        <v>0.1</v>
      </c>
      <c r="F12" s="189">
        <f t="shared" si="1"/>
        <v>0.11499999999999999</v>
      </c>
      <c r="G12" s="189">
        <f t="shared" si="1"/>
        <v>1.8399999999999999</v>
      </c>
      <c r="H12" s="189">
        <f t="shared" si="1"/>
        <v>12.879999999999999</v>
      </c>
    </row>
    <row r="13" spans="1:11" x14ac:dyDescent="0.25">
      <c r="A13" s="189">
        <v>65</v>
      </c>
      <c r="B13" s="189" t="s">
        <v>288</v>
      </c>
      <c r="C13" s="189" t="s">
        <v>274</v>
      </c>
      <c r="D13" s="67">
        <v>0.35</v>
      </c>
      <c r="E13" s="67">
        <v>0.1</v>
      </c>
      <c r="F13" s="189">
        <f t="shared" si="1"/>
        <v>0.11499999999999999</v>
      </c>
      <c r="G13" s="189">
        <f t="shared" si="1"/>
        <v>1.8399999999999999</v>
      </c>
      <c r="H13" s="189">
        <f t="shared" si="1"/>
        <v>12.879999999999999</v>
      </c>
    </row>
    <row r="14" spans="1:11" x14ac:dyDescent="0.25">
      <c r="A14" s="189">
        <v>66</v>
      </c>
      <c r="B14" s="189" t="s">
        <v>289</v>
      </c>
      <c r="C14" s="189" t="s">
        <v>274</v>
      </c>
      <c r="D14" s="191">
        <v>0.17499999999999999</v>
      </c>
      <c r="E14" s="67">
        <v>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T32"/>
  <sheetViews>
    <sheetView workbookViewId="0">
      <selection activeCell="B6" sqref="B6"/>
    </sheetView>
  </sheetViews>
  <sheetFormatPr baseColWidth="10"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style="235" bestFit="1" customWidth="1"/>
    <col min="7" max="7" width="20.85546875" bestFit="1" customWidth="1"/>
    <col min="8" max="8" width="5.85546875" style="220" customWidth="1"/>
    <col min="9" max="9" width="6.85546875" customWidth="1"/>
    <col min="10" max="10" width="5.28515625" style="235" bestFit="1" customWidth="1"/>
    <col min="11" max="11" width="21.7109375" bestFit="1" customWidth="1"/>
    <col min="12" max="12" width="5.85546875" customWidth="1"/>
    <col min="13" max="13" width="6.140625" customWidth="1"/>
    <col min="14" max="14" width="5.28515625" style="235" bestFit="1" customWidth="1"/>
    <col min="15" max="15" width="22" bestFit="1" customWidth="1"/>
    <col min="16" max="16" width="5.85546875" customWidth="1"/>
    <col min="17" max="17" width="5.140625" customWidth="1"/>
    <col min="18" max="18" width="5.28515625" style="235" bestFit="1" customWidth="1"/>
    <col min="19" max="19" width="21.28515625" bestFit="1" customWidth="1"/>
    <col min="20" max="20" width="5.85546875" customWidth="1"/>
  </cols>
  <sheetData>
    <row r="1" spans="1:20" x14ac:dyDescent="0.25">
      <c r="A1" s="221" t="s">
        <v>371</v>
      </c>
      <c r="F1" s="234" t="s">
        <v>418</v>
      </c>
      <c r="G1" s="258" t="s">
        <v>378</v>
      </c>
      <c r="H1" s="258"/>
      <c r="J1" s="234" t="s">
        <v>418</v>
      </c>
      <c r="K1" s="258" t="s">
        <v>419</v>
      </c>
      <c r="L1" s="258"/>
      <c r="N1" s="234" t="s">
        <v>418</v>
      </c>
      <c r="O1" s="258" t="s">
        <v>430</v>
      </c>
      <c r="P1" s="258"/>
      <c r="R1" s="234" t="s">
        <v>418</v>
      </c>
      <c r="S1" s="258" t="s">
        <v>449</v>
      </c>
      <c r="T1" s="258"/>
    </row>
    <row r="2" spans="1:20" x14ac:dyDescent="0.25">
      <c r="A2" s="30">
        <v>43536</v>
      </c>
      <c r="F2" s="66">
        <v>1</v>
      </c>
      <c r="G2" s="222" t="s">
        <v>379</v>
      </c>
      <c r="H2" s="220" t="s">
        <v>380</v>
      </c>
      <c r="J2" s="66">
        <v>1</v>
      </c>
      <c r="K2" s="222" t="s">
        <v>402</v>
      </c>
      <c r="L2" s="220">
        <v>175</v>
      </c>
      <c r="N2" s="66">
        <v>1</v>
      </c>
      <c r="O2" s="222" t="s">
        <v>402</v>
      </c>
      <c r="P2" s="220">
        <v>71</v>
      </c>
      <c r="R2" s="66">
        <v>1</v>
      </c>
      <c r="S2" s="222" t="s">
        <v>387</v>
      </c>
      <c r="T2" s="220">
        <v>58</v>
      </c>
    </row>
    <row r="3" spans="1:20" x14ac:dyDescent="0.25">
      <c r="F3" s="66">
        <v>2</v>
      </c>
      <c r="G3" s="222" t="s">
        <v>381</v>
      </c>
      <c r="H3" s="220" t="s">
        <v>382</v>
      </c>
      <c r="J3" s="66">
        <v>2</v>
      </c>
      <c r="K3" s="222" t="s">
        <v>420</v>
      </c>
      <c r="L3" s="220">
        <v>155</v>
      </c>
      <c r="N3" s="66">
        <v>2</v>
      </c>
      <c r="O3" s="222" t="s">
        <v>423</v>
      </c>
      <c r="P3" s="220">
        <v>29</v>
      </c>
      <c r="R3" s="66">
        <v>2</v>
      </c>
      <c r="S3" s="222" t="s">
        <v>421</v>
      </c>
      <c r="T3" s="220">
        <v>57</v>
      </c>
    </row>
    <row r="4" spans="1:20" x14ac:dyDescent="0.25">
      <c r="A4" s="221" t="s">
        <v>372</v>
      </c>
      <c r="F4" s="66">
        <v>3</v>
      </c>
      <c r="G4" s="222" t="s">
        <v>383</v>
      </c>
      <c r="H4" s="220" t="s">
        <v>384</v>
      </c>
      <c r="J4" s="66">
        <v>3</v>
      </c>
      <c r="K4" s="222" t="s">
        <v>388</v>
      </c>
      <c r="L4" s="220">
        <v>145</v>
      </c>
      <c r="N4" s="66">
        <v>3</v>
      </c>
      <c r="O4" s="222" t="s">
        <v>431</v>
      </c>
      <c r="P4" s="220">
        <v>16</v>
      </c>
      <c r="R4" s="66">
        <v>3</v>
      </c>
      <c r="S4" s="222" t="s">
        <v>381</v>
      </c>
      <c r="T4" s="220">
        <v>44</v>
      </c>
    </row>
    <row r="5" spans="1:20" x14ac:dyDescent="0.25">
      <c r="A5" s="246" t="s">
        <v>373</v>
      </c>
      <c r="B5" t="s">
        <v>491</v>
      </c>
      <c r="C5" s="30">
        <v>42847</v>
      </c>
      <c r="D5" t="s">
        <v>374</v>
      </c>
      <c r="F5" s="66">
        <v>4</v>
      </c>
      <c r="G5" s="222" t="s">
        <v>385</v>
      </c>
      <c r="H5" s="220" t="s">
        <v>386</v>
      </c>
      <c r="J5" s="66">
        <v>4</v>
      </c>
      <c r="K5" s="222" t="s">
        <v>385</v>
      </c>
      <c r="L5" s="220">
        <v>144</v>
      </c>
      <c r="N5" s="66">
        <v>4</v>
      </c>
      <c r="O5" s="222" t="s">
        <v>432</v>
      </c>
      <c r="P5" s="220">
        <v>12</v>
      </c>
      <c r="R5" s="66">
        <v>4</v>
      </c>
      <c r="S5" s="222" t="s">
        <v>379</v>
      </c>
      <c r="T5" s="220">
        <v>42</v>
      </c>
    </row>
    <row r="6" spans="1:20" x14ac:dyDescent="0.25">
      <c r="A6" s="246" t="s">
        <v>375</v>
      </c>
      <c r="B6" t="s">
        <v>376</v>
      </c>
      <c r="C6" s="30">
        <v>42991</v>
      </c>
      <c r="D6" t="s">
        <v>377</v>
      </c>
      <c r="F6" s="66">
        <v>5</v>
      </c>
      <c r="G6" s="222" t="s">
        <v>387</v>
      </c>
      <c r="H6" s="220" t="s">
        <v>386</v>
      </c>
      <c r="J6" s="66">
        <v>5</v>
      </c>
      <c r="K6" s="222" t="s">
        <v>379</v>
      </c>
      <c r="L6" s="220">
        <v>141</v>
      </c>
      <c r="N6" s="66">
        <v>5</v>
      </c>
      <c r="O6" s="222" t="s">
        <v>433</v>
      </c>
      <c r="P6" s="220">
        <v>11</v>
      </c>
      <c r="R6" s="66">
        <v>5</v>
      </c>
      <c r="S6" s="232" t="s">
        <v>297</v>
      </c>
      <c r="T6" s="224">
        <v>38</v>
      </c>
    </row>
    <row r="7" spans="1:20" x14ac:dyDescent="0.25">
      <c r="F7" s="66">
        <v>6</v>
      </c>
      <c r="G7" s="222" t="s">
        <v>388</v>
      </c>
      <c r="H7" s="220" t="s">
        <v>389</v>
      </c>
      <c r="J7" s="66">
        <v>6</v>
      </c>
      <c r="K7" s="222" t="s">
        <v>421</v>
      </c>
      <c r="L7" s="220">
        <v>140</v>
      </c>
      <c r="N7" s="66">
        <v>5</v>
      </c>
      <c r="O7" s="222" t="s">
        <v>434</v>
      </c>
      <c r="P7" s="220">
        <v>11</v>
      </c>
      <c r="R7" s="66">
        <v>6</v>
      </c>
      <c r="S7" s="222" t="s">
        <v>383</v>
      </c>
      <c r="T7" s="220">
        <v>27</v>
      </c>
    </row>
    <row r="8" spans="1:20" x14ac:dyDescent="0.25">
      <c r="F8" s="66">
        <v>7</v>
      </c>
      <c r="G8" s="222" t="s">
        <v>390</v>
      </c>
      <c r="H8" s="220" t="s">
        <v>391</v>
      </c>
      <c r="J8" s="66">
        <v>7</v>
      </c>
      <c r="K8" s="222" t="s">
        <v>424</v>
      </c>
      <c r="L8" s="220">
        <v>135</v>
      </c>
      <c r="N8" s="66">
        <v>7</v>
      </c>
      <c r="O8" s="222" t="s">
        <v>435</v>
      </c>
      <c r="P8" s="220">
        <v>6</v>
      </c>
      <c r="R8" s="66">
        <v>7</v>
      </c>
      <c r="S8" s="222" t="s">
        <v>426</v>
      </c>
      <c r="T8" s="220">
        <v>22</v>
      </c>
    </row>
    <row r="9" spans="1:20" x14ac:dyDescent="0.25">
      <c r="F9" s="66">
        <v>8</v>
      </c>
      <c r="G9" s="222" t="s">
        <v>393</v>
      </c>
      <c r="H9" s="220" t="s">
        <v>392</v>
      </c>
      <c r="J9" s="66">
        <v>8</v>
      </c>
      <c r="K9" s="222" t="s">
        <v>393</v>
      </c>
      <c r="L9" s="220">
        <v>111</v>
      </c>
      <c r="N9" s="66">
        <v>8</v>
      </c>
      <c r="O9" s="222" t="s">
        <v>436</v>
      </c>
      <c r="P9" s="220">
        <v>4</v>
      </c>
      <c r="R9" s="66">
        <v>8</v>
      </c>
      <c r="S9" s="222" t="s">
        <v>450</v>
      </c>
      <c r="T9" s="220">
        <v>20</v>
      </c>
    </row>
    <row r="10" spans="1:20" x14ac:dyDescent="0.25">
      <c r="F10" s="66">
        <v>9</v>
      </c>
      <c r="G10" s="222" t="s">
        <v>394</v>
      </c>
      <c r="H10" s="220" t="s">
        <v>392</v>
      </c>
      <c r="J10" s="66">
        <v>9</v>
      </c>
      <c r="K10" s="222" t="s">
        <v>422</v>
      </c>
      <c r="L10" s="220">
        <v>105</v>
      </c>
      <c r="N10" s="66">
        <v>9</v>
      </c>
      <c r="O10" s="222" t="s">
        <v>437</v>
      </c>
      <c r="P10" s="220">
        <v>3</v>
      </c>
      <c r="R10" s="66">
        <v>9</v>
      </c>
      <c r="S10" s="222" t="s">
        <v>429</v>
      </c>
      <c r="T10" s="220">
        <v>13</v>
      </c>
    </row>
    <row r="11" spans="1:20" x14ac:dyDescent="0.25">
      <c r="F11" s="66">
        <v>10</v>
      </c>
      <c r="G11" s="222" t="s">
        <v>395</v>
      </c>
      <c r="H11" s="220" t="s">
        <v>392</v>
      </c>
      <c r="J11" s="66">
        <v>10</v>
      </c>
      <c r="K11" s="222" t="s">
        <v>423</v>
      </c>
      <c r="L11" s="220">
        <v>93</v>
      </c>
      <c r="N11" s="66">
        <v>10</v>
      </c>
      <c r="O11" s="222" t="s">
        <v>438</v>
      </c>
      <c r="P11" s="220">
        <v>2</v>
      </c>
      <c r="R11" s="66">
        <v>10</v>
      </c>
      <c r="S11" s="222" t="s">
        <v>451</v>
      </c>
      <c r="T11" s="220">
        <v>12</v>
      </c>
    </row>
    <row r="12" spans="1:20" x14ac:dyDescent="0.25">
      <c r="F12" s="66">
        <v>11</v>
      </c>
      <c r="G12" s="222" t="s">
        <v>396</v>
      </c>
      <c r="H12" s="220" t="s">
        <v>392</v>
      </c>
      <c r="J12" s="66">
        <v>11</v>
      </c>
      <c r="K12" s="222" t="s">
        <v>409</v>
      </c>
      <c r="L12" s="220">
        <v>83</v>
      </c>
      <c r="N12" s="66">
        <v>10</v>
      </c>
      <c r="O12" s="225" t="s">
        <v>459</v>
      </c>
      <c r="P12" s="220">
        <v>2</v>
      </c>
      <c r="R12" s="66">
        <v>10</v>
      </c>
      <c r="S12" s="231" t="s">
        <v>368</v>
      </c>
      <c r="T12" s="220">
        <v>12</v>
      </c>
    </row>
    <row r="13" spans="1:20" x14ac:dyDescent="0.25">
      <c r="F13" s="66">
        <v>12</v>
      </c>
      <c r="G13" s="222" t="s">
        <v>398</v>
      </c>
      <c r="H13" s="220" t="s">
        <v>397</v>
      </c>
      <c r="J13" s="66">
        <v>12</v>
      </c>
      <c r="K13" s="222" t="s">
        <v>410</v>
      </c>
      <c r="L13" s="220">
        <v>78</v>
      </c>
      <c r="N13" s="66">
        <v>10</v>
      </c>
      <c r="O13" s="231" t="s">
        <v>460</v>
      </c>
      <c r="P13" s="230">
        <v>2</v>
      </c>
      <c r="R13" s="66">
        <v>10</v>
      </c>
      <c r="S13" s="232" t="s">
        <v>479</v>
      </c>
      <c r="T13" s="246">
        <v>12</v>
      </c>
    </row>
    <row r="14" spans="1:20" x14ac:dyDescent="0.25">
      <c r="F14" s="66">
        <v>13</v>
      </c>
      <c r="G14" s="222" t="s">
        <v>399</v>
      </c>
      <c r="H14" s="220" t="s">
        <v>397</v>
      </c>
      <c r="J14" s="66">
        <v>13</v>
      </c>
      <c r="K14" s="232" t="s">
        <v>292</v>
      </c>
      <c r="L14" s="220">
        <v>69</v>
      </c>
      <c r="N14" s="66">
        <v>10</v>
      </c>
      <c r="O14" s="225" t="s">
        <v>484</v>
      </c>
      <c r="P14" s="220">
        <v>2</v>
      </c>
      <c r="R14" s="66">
        <v>13</v>
      </c>
      <c r="S14" s="222" t="s">
        <v>452</v>
      </c>
      <c r="T14" s="220">
        <v>11</v>
      </c>
    </row>
    <row r="15" spans="1:20" x14ac:dyDescent="0.25">
      <c r="F15" s="66">
        <v>14</v>
      </c>
      <c r="G15" s="222" t="s">
        <v>400</v>
      </c>
      <c r="H15" s="220" t="s">
        <v>397</v>
      </c>
      <c r="J15" s="66">
        <v>14</v>
      </c>
      <c r="K15" s="222" t="s">
        <v>400</v>
      </c>
      <c r="L15" s="220">
        <v>67</v>
      </c>
      <c r="N15" s="66">
        <v>14</v>
      </c>
      <c r="O15" s="222" t="s">
        <v>439</v>
      </c>
      <c r="P15" s="220">
        <v>1</v>
      </c>
      <c r="R15" s="66">
        <v>13</v>
      </c>
      <c r="S15" s="222" t="s">
        <v>433</v>
      </c>
      <c r="T15" s="220">
        <v>11</v>
      </c>
    </row>
    <row r="16" spans="1:20" x14ac:dyDescent="0.25">
      <c r="F16" s="66">
        <v>15</v>
      </c>
      <c r="G16" s="222" t="s">
        <v>401</v>
      </c>
      <c r="H16" s="220" t="s">
        <v>397</v>
      </c>
      <c r="J16" s="66">
        <v>15</v>
      </c>
      <c r="K16" s="232" t="s">
        <v>488</v>
      </c>
      <c r="L16" s="220">
        <v>65</v>
      </c>
      <c r="N16" s="66">
        <v>14</v>
      </c>
      <c r="O16" s="222" t="s">
        <v>440</v>
      </c>
      <c r="P16" s="220">
        <v>1</v>
      </c>
      <c r="R16" s="66">
        <v>14</v>
      </c>
      <c r="S16" s="222" t="s">
        <v>453</v>
      </c>
      <c r="T16" s="220">
        <v>8</v>
      </c>
    </row>
    <row r="17" spans="6:20" x14ac:dyDescent="0.25">
      <c r="F17" s="66">
        <v>16</v>
      </c>
      <c r="G17" s="222" t="s">
        <v>402</v>
      </c>
      <c r="H17" s="220" t="s">
        <v>397</v>
      </c>
      <c r="J17" s="66">
        <v>16</v>
      </c>
      <c r="K17" s="222" t="s">
        <v>387</v>
      </c>
      <c r="L17" s="220">
        <v>64</v>
      </c>
      <c r="N17" s="66">
        <v>14</v>
      </c>
      <c r="O17" s="222" t="s">
        <v>441</v>
      </c>
      <c r="P17" s="220">
        <v>1</v>
      </c>
      <c r="R17" s="66">
        <v>14</v>
      </c>
      <c r="S17" s="222" t="s">
        <v>454</v>
      </c>
      <c r="T17" s="220">
        <v>8</v>
      </c>
    </row>
    <row r="18" spans="6:20" x14ac:dyDescent="0.25">
      <c r="F18" s="66">
        <v>17</v>
      </c>
      <c r="G18" s="222" t="s">
        <v>404</v>
      </c>
      <c r="H18" s="220" t="s">
        <v>403</v>
      </c>
      <c r="J18" s="66">
        <v>17</v>
      </c>
      <c r="K18" s="232" t="s">
        <v>297</v>
      </c>
      <c r="L18" s="220">
        <v>63</v>
      </c>
      <c r="N18" s="66">
        <v>14</v>
      </c>
      <c r="O18" s="222" t="s">
        <v>442</v>
      </c>
      <c r="P18" s="220">
        <v>1</v>
      </c>
      <c r="R18" s="66">
        <v>14</v>
      </c>
      <c r="S18" s="222" t="s">
        <v>428</v>
      </c>
      <c r="T18" s="220">
        <v>8</v>
      </c>
    </row>
    <row r="19" spans="6:20" x14ac:dyDescent="0.25">
      <c r="F19" s="66">
        <v>18</v>
      </c>
      <c r="G19" s="222" t="s">
        <v>405</v>
      </c>
      <c r="H19" s="220" t="s">
        <v>403</v>
      </c>
      <c r="J19" s="66">
        <v>18</v>
      </c>
      <c r="K19" s="222" t="s">
        <v>411</v>
      </c>
      <c r="L19" s="220">
        <v>60</v>
      </c>
      <c r="N19" s="66">
        <v>14</v>
      </c>
      <c r="O19" s="222" t="s">
        <v>443</v>
      </c>
      <c r="P19" s="220">
        <v>1</v>
      </c>
      <c r="R19" s="66">
        <v>17</v>
      </c>
      <c r="S19" s="222" t="s">
        <v>455</v>
      </c>
      <c r="T19" s="220">
        <v>7</v>
      </c>
    </row>
    <row r="20" spans="6:20" x14ac:dyDescent="0.25">
      <c r="F20" s="66">
        <v>19</v>
      </c>
      <c r="G20" s="222" t="s">
        <v>406</v>
      </c>
      <c r="H20" s="220" t="s">
        <v>403</v>
      </c>
      <c r="J20" s="66">
        <v>18</v>
      </c>
      <c r="K20" s="222" t="s">
        <v>401</v>
      </c>
      <c r="L20" s="220">
        <v>60</v>
      </c>
      <c r="N20" s="66">
        <v>14</v>
      </c>
      <c r="O20" s="222" t="s">
        <v>444</v>
      </c>
      <c r="P20" s="220">
        <v>1</v>
      </c>
      <c r="R20" s="66">
        <v>17</v>
      </c>
      <c r="S20" s="222" t="s">
        <v>456</v>
      </c>
      <c r="T20" s="220">
        <v>7</v>
      </c>
    </row>
    <row r="21" spans="6:20" x14ac:dyDescent="0.25">
      <c r="F21" s="66">
        <v>20</v>
      </c>
      <c r="G21" s="222" t="s">
        <v>407</v>
      </c>
      <c r="H21" s="220" t="s">
        <v>403</v>
      </c>
      <c r="J21" s="66">
        <v>20</v>
      </c>
      <c r="K21" s="232" t="s">
        <v>489</v>
      </c>
      <c r="L21" s="220">
        <v>59</v>
      </c>
      <c r="N21" s="66">
        <v>14</v>
      </c>
      <c r="O21" s="222" t="s">
        <v>445</v>
      </c>
      <c r="P21" s="220">
        <v>1</v>
      </c>
      <c r="R21" s="66">
        <v>19</v>
      </c>
      <c r="S21" s="222" t="s">
        <v>457</v>
      </c>
      <c r="T21" s="220">
        <v>6</v>
      </c>
    </row>
    <row r="22" spans="6:20" x14ac:dyDescent="0.25">
      <c r="F22" s="66">
        <v>21</v>
      </c>
      <c r="G22" s="222" t="s">
        <v>408</v>
      </c>
      <c r="H22" s="220" t="s">
        <v>403</v>
      </c>
      <c r="J22" s="66">
        <v>21</v>
      </c>
      <c r="K22" s="222" t="s">
        <v>425</v>
      </c>
      <c r="L22" s="220">
        <v>58</v>
      </c>
      <c r="N22" s="66">
        <v>14</v>
      </c>
      <c r="O22" s="222" t="s">
        <v>446</v>
      </c>
      <c r="P22" s="220">
        <v>1</v>
      </c>
      <c r="R22" s="66">
        <v>19</v>
      </c>
      <c r="S22" s="222" t="s">
        <v>458</v>
      </c>
      <c r="T22" s="220">
        <v>6</v>
      </c>
    </row>
    <row r="23" spans="6:20" x14ac:dyDescent="0.25">
      <c r="F23" s="66">
        <v>22</v>
      </c>
      <c r="G23" s="222" t="s">
        <v>409</v>
      </c>
      <c r="H23" s="220" t="s">
        <v>403</v>
      </c>
      <c r="J23" s="66">
        <v>22</v>
      </c>
      <c r="K23" s="222" t="s">
        <v>426</v>
      </c>
      <c r="L23" s="220">
        <v>57</v>
      </c>
      <c r="N23" s="66">
        <v>14</v>
      </c>
      <c r="O23" s="222" t="s">
        <v>447</v>
      </c>
      <c r="P23" s="220">
        <v>1</v>
      </c>
      <c r="R23" s="66">
        <v>19</v>
      </c>
      <c r="S23" s="222" t="s">
        <v>424</v>
      </c>
      <c r="T23" s="220">
        <v>6</v>
      </c>
    </row>
    <row r="24" spans="6:20" x14ac:dyDescent="0.25">
      <c r="F24" s="66">
        <v>23</v>
      </c>
      <c r="G24" s="222" t="s">
        <v>410</v>
      </c>
      <c r="H24" s="220" t="s">
        <v>403</v>
      </c>
      <c r="J24" s="66">
        <v>22</v>
      </c>
      <c r="K24" s="222" t="s">
        <v>381</v>
      </c>
      <c r="L24" s="220">
        <v>57</v>
      </c>
      <c r="N24" s="66">
        <v>14</v>
      </c>
      <c r="O24" s="222" t="s">
        <v>448</v>
      </c>
      <c r="P24" s="220">
        <v>1</v>
      </c>
    </row>
    <row r="25" spans="6:20" x14ac:dyDescent="0.25">
      <c r="F25" s="66">
        <v>24</v>
      </c>
      <c r="G25" s="222" t="s">
        <v>411</v>
      </c>
      <c r="H25" s="220" t="s">
        <v>403</v>
      </c>
      <c r="J25" s="66">
        <v>22</v>
      </c>
      <c r="K25" s="248" t="s">
        <v>370</v>
      </c>
      <c r="L25" s="220">
        <v>57</v>
      </c>
      <c r="N25" s="66">
        <v>24</v>
      </c>
      <c r="O25" s="225" t="s">
        <v>490</v>
      </c>
      <c r="P25" s="220">
        <v>1</v>
      </c>
    </row>
    <row r="26" spans="6:20" x14ac:dyDescent="0.25">
      <c r="F26" s="66">
        <v>25</v>
      </c>
      <c r="G26" s="222" t="s">
        <v>412</v>
      </c>
      <c r="H26" s="220" t="s">
        <v>403</v>
      </c>
      <c r="J26" s="66">
        <v>25</v>
      </c>
      <c r="K26" s="222" t="s">
        <v>427</v>
      </c>
      <c r="L26" s="220">
        <v>56</v>
      </c>
      <c r="O26" s="110"/>
      <c r="P26" s="220"/>
    </row>
    <row r="27" spans="6:20" x14ac:dyDescent="0.25">
      <c r="F27" s="66">
        <v>26</v>
      </c>
      <c r="G27" s="222" t="s">
        <v>413</v>
      </c>
      <c r="H27" s="220" t="s">
        <v>403</v>
      </c>
      <c r="J27" s="66">
        <v>25</v>
      </c>
      <c r="K27" s="222" t="s">
        <v>405</v>
      </c>
      <c r="L27" s="220">
        <v>56</v>
      </c>
      <c r="O27" s="110"/>
      <c r="P27" s="220"/>
    </row>
    <row r="28" spans="6:20" x14ac:dyDescent="0.25">
      <c r="F28" s="66">
        <v>27</v>
      </c>
      <c r="G28" s="222" t="s">
        <v>414</v>
      </c>
      <c r="H28" s="220" t="s">
        <v>403</v>
      </c>
      <c r="J28" s="66">
        <v>27</v>
      </c>
      <c r="K28" s="222" t="s">
        <v>390</v>
      </c>
      <c r="L28" s="220">
        <v>54</v>
      </c>
      <c r="O28" s="110"/>
      <c r="P28" s="220"/>
    </row>
    <row r="29" spans="6:20" x14ac:dyDescent="0.25">
      <c r="F29" s="66">
        <v>28</v>
      </c>
      <c r="G29" s="222" t="s">
        <v>415</v>
      </c>
      <c r="H29" s="220" t="s">
        <v>403</v>
      </c>
      <c r="J29" s="66">
        <v>28</v>
      </c>
      <c r="K29" s="247" t="s">
        <v>467</v>
      </c>
      <c r="L29" s="233">
        <v>52</v>
      </c>
      <c r="O29" s="110"/>
      <c r="P29" s="220"/>
    </row>
    <row r="30" spans="6:20" x14ac:dyDescent="0.25">
      <c r="F30" s="66">
        <v>29</v>
      </c>
      <c r="G30" s="222" t="s">
        <v>416</v>
      </c>
      <c r="H30" s="220" t="s">
        <v>403</v>
      </c>
      <c r="J30" s="66">
        <v>29</v>
      </c>
      <c r="K30" s="222" t="s">
        <v>414</v>
      </c>
      <c r="L30" s="220">
        <v>51</v>
      </c>
      <c r="O30" s="110"/>
      <c r="P30" s="220"/>
    </row>
    <row r="31" spans="6:20" x14ac:dyDescent="0.25">
      <c r="F31" s="66">
        <v>30</v>
      </c>
      <c r="G31" s="222" t="s">
        <v>417</v>
      </c>
      <c r="H31" s="220" t="s">
        <v>403</v>
      </c>
      <c r="J31" s="66">
        <v>29</v>
      </c>
      <c r="K31" s="222" t="s">
        <v>428</v>
      </c>
      <c r="L31" s="220">
        <v>51</v>
      </c>
      <c r="O31" s="110"/>
      <c r="P31" s="220"/>
    </row>
    <row r="32" spans="6:20" x14ac:dyDescent="0.25">
      <c r="J32"/>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6D45-5D29-403B-85C8-15FC2156DFCE}">
  <sheetPr>
    <tabColor rgb="FFFF0000"/>
  </sheetPr>
  <dimension ref="A1:AS36"/>
  <sheetViews>
    <sheetView zoomScaleNormal="100" workbookViewId="0">
      <selection activeCell="Q15" sqref="Q15"/>
    </sheetView>
  </sheetViews>
  <sheetFormatPr baseColWidth="10" defaultColWidth="11.42578125" defaultRowHeight="15" x14ac:dyDescent="0.25"/>
  <cols>
    <col min="1" max="1" width="5.140625" bestFit="1" customWidth="1"/>
    <col min="2" max="2" width="6.140625" bestFit="1" customWidth="1"/>
    <col min="3" max="3" width="8" bestFit="1" customWidth="1"/>
    <col min="4" max="4" width="13.5703125" bestFit="1" customWidth="1"/>
    <col min="5" max="5" width="4.5703125" bestFit="1" customWidth="1"/>
    <col min="6" max="6" width="5" bestFit="1" customWidth="1"/>
    <col min="7" max="11" width="5.5703125" bestFit="1" customWidth="1"/>
    <col min="12"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3" max="23" width="7.28515625"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style="110" bestFit="1" customWidth="1"/>
    <col min="44" max="45" width="6.140625" style="110" customWidth="1"/>
  </cols>
  <sheetData>
    <row r="1" spans="1:45" x14ac:dyDescent="0.25">
      <c r="N1" s="196">
        <f>SUM(N3:N17)</f>
        <v>96530</v>
      </c>
      <c r="AH1" s="196">
        <f>SUM(AH3:AH17)</f>
        <v>178515.48</v>
      </c>
    </row>
    <row r="2" spans="1:45" x14ac:dyDescent="0.25">
      <c r="A2" s="242" t="s">
        <v>169</v>
      </c>
      <c r="B2" s="242" t="s">
        <v>2</v>
      </c>
      <c r="C2" s="242" t="s">
        <v>83</v>
      </c>
      <c r="D2" s="242" t="s">
        <v>170</v>
      </c>
      <c r="E2" s="242" t="s">
        <v>310</v>
      </c>
      <c r="F2" s="242" t="s">
        <v>311</v>
      </c>
      <c r="G2" s="242" t="s">
        <v>15</v>
      </c>
      <c r="H2" s="242" t="s">
        <v>16</v>
      </c>
      <c r="I2" s="242" t="s">
        <v>17</v>
      </c>
      <c r="J2" s="242" t="s">
        <v>18</v>
      </c>
      <c r="K2" s="242" t="s">
        <v>19</v>
      </c>
      <c r="L2" s="242" t="s">
        <v>20</v>
      </c>
      <c r="M2" s="242" t="s">
        <v>6</v>
      </c>
      <c r="N2" s="242" t="s">
        <v>67</v>
      </c>
      <c r="O2" s="242" t="s">
        <v>312</v>
      </c>
      <c r="P2" s="242" t="s">
        <v>313</v>
      </c>
      <c r="Q2" s="242" t="s">
        <v>314</v>
      </c>
      <c r="R2" s="242" t="s">
        <v>315</v>
      </c>
      <c r="S2" s="242" t="s">
        <v>316</v>
      </c>
      <c r="T2" s="242" t="s">
        <v>317</v>
      </c>
      <c r="U2" s="242" t="s">
        <v>318</v>
      </c>
      <c r="V2" s="242" t="s">
        <v>319</v>
      </c>
      <c r="X2" s="10" t="s">
        <v>169</v>
      </c>
      <c r="Y2" s="10" t="s">
        <v>310</v>
      </c>
      <c r="Z2" s="10" t="s">
        <v>311</v>
      </c>
      <c r="AA2" s="10" t="s">
        <v>15</v>
      </c>
      <c r="AB2" s="10" t="s">
        <v>16</v>
      </c>
      <c r="AC2" s="10" t="s">
        <v>17</v>
      </c>
      <c r="AD2" s="10" t="s">
        <v>18</v>
      </c>
      <c r="AE2" s="10" t="s">
        <v>19</v>
      </c>
      <c r="AF2" s="10" t="s">
        <v>20</v>
      </c>
      <c r="AG2" s="10" t="s">
        <v>6</v>
      </c>
      <c r="AH2" s="10" t="s">
        <v>67</v>
      </c>
      <c r="AI2" s="10" t="s">
        <v>312</v>
      </c>
      <c r="AJ2" s="10" t="s">
        <v>313</v>
      </c>
      <c r="AK2" s="10" t="s">
        <v>314</v>
      </c>
      <c r="AL2" s="10" t="s">
        <v>315</v>
      </c>
      <c r="AM2" s="10" t="s">
        <v>316</v>
      </c>
      <c r="AN2" s="10" t="s">
        <v>317</v>
      </c>
      <c r="AO2" s="10" t="s">
        <v>318</v>
      </c>
      <c r="AP2" s="10" t="s">
        <v>319</v>
      </c>
    </row>
    <row r="3" spans="1:45" x14ac:dyDescent="0.25">
      <c r="A3" t="s">
        <v>28</v>
      </c>
      <c r="B3" s="15" t="s">
        <v>27</v>
      </c>
      <c r="C3" s="18"/>
      <c r="D3" s="18" t="s">
        <v>485</v>
      </c>
      <c r="E3" s="3">
        <f>PLANTILLA!E4</f>
        <v>21</v>
      </c>
      <c r="F3" s="26">
        <f ca="1">PLANTILLA!F4</f>
        <v>62</v>
      </c>
      <c r="G3" s="216">
        <f>PLANTILLA!X4</f>
        <v>15</v>
      </c>
      <c r="H3" s="216">
        <f>PLANTILLA!Y4</f>
        <v>8.1999999999999993</v>
      </c>
      <c r="I3" s="216">
        <f>PLANTILLA!Z4</f>
        <v>0</v>
      </c>
      <c r="J3" s="216">
        <f>PLANTILLA!AA4</f>
        <v>0</v>
      </c>
      <c r="K3" s="216">
        <f>PLANTILLA!AB4</f>
        <v>0</v>
      </c>
      <c r="L3" s="216">
        <f>PLANTILLA!AC4</f>
        <v>1</v>
      </c>
      <c r="M3" s="216">
        <f>PLANTILLA!AD4</f>
        <v>1</v>
      </c>
      <c r="N3" s="47">
        <f>PLANTILLA!V4</f>
        <v>27000</v>
      </c>
      <c r="O3" s="236">
        <v>51.5</v>
      </c>
      <c r="P3" s="236">
        <v>23</v>
      </c>
      <c r="Q3" s="236">
        <v>0</v>
      </c>
      <c r="R3" s="195">
        <v>0</v>
      </c>
      <c r="S3" s="195">
        <v>0</v>
      </c>
      <c r="T3" s="195">
        <v>0</v>
      </c>
      <c r="U3" s="195">
        <v>0</v>
      </c>
      <c r="V3" s="245">
        <f>SUM(O3:U3)</f>
        <v>74.5</v>
      </c>
      <c r="X3" t="s">
        <v>28</v>
      </c>
      <c r="Y3" s="18">
        <f>E3+3</f>
        <v>24</v>
      </c>
      <c r="Z3" s="3">
        <f ca="1">F3+(7*$AR$8)-112-112-112</f>
        <v>-64</v>
      </c>
      <c r="AA3" s="111">
        <f>G3</f>
        <v>15</v>
      </c>
      <c r="AB3" s="111">
        <f>11+6/10</f>
        <v>11.6</v>
      </c>
      <c r="AC3" s="111">
        <f t="shared" ref="AB3:AG18" si="0">I3</f>
        <v>0</v>
      </c>
      <c r="AD3" s="111">
        <f t="shared" si="0"/>
        <v>0</v>
      </c>
      <c r="AE3" s="111">
        <f t="shared" si="0"/>
        <v>0</v>
      </c>
      <c r="AF3" s="111">
        <f t="shared" si="0"/>
        <v>1</v>
      </c>
      <c r="AG3" s="111">
        <f t="shared" si="0"/>
        <v>1</v>
      </c>
      <c r="AH3" s="47">
        <f>(24270+2300)*1.008</f>
        <v>26782.560000000001</v>
      </c>
      <c r="AI3" s="236">
        <f>O3</f>
        <v>51.5</v>
      </c>
      <c r="AJ3" s="236">
        <f>P3+$AR$8</f>
        <v>53</v>
      </c>
      <c r="AK3" s="236">
        <f t="shared" ref="AK3:AO3" si="1">Q3</f>
        <v>0</v>
      </c>
      <c r="AL3" s="236">
        <f t="shared" si="1"/>
        <v>0</v>
      </c>
      <c r="AM3" s="236">
        <f t="shared" si="1"/>
        <v>0</v>
      </c>
      <c r="AN3" s="236">
        <f t="shared" si="1"/>
        <v>0</v>
      </c>
      <c r="AO3" s="236">
        <f t="shared" si="1"/>
        <v>0</v>
      </c>
      <c r="AP3" s="245">
        <f>SUM(AI3:AO3)</f>
        <v>104.5</v>
      </c>
    </row>
    <row r="4" spans="1:45" x14ac:dyDescent="0.25">
      <c r="A4" t="s">
        <v>31</v>
      </c>
      <c r="B4" s="15" t="s">
        <v>29</v>
      </c>
      <c r="C4" s="3"/>
      <c r="D4" s="3" t="s">
        <v>471</v>
      </c>
      <c r="E4" s="3">
        <f>PLANTILLA!E6</f>
        <v>21</v>
      </c>
      <c r="F4" s="3">
        <f ca="1">PLANTILLA!F6</f>
        <v>59</v>
      </c>
      <c r="G4" s="216">
        <f>PLANTILLA!X6</f>
        <v>0</v>
      </c>
      <c r="H4" s="216">
        <f>PLANTILLA!Y6</f>
        <v>13.2</v>
      </c>
      <c r="I4" s="216">
        <f>PLANTILLA!Z6</f>
        <v>5</v>
      </c>
      <c r="J4" s="216">
        <f>PLANTILLA!AA6</f>
        <v>5.4</v>
      </c>
      <c r="K4" s="216">
        <f>PLANTILLA!AB6</f>
        <v>5</v>
      </c>
      <c r="L4" s="216">
        <f>PLANTILLA!AC6</f>
        <v>2</v>
      </c>
      <c r="M4" s="216">
        <f>PLANTILLA!AD6</f>
        <v>1</v>
      </c>
      <c r="N4" s="47">
        <f>PLANTILLA!V6</f>
        <v>9110</v>
      </c>
      <c r="O4" s="236">
        <v>0</v>
      </c>
      <c r="P4" s="236">
        <v>68</v>
      </c>
      <c r="Q4" s="236">
        <v>9</v>
      </c>
      <c r="R4" s="195">
        <v>6</v>
      </c>
      <c r="S4" s="195">
        <v>7</v>
      </c>
      <c r="T4" s="195">
        <v>0</v>
      </c>
      <c r="U4" s="195">
        <v>0</v>
      </c>
      <c r="V4" s="245">
        <f t="shared" ref="V4:V13" si="2">SUM(O4:U4)</f>
        <v>90</v>
      </c>
      <c r="X4" t="s">
        <v>31</v>
      </c>
      <c r="Y4" s="18">
        <f t="shared" ref="Y4:Y15" si="3">E4+3</f>
        <v>24</v>
      </c>
      <c r="Z4" s="3">
        <f t="shared" ref="Z4:Z15" ca="1" si="4">F4+(7*$AR$8)-112-112-112</f>
        <v>-67</v>
      </c>
      <c r="AA4" s="111">
        <f t="shared" ref="AA4:AA18" si="5">G4</f>
        <v>0</v>
      </c>
      <c r="AB4" s="111">
        <f>15+3/18</f>
        <v>15.166666666666666</v>
      </c>
      <c r="AC4" s="111">
        <f t="shared" si="0"/>
        <v>5</v>
      </c>
      <c r="AD4" s="111">
        <f>5+2/10</f>
        <v>5.2</v>
      </c>
      <c r="AE4" s="111">
        <f t="shared" si="0"/>
        <v>5</v>
      </c>
      <c r="AF4" s="111">
        <f t="shared" si="0"/>
        <v>2</v>
      </c>
      <c r="AG4" s="111">
        <f t="shared" si="0"/>
        <v>1</v>
      </c>
      <c r="AH4" s="47">
        <f>(28000+135+130+135)*1.004</f>
        <v>28513.599999999999</v>
      </c>
      <c r="AI4" s="240">
        <f t="shared" ref="AI4:AI18" si="6">O4</f>
        <v>0</v>
      </c>
      <c r="AJ4" s="240">
        <f t="shared" ref="AJ4:AJ15" si="7">P4+$AR$8</f>
        <v>98</v>
      </c>
      <c r="AK4" s="240">
        <f t="shared" ref="AK4:AK18" si="8">Q4</f>
        <v>9</v>
      </c>
      <c r="AL4" s="240">
        <f t="shared" ref="AL4:AL18" si="9">R4</f>
        <v>6</v>
      </c>
      <c r="AM4" s="240">
        <f t="shared" ref="AM4:AM18" si="10">S4</f>
        <v>7</v>
      </c>
      <c r="AN4" s="240">
        <f t="shared" ref="AN4:AN18" si="11">T4</f>
        <v>0</v>
      </c>
      <c r="AO4" s="240">
        <f t="shared" ref="AO4:AO18" si="12">U4</f>
        <v>0</v>
      </c>
      <c r="AP4" s="245">
        <f>SUM(AI4:AO4)</f>
        <v>120</v>
      </c>
    </row>
    <row r="5" spans="1:45" x14ac:dyDescent="0.25">
      <c r="A5" t="s">
        <v>32</v>
      </c>
      <c r="B5" s="15" t="s">
        <v>29</v>
      </c>
      <c r="C5" s="3"/>
      <c r="D5" s="3" t="s">
        <v>472</v>
      </c>
      <c r="E5" s="3">
        <f>PLANTILLA!E8</f>
        <v>21</v>
      </c>
      <c r="F5" s="3">
        <f ca="1">PLANTILLA!F8</f>
        <v>90</v>
      </c>
      <c r="G5" s="216">
        <f>PLANTILLA!X8</f>
        <v>0</v>
      </c>
      <c r="H5" s="216">
        <f>PLANTILLA!Y8</f>
        <v>10.8</v>
      </c>
      <c r="I5" s="216">
        <f>PLANTILLA!Z8</f>
        <v>3</v>
      </c>
      <c r="J5" s="216">
        <f>PLANTILLA!AA8</f>
        <v>7.1999999999999993</v>
      </c>
      <c r="K5" s="216">
        <f>PLANTILLA!AB8</f>
        <v>10</v>
      </c>
      <c r="L5" s="216">
        <f>PLANTILLA!AC8</f>
        <v>3</v>
      </c>
      <c r="M5" s="216">
        <f>PLANTILLA!AD8</f>
        <v>2</v>
      </c>
      <c r="N5" s="47">
        <f>PLANTILLA!V8</f>
        <v>2510</v>
      </c>
      <c r="O5" s="236">
        <v>0</v>
      </c>
      <c r="P5" s="236">
        <v>42</v>
      </c>
      <c r="Q5" s="236">
        <v>3</v>
      </c>
      <c r="R5" s="195">
        <v>11.5</v>
      </c>
      <c r="S5" s="195">
        <v>29</v>
      </c>
      <c r="T5" s="195">
        <v>2</v>
      </c>
      <c r="U5" s="195">
        <v>0</v>
      </c>
      <c r="V5" s="245">
        <f>SUM(O5:U5)</f>
        <v>87.5</v>
      </c>
      <c r="X5" t="s">
        <v>32</v>
      </c>
      <c r="Y5" s="18">
        <f>E5+2</f>
        <v>23</v>
      </c>
      <c r="Z5" s="3">
        <f ca="1">F5+(7*$AR$8)-112-112</f>
        <v>76</v>
      </c>
      <c r="AA5" s="111">
        <f t="shared" si="5"/>
        <v>0</v>
      </c>
      <c r="AB5" s="111">
        <f>13+5/12</f>
        <v>13.416666666666666</v>
      </c>
      <c r="AC5" s="111">
        <f t="shared" si="0"/>
        <v>3</v>
      </c>
      <c r="AD5" s="111">
        <f>7+1/12</f>
        <v>7.083333333333333</v>
      </c>
      <c r="AE5" s="111">
        <f t="shared" si="0"/>
        <v>10</v>
      </c>
      <c r="AF5" s="111">
        <f t="shared" si="0"/>
        <v>3</v>
      </c>
      <c r="AG5" s="111">
        <f t="shared" si="0"/>
        <v>2</v>
      </c>
      <c r="AH5" s="47">
        <f>(195+13000+190)*1.008</f>
        <v>13492.08</v>
      </c>
      <c r="AI5" s="240">
        <f t="shared" si="6"/>
        <v>0</v>
      </c>
      <c r="AJ5" s="240">
        <f t="shared" si="7"/>
        <v>72</v>
      </c>
      <c r="AK5" s="240">
        <f t="shared" si="8"/>
        <v>3</v>
      </c>
      <c r="AL5" s="240">
        <f t="shared" si="9"/>
        <v>11.5</v>
      </c>
      <c r="AM5" s="240">
        <f t="shared" si="10"/>
        <v>29</v>
      </c>
      <c r="AN5" s="240">
        <f t="shared" si="11"/>
        <v>2</v>
      </c>
      <c r="AO5" s="240">
        <f t="shared" si="12"/>
        <v>0</v>
      </c>
      <c r="AP5" s="245">
        <f>SUM(AI5:AO5)</f>
        <v>117.5</v>
      </c>
    </row>
    <row r="6" spans="1:45" x14ac:dyDescent="0.25">
      <c r="A6" t="s">
        <v>38</v>
      </c>
      <c r="B6" s="15" t="s">
        <v>29</v>
      </c>
      <c r="C6" s="3"/>
      <c r="D6" s="3" t="s">
        <v>476</v>
      </c>
      <c r="E6" s="3">
        <f>PLANTILLA!E7</f>
        <v>21</v>
      </c>
      <c r="F6" s="26">
        <f ca="1">PLANTILLA!F7</f>
        <v>40</v>
      </c>
      <c r="G6" s="216">
        <f>PLANTILLA!X7</f>
        <v>0</v>
      </c>
      <c r="H6" s="216">
        <f>PLANTILLA!Y7</f>
        <v>13.2</v>
      </c>
      <c r="I6" s="216">
        <f>PLANTILLA!Z7</f>
        <v>5</v>
      </c>
      <c r="J6" s="216">
        <f>PLANTILLA!AA7</f>
        <v>7</v>
      </c>
      <c r="K6" s="216">
        <f>PLANTILLA!AB7</f>
        <v>5</v>
      </c>
      <c r="L6" s="216">
        <f>PLANTILLA!AC7</f>
        <v>1</v>
      </c>
      <c r="M6" s="216">
        <f>PLANTILLA!AD7</f>
        <v>0</v>
      </c>
      <c r="N6" s="47">
        <f>PLANTILLA!V7</f>
        <v>10250</v>
      </c>
      <c r="O6" s="236">
        <v>0</v>
      </c>
      <c r="P6" s="236">
        <v>67</v>
      </c>
      <c r="Q6" s="236">
        <v>9</v>
      </c>
      <c r="R6" s="195">
        <v>10.5</v>
      </c>
      <c r="S6" s="195">
        <v>7</v>
      </c>
      <c r="T6" s="195">
        <v>0</v>
      </c>
      <c r="U6" s="195">
        <v>0</v>
      </c>
      <c r="V6" s="245">
        <f>SUM(O6:U6)</f>
        <v>93.5</v>
      </c>
      <c r="X6" t="s">
        <v>38</v>
      </c>
      <c r="Y6" s="18">
        <f t="shared" si="3"/>
        <v>24</v>
      </c>
      <c r="Z6" s="3">
        <f t="shared" ca="1" si="4"/>
        <v>-86</v>
      </c>
      <c r="AA6" s="111">
        <f t="shared" si="5"/>
        <v>0</v>
      </c>
      <c r="AB6" s="111">
        <f>15+3/18</f>
        <v>15.166666666666666</v>
      </c>
      <c r="AC6" s="111">
        <f t="shared" si="0"/>
        <v>5</v>
      </c>
      <c r="AD6" s="111">
        <f>J6+(0.5*AR9)/4</f>
        <v>7</v>
      </c>
      <c r="AE6" s="111">
        <f t="shared" si="0"/>
        <v>5</v>
      </c>
      <c r="AF6" s="111">
        <f t="shared" si="0"/>
        <v>1</v>
      </c>
      <c r="AG6" s="111">
        <f t="shared" si="0"/>
        <v>0</v>
      </c>
      <c r="AH6" s="47">
        <f>(28000+135+130+135)*1.004</f>
        <v>28513.599999999999</v>
      </c>
      <c r="AI6" s="240">
        <f t="shared" si="6"/>
        <v>0</v>
      </c>
      <c r="AJ6" s="240">
        <f t="shared" si="7"/>
        <v>97</v>
      </c>
      <c r="AK6" s="240">
        <f t="shared" si="8"/>
        <v>9</v>
      </c>
      <c r="AL6" s="240">
        <f t="shared" si="9"/>
        <v>10.5</v>
      </c>
      <c r="AM6" s="240">
        <f t="shared" si="10"/>
        <v>7</v>
      </c>
      <c r="AN6" s="240">
        <f t="shared" si="11"/>
        <v>0</v>
      </c>
      <c r="AO6" s="240">
        <f t="shared" si="12"/>
        <v>0</v>
      </c>
      <c r="AP6" s="245">
        <f>SUM(AI6:AO6)</f>
        <v>123.5</v>
      </c>
    </row>
    <row r="7" spans="1:45" x14ac:dyDescent="0.25">
      <c r="A7" t="s">
        <v>40</v>
      </c>
      <c r="B7" s="15" t="s">
        <v>29</v>
      </c>
      <c r="C7" s="3"/>
      <c r="D7" s="3" t="s">
        <v>481</v>
      </c>
      <c r="E7" s="3">
        <f>PLANTILLA!E9</f>
        <v>21</v>
      </c>
      <c r="F7" s="26">
        <f ca="1">PLANTILLA!F9</f>
        <v>75</v>
      </c>
      <c r="G7" s="216">
        <f>PLANTILLA!X9</f>
        <v>0</v>
      </c>
      <c r="H7" s="216">
        <f>PLANTILLA!Y9</f>
        <v>8.1999999999999993</v>
      </c>
      <c r="I7" s="216">
        <f>PLANTILLA!Z9</f>
        <v>11</v>
      </c>
      <c r="J7" s="216">
        <f>PLANTILLA!AA9</f>
        <v>4</v>
      </c>
      <c r="K7" s="216">
        <f>PLANTILLA!AB9</f>
        <v>9</v>
      </c>
      <c r="L7" s="216">
        <f>PLANTILLA!AC9</f>
        <v>4</v>
      </c>
      <c r="M7" s="216">
        <f>PLANTILLA!AD9</f>
        <v>1</v>
      </c>
      <c r="N7" s="47">
        <f>PLANTILLA!V9</f>
        <v>5690</v>
      </c>
      <c r="O7" s="236">
        <v>0</v>
      </c>
      <c r="P7" s="236">
        <v>23</v>
      </c>
      <c r="Q7" s="236">
        <v>40</v>
      </c>
      <c r="R7" s="195">
        <v>3.5</v>
      </c>
      <c r="S7" s="195">
        <v>23</v>
      </c>
      <c r="T7" s="195">
        <v>5</v>
      </c>
      <c r="U7" s="195">
        <v>0</v>
      </c>
      <c r="V7" s="245">
        <f t="shared" si="2"/>
        <v>94.5</v>
      </c>
      <c r="X7" t="s">
        <v>40</v>
      </c>
      <c r="Y7" s="18">
        <v>23</v>
      </c>
      <c r="Z7" s="3">
        <f ca="1">F7+(7*$AR$8)-112-112</f>
        <v>61</v>
      </c>
      <c r="AA7" s="111">
        <f t="shared" si="5"/>
        <v>0</v>
      </c>
      <c r="AB7" s="111">
        <f>11+7/10</f>
        <v>11.7</v>
      </c>
      <c r="AC7" s="111">
        <f t="shared" si="0"/>
        <v>11</v>
      </c>
      <c r="AD7" s="111">
        <f t="shared" si="0"/>
        <v>4</v>
      </c>
      <c r="AE7" s="111">
        <f t="shared" si="0"/>
        <v>9</v>
      </c>
      <c r="AF7" s="111">
        <f t="shared" si="0"/>
        <v>4</v>
      </c>
      <c r="AG7" s="111">
        <f t="shared" si="0"/>
        <v>1</v>
      </c>
      <c r="AH7" s="47">
        <f>(6800+2505+145)*1.008</f>
        <v>9525.6</v>
      </c>
      <c r="AI7" s="240">
        <f t="shared" si="6"/>
        <v>0</v>
      </c>
      <c r="AJ7" s="240">
        <f t="shared" si="7"/>
        <v>53</v>
      </c>
      <c r="AK7" s="240">
        <f t="shared" si="8"/>
        <v>40</v>
      </c>
      <c r="AL7" s="240">
        <f t="shared" si="9"/>
        <v>3.5</v>
      </c>
      <c r="AM7" s="240">
        <f t="shared" si="10"/>
        <v>23</v>
      </c>
      <c r="AN7" s="240">
        <f t="shared" si="11"/>
        <v>5</v>
      </c>
      <c r="AO7" s="240">
        <f t="shared" si="12"/>
        <v>0</v>
      </c>
      <c r="AP7" s="245">
        <f t="shared" ref="AP7:AP13" si="13">SUM(AI7:AO7)</f>
        <v>124.5</v>
      </c>
      <c r="AR7" s="217" t="s">
        <v>358</v>
      </c>
      <c r="AS7" s="217" t="s">
        <v>359</v>
      </c>
    </row>
    <row r="8" spans="1:45" x14ac:dyDescent="0.25">
      <c r="A8" t="s">
        <v>37</v>
      </c>
      <c r="B8" s="15" t="s">
        <v>29</v>
      </c>
      <c r="C8" s="3"/>
      <c r="D8" s="3"/>
      <c r="E8" s="3"/>
      <c r="F8" s="3"/>
      <c r="G8" s="216">
        <v>0</v>
      </c>
      <c r="H8" s="131">
        <v>2</v>
      </c>
      <c r="I8" s="216">
        <v>2</v>
      </c>
      <c r="J8" s="131">
        <v>2</v>
      </c>
      <c r="K8" s="216">
        <v>2</v>
      </c>
      <c r="L8" s="131">
        <v>2</v>
      </c>
      <c r="M8" s="216">
        <v>2</v>
      </c>
      <c r="N8" s="47"/>
      <c r="O8" s="236">
        <v>0</v>
      </c>
      <c r="P8" s="236">
        <v>0</v>
      </c>
      <c r="Q8" s="236">
        <v>0</v>
      </c>
      <c r="R8" s="195">
        <v>0</v>
      </c>
      <c r="S8" s="195">
        <v>0</v>
      </c>
      <c r="T8" s="195">
        <v>0</v>
      </c>
      <c r="U8" s="195">
        <v>0</v>
      </c>
      <c r="V8" s="245">
        <f t="shared" si="2"/>
        <v>0</v>
      </c>
      <c r="X8" t="s">
        <v>37</v>
      </c>
      <c r="Y8" s="18"/>
      <c r="Z8" s="3"/>
      <c r="AA8" s="111">
        <f t="shared" si="5"/>
        <v>0</v>
      </c>
      <c r="AB8" s="111">
        <f t="shared" si="0"/>
        <v>2</v>
      </c>
      <c r="AC8" s="111">
        <f t="shared" si="0"/>
        <v>2</v>
      </c>
      <c r="AD8" s="111">
        <f t="shared" si="0"/>
        <v>2</v>
      </c>
      <c r="AE8" s="111">
        <f t="shared" si="0"/>
        <v>2</v>
      </c>
      <c r="AF8" s="111">
        <f t="shared" si="0"/>
        <v>2</v>
      </c>
      <c r="AG8" s="111">
        <f t="shared" si="0"/>
        <v>2</v>
      </c>
      <c r="AH8" s="47"/>
      <c r="AI8" s="240">
        <f t="shared" si="6"/>
        <v>0</v>
      </c>
      <c r="AJ8" s="240">
        <v>0</v>
      </c>
      <c r="AK8" s="240">
        <f t="shared" si="8"/>
        <v>0</v>
      </c>
      <c r="AL8" s="240">
        <f t="shared" si="9"/>
        <v>0</v>
      </c>
      <c r="AM8" s="240">
        <f t="shared" si="10"/>
        <v>0</v>
      </c>
      <c r="AN8" s="240">
        <f t="shared" si="11"/>
        <v>0</v>
      </c>
      <c r="AO8" s="240">
        <f t="shared" si="12"/>
        <v>0</v>
      </c>
      <c r="AP8" s="245">
        <f t="shared" si="13"/>
        <v>0</v>
      </c>
      <c r="AQ8" s="217" t="s">
        <v>29</v>
      </c>
      <c r="AR8" s="110">
        <v>30</v>
      </c>
      <c r="AS8" s="243">
        <f>AR8/16</f>
        <v>1.875</v>
      </c>
    </row>
    <row r="9" spans="1:45" x14ac:dyDescent="0.25">
      <c r="A9" t="s">
        <v>34</v>
      </c>
      <c r="B9" s="15" t="s">
        <v>29</v>
      </c>
      <c r="C9" s="3" t="s">
        <v>294</v>
      </c>
      <c r="D9" s="3" t="s">
        <v>463</v>
      </c>
      <c r="E9" s="3">
        <f>PLANTILLA!E10</f>
        <v>21</v>
      </c>
      <c r="F9" s="3">
        <f ca="1">PLANTILLA!F10</f>
        <v>55</v>
      </c>
      <c r="G9" s="216">
        <f>PLANTILLA!X10</f>
        <v>0</v>
      </c>
      <c r="H9" s="216">
        <f>PLANTILLA!Y10</f>
        <v>10</v>
      </c>
      <c r="I9" s="216">
        <f>PLANTILLA!Z10</f>
        <v>4</v>
      </c>
      <c r="J9" s="216">
        <f>PLANTILLA!AA10</f>
        <v>12.666666666666666</v>
      </c>
      <c r="K9" s="216">
        <f>PLANTILLA!AB10</f>
        <v>4.25</v>
      </c>
      <c r="L9" s="216">
        <f>PLANTILLA!AC10</f>
        <v>7</v>
      </c>
      <c r="M9" s="216">
        <f>PLANTILLA!AD10</f>
        <v>3</v>
      </c>
      <c r="N9" s="47">
        <f>PLANTILLA!V10</f>
        <v>7110</v>
      </c>
      <c r="O9" s="236">
        <v>0</v>
      </c>
      <c r="P9" s="236">
        <v>36</v>
      </c>
      <c r="Q9" s="236">
        <v>6</v>
      </c>
      <c r="R9" s="195">
        <v>40.5</v>
      </c>
      <c r="S9" s="195">
        <v>5</v>
      </c>
      <c r="T9" s="195">
        <v>16</v>
      </c>
      <c r="U9" s="195">
        <v>1</v>
      </c>
      <c r="V9" s="245">
        <f t="shared" si="2"/>
        <v>104.5</v>
      </c>
      <c r="X9" t="s">
        <v>34</v>
      </c>
      <c r="Y9" s="18">
        <f t="shared" si="3"/>
        <v>24</v>
      </c>
      <c r="Z9" s="3">
        <f t="shared" ca="1" si="4"/>
        <v>-71</v>
      </c>
      <c r="AA9" s="111">
        <f t="shared" si="5"/>
        <v>0</v>
      </c>
      <c r="AB9" s="111">
        <f>12+10/11</f>
        <v>12.909090909090908</v>
      </c>
      <c r="AC9" s="111">
        <f t="shared" si="0"/>
        <v>4</v>
      </c>
      <c r="AD9" s="111">
        <v>12.5</v>
      </c>
      <c r="AE9" s="111">
        <f t="shared" si="0"/>
        <v>4.25</v>
      </c>
      <c r="AF9" s="111">
        <f t="shared" si="0"/>
        <v>7</v>
      </c>
      <c r="AG9" s="111">
        <f t="shared" si="0"/>
        <v>3</v>
      </c>
      <c r="AH9" s="47">
        <f>(12930+2985+125+125+245)*1.012</f>
        <v>16606.920000000002</v>
      </c>
      <c r="AI9" s="240">
        <f t="shared" si="6"/>
        <v>0</v>
      </c>
      <c r="AJ9" s="240">
        <f t="shared" si="7"/>
        <v>66</v>
      </c>
      <c r="AK9" s="240">
        <f t="shared" si="8"/>
        <v>6</v>
      </c>
      <c r="AL9" s="240">
        <f t="shared" si="9"/>
        <v>40.5</v>
      </c>
      <c r="AM9" s="240">
        <f t="shared" si="10"/>
        <v>5</v>
      </c>
      <c r="AN9" s="240">
        <f t="shared" si="11"/>
        <v>16</v>
      </c>
      <c r="AO9" s="240">
        <f t="shared" si="12"/>
        <v>1</v>
      </c>
      <c r="AP9" s="245">
        <f t="shared" si="13"/>
        <v>134.5</v>
      </c>
      <c r="AR9" s="244"/>
      <c r="AS9" s="244"/>
    </row>
    <row r="10" spans="1:45" x14ac:dyDescent="0.25">
      <c r="A10" t="s">
        <v>30</v>
      </c>
      <c r="B10" s="15" t="s">
        <v>29</v>
      </c>
      <c r="C10" s="3" t="s">
        <v>294</v>
      </c>
      <c r="D10" s="3" t="s">
        <v>321</v>
      </c>
      <c r="E10" s="3">
        <f>PLANTILLA!E12</f>
        <v>21</v>
      </c>
      <c r="F10" s="3">
        <f ca="1">PLANTILLA!F12</f>
        <v>55</v>
      </c>
      <c r="G10" s="216">
        <f>PLANTILLA!X12</f>
        <v>0</v>
      </c>
      <c r="H10" s="216">
        <f>PLANTILLA!Y12</f>
        <v>8.4</v>
      </c>
      <c r="I10" s="216">
        <f>PLANTILLA!Z12</f>
        <v>3</v>
      </c>
      <c r="J10" s="216">
        <f>PLANTILLA!AA12</f>
        <v>12</v>
      </c>
      <c r="K10" s="216">
        <f>PLANTILLA!AB12</f>
        <v>6.0000000000000009</v>
      </c>
      <c r="L10" s="216">
        <f>PLANTILLA!AC12</f>
        <v>7.25</v>
      </c>
      <c r="M10" s="216">
        <f>PLANTILLA!AD12</f>
        <v>3</v>
      </c>
      <c r="N10" s="47">
        <f>PLANTILLA!V12</f>
        <v>4950</v>
      </c>
      <c r="O10" s="236">
        <v>0</v>
      </c>
      <c r="P10" s="236">
        <f>15.2+1+7+1</f>
        <v>24.2</v>
      </c>
      <c r="Q10" s="236">
        <v>3</v>
      </c>
      <c r="R10" s="195">
        <v>32.5</v>
      </c>
      <c r="S10" s="195">
        <v>10</v>
      </c>
      <c r="T10" s="195">
        <v>17</v>
      </c>
      <c r="U10" s="195">
        <v>1</v>
      </c>
      <c r="V10" s="245">
        <f t="shared" si="2"/>
        <v>87.7</v>
      </c>
      <c r="X10" t="s">
        <v>30</v>
      </c>
      <c r="Y10" s="18">
        <f t="shared" si="3"/>
        <v>24</v>
      </c>
      <c r="Z10" s="3">
        <f t="shared" ca="1" si="4"/>
        <v>-71</v>
      </c>
      <c r="AA10" s="111">
        <f t="shared" si="5"/>
        <v>0</v>
      </c>
      <c r="AB10" s="111">
        <v>12</v>
      </c>
      <c r="AC10" s="111">
        <f t="shared" si="0"/>
        <v>3</v>
      </c>
      <c r="AD10" s="111">
        <v>11.9</v>
      </c>
      <c r="AE10" s="111">
        <f t="shared" si="0"/>
        <v>6.0000000000000009</v>
      </c>
      <c r="AF10" s="111">
        <f t="shared" si="0"/>
        <v>7.25</v>
      </c>
      <c r="AG10" s="111">
        <f t="shared" si="0"/>
        <v>3</v>
      </c>
      <c r="AH10" s="47">
        <f>(12930+2985+125+125+245)*1.012</f>
        <v>16606.920000000002</v>
      </c>
      <c r="AI10" s="240">
        <f t="shared" si="6"/>
        <v>0</v>
      </c>
      <c r="AJ10" s="240">
        <f t="shared" si="7"/>
        <v>54.2</v>
      </c>
      <c r="AK10" s="240">
        <f t="shared" si="8"/>
        <v>3</v>
      </c>
      <c r="AL10" s="240">
        <f t="shared" si="9"/>
        <v>32.5</v>
      </c>
      <c r="AM10" s="240">
        <f t="shared" si="10"/>
        <v>10</v>
      </c>
      <c r="AN10" s="240">
        <f t="shared" si="11"/>
        <v>17</v>
      </c>
      <c r="AO10" s="240">
        <f t="shared" si="12"/>
        <v>1</v>
      </c>
      <c r="AP10" s="245">
        <f t="shared" si="13"/>
        <v>117.7</v>
      </c>
      <c r="AR10" s="244"/>
      <c r="AS10" s="244"/>
    </row>
    <row r="11" spans="1:45" x14ac:dyDescent="0.25">
      <c r="A11" t="s">
        <v>42</v>
      </c>
      <c r="B11" s="15" t="s">
        <v>366</v>
      </c>
      <c r="C11" s="3"/>
      <c r="D11" s="3"/>
      <c r="E11" s="3"/>
      <c r="F11" s="3"/>
      <c r="G11" s="216">
        <v>0</v>
      </c>
      <c r="H11" s="131">
        <v>2</v>
      </c>
      <c r="I11" s="216">
        <v>2</v>
      </c>
      <c r="J11" s="131">
        <v>2</v>
      </c>
      <c r="K11" s="216">
        <v>2</v>
      </c>
      <c r="L11" s="131">
        <v>2</v>
      </c>
      <c r="M11" s="216">
        <v>2</v>
      </c>
      <c r="N11" s="47"/>
      <c r="O11" s="236">
        <v>0</v>
      </c>
      <c r="P11" s="236">
        <v>0</v>
      </c>
      <c r="Q11" s="236">
        <v>0</v>
      </c>
      <c r="R11" s="195">
        <v>0</v>
      </c>
      <c r="S11" s="195">
        <v>0</v>
      </c>
      <c r="T11" s="195">
        <v>0</v>
      </c>
      <c r="U11" s="195">
        <v>0</v>
      </c>
      <c r="V11" s="245">
        <f t="shared" si="2"/>
        <v>0</v>
      </c>
      <c r="X11" t="s">
        <v>42</v>
      </c>
      <c r="Y11" s="18"/>
      <c r="Z11" s="3"/>
      <c r="AA11" s="111">
        <f t="shared" si="5"/>
        <v>0</v>
      </c>
      <c r="AB11" s="111">
        <f t="shared" si="0"/>
        <v>2</v>
      </c>
      <c r="AC11" s="111">
        <f t="shared" si="0"/>
        <v>2</v>
      </c>
      <c r="AD11" s="111">
        <f t="shared" si="0"/>
        <v>2</v>
      </c>
      <c r="AE11" s="111">
        <f t="shared" si="0"/>
        <v>2</v>
      </c>
      <c r="AF11" s="111">
        <f t="shared" si="0"/>
        <v>2</v>
      </c>
      <c r="AG11" s="111">
        <f t="shared" si="0"/>
        <v>2</v>
      </c>
      <c r="AH11" s="47"/>
      <c r="AI11" s="240">
        <f t="shared" si="6"/>
        <v>0</v>
      </c>
      <c r="AJ11" s="240">
        <v>0</v>
      </c>
      <c r="AK11" s="240">
        <f t="shared" si="8"/>
        <v>0</v>
      </c>
      <c r="AL11" s="240">
        <f t="shared" si="9"/>
        <v>0</v>
      </c>
      <c r="AM11" s="240">
        <f t="shared" si="10"/>
        <v>0</v>
      </c>
      <c r="AN11" s="240">
        <f t="shared" si="11"/>
        <v>0</v>
      </c>
      <c r="AO11" s="240">
        <f t="shared" si="12"/>
        <v>0</v>
      </c>
      <c r="AP11" s="245">
        <f t="shared" si="13"/>
        <v>0</v>
      </c>
    </row>
    <row r="12" spans="1:45" x14ac:dyDescent="0.25">
      <c r="A12" t="s">
        <v>36</v>
      </c>
      <c r="B12" s="15" t="s">
        <v>366</v>
      </c>
      <c r="C12" s="3"/>
      <c r="D12" s="3"/>
      <c r="E12" s="3"/>
      <c r="F12" s="3"/>
      <c r="G12" s="216">
        <v>0</v>
      </c>
      <c r="H12" s="131">
        <v>2</v>
      </c>
      <c r="I12" s="216">
        <v>2</v>
      </c>
      <c r="J12" s="131">
        <v>2</v>
      </c>
      <c r="K12" s="216">
        <v>2</v>
      </c>
      <c r="L12" s="131">
        <v>2</v>
      </c>
      <c r="M12" s="216">
        <v>2</v>
      </c>
      <c r="N12" s="47"/>
      <c r="O12" s="236">
        <v>0</v>
      </c>
      <c r="P12" s="236">
        <v>0</v>
      </c>
      <c r="Q12" s="236">
        <v>0</v>
      </c>
      <c r="R12" s="195">
        <v>0</v>
      </c>
      <c r="S12" s="195">
        <v>0</v>
      </c>
      <c r="T12" s="195">
        <v>0</v>
      </c>
      <c r="U12" s="195">
        <v>0</v>
      </c>
      <c r="V12" s="245">
        <f t="shared" si="2"/>
        <v>0</v>
      </c>
      <c r="X12" t="s">
        <v>36</v>
      </c>
      <c r="Y12" s="18"/>
      <c r="Z12" s="3"/>
      <c r="AA12" s="111">
        <f t="shared" si="5"/>
        <v>0</v>
      </c>
      <c r="AB12" s="111">
        <f t="shared" si="0"/>
        <v>2</v>
      </c>
      <c r="AC12" s="111">
        <f t="shared" si="0"/>
        <v>2</v>
      </c>
      <c r="AD12" s="111">
        <f t="shared" si="0"/>
        <v>2</v>
      </c>
      <c r="AE12" s="111">
        <f t="shared" si="0"/>
        <v>2</v>
      </c>
      <c r="AF12" s="111">
        <f t="shared" si="0"/>
        <v>2</v>
      </c>
      <c r="AG12" s="111">
        <f t="shared" si="0"/>
        <v>2</v>
      </c>
      <c r="AH12" s="47"/>
      <c r="AI12" s="240">
        <f t="shared" si="6"/>
        <v>0</v>
      </c>
      <c r="AJ12" s="240">
        <v>0</v>
      </c>
      <c r="AK12" s="240">
        <f t="shared" si="8"/>
        <v>0</v>
      </c>
      <c r="AL12" s="240">
        <f t="shared" si="9"/>
        <v>0</v>
      </c>
      <c r="AM12" s="240">
        <f t="shared" si="10"/>
        <v>0</v>
      </c>
      <c r="AN12" s="240">
        <f t="shared" si="11"/>
        <v>0</v>
      </c>
      <c r="AO12" s="240">
        <f t="shared" si="12"/>
        <v>0</v>
      </c>
      <c r="AP12" s="245">
        <f t="shared" si="13"/>
        <v>0</v>
      </c>
    </row>
    <row r="13" spans="1:45" x14ac:dyDescent="0.25">
      <c r="A13" t="s">
        <v>35</v>
      </c>
      <c r="B13" s="15" t="s">
        <v>70</v>
      </c>
      <c r="C13" s="3" t="s">
        <v>44</v>
      </c>
      <c r="D13" s="3" t="s">
        <v>320</v>
      </c>
      <c r="E13" s="3">
        <f>PLANTILLA!E17</f>
        <v>21</v>
      </c>
      <c r="F13" s="3">
        <f ca="1">PLANTILLA!F17</f>
        <v>51</v>
      </c>
      <c r="G13" s="216">
        <f>PLANTILLA!X17</f>
        <v>0</v>
      </c>
      <c r="H13" s="216">
        <f>PLANTILLA!Y17</f>
        <v>6.25</v>
      </c>
      <c r="I13" s="216">
        <f>PLANTILLA!Z17</f>
        <v>5.7</v>
      </c>
      <c r="J13" s="216">
        <f>PLANTILLA!AA17</f>
        <v>14.124999999999996</v>
      </c>
      <c r="K13" s="216">
        <f>PLANTILLA!AB17</f>
        <v>6</v>
      </c>
      <c r="L13" s="216">
        <f>PLANTILLA!AC17</f>
        <v>7.5</v>
      </c>
      <c r="M13" s="216">
        <f>PLANTILLA!AD17</f>
        <v>5</v>
      </c>
      <c r="N13" s="47">
        <f>PLANTILLA!V17</f>
        <v>13210</v>
      </c>
      <c r="O13" s="236">
        <v>0</v>
      </c>
      <c r="P13" s="236">
        <v>13</v>
      </c>
      <c r="Q13" s="236">
        <v>10.5</v>
      </c>
      <c r="R13" s="195">
        <v>47.5</v>
      </c>
      <c r="S13" s="195">
        <v>10</v>
      </c>
      <c r="T13" s="195">
        <v>18</v>
      </c>
      <c r="U13" s="195">
        <v>3</v>
      </c>
      <c r="V13" s="245">
        <f t="shared" si="2"/>
        <v>102</v>
      </c>
      <c r="X13" t="s">
        <v>35</v>
      </c>
      <c r="Y13" s="18">
        <f t="shared" si="3"/>
        <v>24</v>
      </c>
      <c r="Z13" s="3">
        <f t="shared" ca="1" si="4"/>
        <v>-75</v>
      </c>
      <c r="AA13" s="111">
        <f t="shared" si="5"/>
        <v>0</v>
      </c>
      <c r="AB13" s="111">
        <f>10+6/9</f>
        <v>10.666666666666666</v>
      </c>
      <c r="AC13" s="111">
        <f t="shared" si="0"/>
        <v>5.7</v>
      </c>
      <c r="AD13" s="111">
        <v>14</v>
      </c>
      <c r="AE13" s="111">
        <f t="shared" si="0"/>
        <v>6</v>
      </c>
      <c r="AF13" s="111">
        <f t="shared" si="0"/>
        <v>7.5</v>
      </c>
      <c r="AG13" s="111">
        <f t="shared" si="0"/>
        <v>5</v>
      </c>
      <c r="AH13" s="47">
        <f>(11610+300+145+150+1200)*1.016</f>
        <v>13619.48</v>
      </c>
      <c r="AI13" s="240">
        <f t="shared" si="6"/>
        <v>0</v>
      </c>
      <c r="AJ13" s="240">
        <f t="shared" si="7"/>
        <v>43</v>
      </c>
      <c r="AK13" s="240">
        <f t="shared" si="8"/>
        <v>10.5</v>
      </c>
      <c r="AL13" s="240">
        <f t="shared" si="9"/>
        <v>47.5</v>
      </c>
      <c r="AM13" s="240">
        <f t="shared" si="10"/>
        <v>10</v>
      </c>
      <c r="AN13" s="240">
        <f t="shared" si="11"/>
        <v>18</v>
      </c>
      <c r="AO13" s="240">
        <f t="shared" si="12"/>
        <v>3</v>
      </c>
      <c r="AP13" s="245">
        <f t="shared" si="13"/>
        <v>132</v>
      </c>
    </row>
    <row r="14" spans="1:45" x14ac:dyDescent="0.25">
      <c r="A14" t="s">
        <v>39</v>
      </c>
      <c r="B14" s="15" t="s">
        <v>70</v>
      </c>
      <c r="C14" s="3" t="s">
        <v>44</v>
      </c>
      <c r="D14" s="3" t="s">
        <v>462</v>
      </c>
      <c r="E14" s="3">
        <f>PLANTILLA!E11</f>
        <v>21</v>
      </c>
      <c r="F14" s="3">
        <f ca="1">PLANTILLA!F11</f>
        <v>16</v>
      </c>
      <c r="G14" s="216">
        <f>PLANTILLA!X11</f>
        <v>0</v>
      </c>
      <c r="H14" s="216">
        <f>PLANTILLA!Y11</f>
        <v>9</v>
      </c>
      <c r="I14" s="216">
        <f>PLANTILLA!Z11</f>
        <v>3</v>
      </c>
      <c r="J14" s="216">
        <f>PLANTILLA!AA11</f>
        <v>13</v>
      </c>
      <c r="K14" s="216">
        <f>PLANTILLA!AB11</f>
        <v>7</v>
      </c>
      <c r="L14" s="216">
        <f>PLANTILLA!AC11</f>
        <v>7</v>
      </c>
      <c r="M14" s="216">
        <f>PLANTILLA!AD11</f>
        <v>3</v>
      </c>
      <c r="N14" s="47">
        <f>PLANTILLA!V11</f>
        <v>8030</v>
      </c>
      <c r="O14" s="236">
        <v>0</v>
      </c>
      <c r="P14" s="236">
        <v>27</v>
      </c>
      <c r="Q14" s="236">
        <v>3</v>
      </c>
      <c r="R14" s="195">
        <v>39.5</v>
      </c>
      <c r="S14" s="195">
        <v>14</v>
      </c>
      <c r="T14" s="195">
        <v>16</v>
      </c>
      <c r="U14" s="195">
        <v>1</v>
      </c>
      <c r="V14" s="245">
        <f>SUM(O14:U14)</f>
        <v>100.5</v>
      </c>
      <c r="X14" t="s">
        <v>39</v>
      </c>
      <c r="Y14" s="18">
        <f>E14+2</f>
        <v>23</v>
      </c>
      <c r="Z14" s="3">
        <f ca="1">F14+(7*$AR$8)-112-112</f>
        <v>2</v>
      </c>
      <c r="AA14" s="111">
        <f t="shared" si="5"/>
        <v>0</v>
      </c>
      <c r="AB14" s="111">
        <f>12+2/11</f>
        <v>12.181818181818182</v>
      </c>
      <c r="AC14" s="111">
        <f t="shared" si="0"/>
        <v>3</v>
      </c>
      <c r="AD14" s="111">
        <f>12+5/6</f>
        <v>12.833333333333334</v>
      </c>
      <c r="AE14" s="111">
        <f t="shared" si="0"/>
        <v>7</v>
      </c>
      <c r="AF14" s="111">
        <f t="shared" si="0"/>
        <v>7</v>
      </c>
      <c r="AG14" s="111">
        <f t="shared" si="0"/>
        <v>3</v>
      </c>
      <c r="AH14" s="47">
        <f>(7000+165+125+245+3505)*1.012</f>
        <v>11172.48</v>
      </c>
      <c r="AI14" s="240">
        <f t="shared" si="6"/>
        <v>0</v>
      </c>
      <c r="AJ14" s="240">
        <f t="shared" si="7"/>
        <v>57</v>
      </c>
      <c r="AK14" s="240">
        <f t="shared" si="8"/>
        <v>3</v>
      </c>
      <c r="AL14" s="240">
        <f t="shared" si="9"/>
        <v>39.5</v>
      </c>
      <c r="AM14" s="240">
        <f t="shared" si="10"/>
        <v>14</v>
      </c>
      <c r="AN14" s="240">
        <f t="shared" si="11"/>
        <v>16</v>
      </c>
      <c r="AO14" s="240">
        <f t="shared" si="12"/>
        <v>1</v>
      </c>
      <c r="AP14" s="245">
        <f>SUM(AI14:AO14)</f>
        <v>130.5</v>
      </c>
    </row>
    <row r="15" spans="1:45" x14ac:dyDescent="0.25">
      <c r="A15" t="s">
        <v>33</v>
      </c>
      <c r="B15" s="15" t="s">
        <v>70</v>
      </c>
      <c r="C15" s="3" t="s">
        <v>294</v>
      </c>
      <c r="D15" s="3" t="s">
        <v>322</v>
      </c>
      <c r="E15" s="3">
        <f>PLANTILLA!E18</f>
        <v>21</v>
      </c>
      <c r="F15" s="3">
        <f ca="1">PLANTILLA!F18</f>
        <v>51</v>
      </c>
      <c r="G15" s="216">
        <f>PLANTILLA!X18</f>
        <v>0</v>
      </c>
      <c r="H15" s="216">
        <f>PLANTILLA!Y18</f>
        <v>7</v>
      </c>
      <c r="I15" s="216">
        <f>PLANTILLA!Z18</f>
        <v>5</v>
      </c>
      <c r="J15" s="216">
        <f>PLANTILLA!AA18</f>
        <v>13.19</v>
      </c>
      <c r="K15" s="216">
        <f>PLANTILLA!AB18</f>
        <v>5</v>
      </c>
      <c r="L15" s="216">
        <f>PLANTILLA!AC18</f>
        <v>7.8016666666666676</v>
      </c>
      <c r="M15" s="216">
        <f>PLANTILLA!AD18</f>
        <v>3</v>
      </c>
      <c r="N15" s="47">
        <f>PLANTILLA!V18</f>
        <v>8670</v>
      </c>
      <c r="O15" s="236">
        <v>0</v>
      </c>
      <c r="P15" s="236">
        <v>16</v>
      </c>
      <c r="Q15" s="236">
        <v>9</v>
      </c>
      <c r="R15" s="195">
        <v>39.880000000000003</v>
      </c>
      <c r="S15" s="195">
        <v>7</v>
      </c>
      <c r="T15" s="195">
        <v>19</v>
      </c>
      <c r="U15" s="195">
        <v>1</v>
      </c>
      <c r="V15" s="245">
        <f>SUM(O15:U15)</f>
        <v>91.88</v>
      </c>
      <c r="X15" t="s">
        <v>33</v>
      </c>
      <c r="Y15" s="18">
        <f t="shared" si="3"/>
        <v>24</v>
      </c>
      <c r="Z15" s="3">
        <f t="shared" ca="1" si="4"/>
        <v>-75</v>
      </c>
      <c r="AA15" s="111">
        <f t="shared" si="5"/>
        <v>0</v>
      </c>
      <c r="AB15" s="111">
        <f>11+1/10</f>
        <v>11.1</v>
      </c>
      <c r="AC15" s="111">
        <f t="shared" si="0"/>
        <v>5</v>
      </c>
      <c r="AD15" s="111">
        <f>13+2/6</f>
        <v>13.333333333333334</v>
      </c>
      <c r="AE15" s="111">
        <f t="shared" si="0"/>
        <v>5</v>
      </c>
      <c r="AF15" s="111">
        <f t="shared" si="0"/>
        <v>7.8016666666666676</v>
      </c>
      <c r="AG15" s="111">
        <f t="shared" si="0"/>
        <v>3</v>
      </c>
      <c r="AH15" s="47">
        <f>(9000+135+135+350+3900)*1.012</f>
        <v>13682.24</v>
      </c>
      <c r="AI15" s="240">
        <f t="shared" si="6"/>
        <v>0</v>
      </c>
      <c r="AJ15" s="240">
        <f t="shared" si="7"/>
        <v>46</v>
      </c>
      <c r="AK15" s="240">
        <f t="shared" si="8"/>
        <v>9</v>
      </c>
      <c r="AL15" s="240">
        <f t="shared" si="9"/>
        <v>39.880000000000003</v>
      </c>
      <c r="AM15" s="240">
        <f t="shared" si="10"/>
        <v>7</v>
      </c>
      <c r="AN15" s="240">
        <f t="shared" si="11"/>
        <v>19</v>
      </c>
      <c r="AO15" s="240">
        <f t="shared" si="12"/>
        <v>1</v>
      </c>
      <c r="AP15" s="245">
        <f>SUM(AI15:AO15)</f>
        <v>121.88</v>
      </c>
    </row>
    <row r="16" spans="1:45" x14ac:dyDescent="0.25">
      <c r="A16" t="s">
        <v>41</v>
      </c>
      <c r="B16" s="15" t="s">
        <v>43</v>
      </c>
      <c r="C16" s="3"/>
      <c r="D16" s="3"/>
      <c r="E16" s="3"/>
      <c r="F16" s="3"/>
      <c r="G16" s="216">
        <v>0</v>
      </c>
      <c r="H16" s="131">
        <v>2</v>
      </c>
      <c r="I16" s="216">
        <v>2</v>
      </c>
      <c r="J16" s="131">
        <v>2</v>
      </c>
      <c r="K16" s="216">
        <v>2</v>
      </c>
      <c r="L16" s="131">
        <v>2</v>
      </c>
      <c r="M16" s="216">
        <v>2</v>
      </c>
      <c r="N16" s="47"/>
      <c r="O16" s="236">
        <v>0</v>
      </c>
      <c r="P16" s="236">
        <v>0</v>
      </c>
      <c r="Q16" s="236">
        <v>0</v>
      </c>
      <c r="R16" s="195">
        <v>0</v>
      </c>
      <c r="S16" s="195">
        <v>0</v>
      </c>
      <c r="T16" s="195">
        <v>0</v>
      </c>
      <c r="U16" s="195">
        <v>0</v>
      </c>
      <c r="V16" s="245">
        <f>SUM(O16:U16)</f>
        <v>0</v>
      </c>
      <c r="X16" t="s">
        <v>41</v>
      </c>
      <c r="Y16" s="3"/>
      <c r="Z16" s="3"/>
      <c r="AA16" s="111">
        <f t="shared" si="5"/>
        <v>0</v>
      </c>
      <c r="AB16" s="111">
        <f t="shared" si="0"/>
        <v>2</v>
      </c>
      <c r="AC16" s="111">
        <f t="shared" si="0"/>
        <v>2</v>
      </c>
      <c r="AD16" s="111">
        <f t="shared" si="0"/>
        <v>2</v>
      </c>
      <c r="AE16" s="111">
        <f t="shared" si="0"/>
        <v>2</v>
      </c>
      <c r="AF16" s="111">
        <f t="shared" si="0"/>
        <v>2</v>
      </c>
      <c r="AG16" s="111">
        <f t="shared" si="0"/>
        <v>2</v>
      </c>
      <c r="AH16" s="47"/>
      <c r="AI16" s="240">
        <f t="shared" si="6"/>
        <v>0</v>
      </c>
      <c r="AJ16" s="240">
        <v>0</v>
      </c>
      <c r="AK16" s="240">
        <f t="shared" si="8"/>
        <v>0</v>
      </c>
      <c r="AL16" s="240">
        <f t="shared" si="9"/>
        <v>0</v>
      </c>
      <c r="AM16" s="240">
        <f t="shared" si="10"/>
        <v>0</v>
      </c>
      <c r="AN16" s="240">
        <f t="shared" si="11"/>
        <v>0</v>
      </c>
      <c r="AO16" s="240">
        <f t="shared" si="12"/>
        <v>0</v>
      </c>
      <c r="AP16" s="245">
        <f>SUM(AI16:AO16)</f>
        <v>0</v>
      </c>
    </row>
    <row r="17" spans="1:45" x14ac:dyDescent="0.25">
      <c r="A17" t="s">
        <v>45</v>
      </c>
      <c r="B17" s="15" t="s">
        <v>43</v>
      </c>
      <c r="C17" s="3"/>
      <c r="D17" s="3"/>
      <c r="E17" s="3"/>
      <c r="F17" s="3"/>
      <c r="G17" s="216">
        <v>0</v>
      </c>
      <c r="H17" s="131">
        <v>2</v>
      </c>
      <c r="I17" s="216">
        <v>2</v>
      </c>
      <c r="J17" s="131">
        <v>2</v>
      </c>
      <c r="K17" s="216">
        <v>2</v>
      </c>
      <c r="L17" s="131">
        <v>2</v>
      </c>
      <c r="M17" s="216">
        <v>2</v>
      </c>
      <c r="N17" s="47"/>
      <c r="O17" s="236">
        <v>0</v>
      </c>
      <c r="P17" s="236">
        <v>0</v>
      </c>
      <c r="Q17" s="236">
        <v>0</v>
      </c>
      <c r="R17" s="195">
        <v>0</v>
      </c>
      <c r="S17" s="195">
        <v>0</v>
      </c>
      <c r="T17" s="195">
        <v>0</v>
      </c>
      <c r="U17" s="195">
        <v>0</v>
      </c>
      <c r="V17" s="245">
        <f>SUM(O17:U17)</f>
        <v>0</v>
      </c>
      <c r="X17" t="s">
        <v>45</v>
      </c>
      <c r="Y17" s="3"/>
      <c r="Z17" s="3"/>
      <c r="AA17" s="111">
        <f t="shared" si="5"/>
        <v>0</v>
      </c>
      <c r="AB17" s="111">
        <f t="shared" si="0"/>
        <v>2</v>
      </c>
      <c r="AC17" s="111">
        <f t="shared" si="0"/>
        <v>2</v>
      </c>
      <c r="AD17" s="111">
        <f t="shared" si="0"/>
        <v>2</v>
      </c>
      <c r="AE17" s="111">
        <f t="shared" si="0"/>
        <v>2</v>
      </c>
      <c r="AF17" s="111">
        <f t="shared" si="0"/>
        <v>2</v>
      </c>
      <c r="AG17" s="111">
        <f t="shared" si="0"/>
        <v>2</v>
      </c>
      <c r="AH17" s="47"/>
      <c r="AI17" s="240">
        <f t="shared" si="6"/>
        <v>0</v>
      </c>
      <c r="AJ17" s="240">
        <v>0</v>
      </c>
      <c r="AK17" s="240">
        <f t="shared" si="8"/>
        <v>0</v>
      </c>
      <c r="AL17" s="240">
        <f t="shared" si="9"/>
        <v>0</v>
      </c>
      <c r="AM17" s="240">
        <f t="shared" si="10"/>
        <v>0</v>
      </c>
      <c r="AN17" s="240">
        <f t="shared" si="11"/>
        <v>0</v>
      </c>
      <c r="AO17" s="240">
        <f t="shared" si="12"/>
        <v>0</v>
      </c>
      <c r="AP17" s="245">
        <f>SUM(AI17:AO17)</f>
        <v>0</v>
      </c>
    </row>
    <row r="18" spans="1:45" x14ac:dyDescent="0.25">
      <c r="A18" t="s">
        <v>323</v>
      </c>
      <c r="B18" s="15" t="s">
        <v>43</v>
      </c>
      <c r="C18" s="3"/>
      <c r="D18" s="3"/>
      <c r="E18" s="3"/>
      <c r="F18" s="3"/>
      <c r="G18" s="216">
        <v>0</v>
      </c>
      <c r="H18" s="131">
        <v>2</v>
      </c>
      <c r="I18" s="216">
        <v>2</v>
      </c>
      <c r="J18" s="131">
        <v>2</v>
      </c>
      <c r="K18" s="216">
        <v>2</v>
      </c>
      <c r="L18" s="131">
        <v>2</v>
      </c>
      <c r="M18" s="216">
        <v>2</v>
      </c>
      <c r="N18" s="47"/>
      <c r="O18" s="236">
        <v>0</v>
      </c>
      <c r="P18" s="236">
        <v>0</v>
      </c>
      <c r="Q18" s="236">
        <v>0</v>
      </c>
      <c r="R18" s="195">
        <v>0</v>
      </c>
      <c r="S18" s="195">
        <v>0</v>
      </c>
      <c r="T18" s="195">
        <v>0</v>
      </c>
      <c r="U18" s="195">
        <v>0</v>
      </c>
      <c r="V18" s="245">
        <f>SUM(O18:U18)</f>
        <v>0</v>
      </c>
      <c r="X18" t="s">
        <v>323</v>
      </c>
      <c r="Y18" s="3"/>
      <c r="Z18" s="3"/>
      <c r="AA18" s="111">
        <f t="shared" si="5"/>
        <v>0</v>
      </c>
      <c r="AB18" s="111">
        <f t="shared" si="0"/>
        <v>2</v>
      </c>
      <c r="AC18" s="111">
        <f t="shared" si="0"/>
        <v>2</v>
      </c>
      <c r="AD18" s="111">
        <f t="shared" si="0"/>
        <v>2</v>
      </c>
      <c r="AE18" s="111">
        <f t="shared" si="0"/>
        <v>2</v>
      </c>
      <c r="AF18" s="111">
        <f t="shared" si="0"/>
        <v>2</v>
      </c>
      <c r="AG18" s="111">
        <f t="shared" si="0"/>
        <v>2</v>
      </c>
      <c r="AH18" s="47"/>
      <c r="AI18" s="240">
        <f t="shared" si="6"/>
        <v>0</v>
      </c>
      <c r="AJ18" s="240">
        <v>0</v>
      </c>
      <c r="AK18" s="240">
        <f t="shared" si="8"/>
        <v>0</v>
      </c>
      <c r="AL18" s="240">
        <f t="shared" si="9"/>
        <v>0</v>
      </c>
      <c r="AM18" s="240">
        <f t="shared" si="10"/>
        <v>0</v>
      </c>
      <c r="AN18" s="240">
        <f t="shared" si="11"/>
        <v>0</v>
      </c>
      <c r="AO18" s="240">
        <f t="shared" si="12"/>
        <v>0</v>
      </c>
      <c r="AP18" s="245">
        <f>SUM(AI18:AO18)</f>
        <v>0</v>
      </c>
    </row>
    <row r="19" spans="1:45" x14ac:dyDescent="0.25">
      <c r="N19" s="196">
        <f>SUM(N21:N35)</f>
        <v>256852.38000000009</v>
      </c>
      <c r="AH19" s="196">
        <f>SUM(AH21:AH35)</f>
        <v>265456.36499999999</v>
      </c>
    </row>
    <row r="20" spans="1:45" x14ac:dyDescent="0.25">
      <c r="A20" s="10" t="s">
        <v>169</v>
      </c>
      <c r="B20" s="10" t="s">
        <v>2</v>
      </c>
      <c r="C20" s="10" t="s">
        <v>83</v>
      </c>
      <c r="D20" s="10" t="str">
        <f>D2</f>
        <v>Nombre</v>
      </c>
      <c r="E20" s="10" t="str">
        <f>E2</f>
        <v>Año</v>
      </c>
      <c r="F20" s="10" t="str">
        <f>F2</f>
        <v>Dia</v>
      </c>
      <c r="G20" s="10" t="s">
        <v>15</v>
      </c>
      <c r="H20" s="10" t="s">
        <v>16</v>
      </c>
      <c r="I20" s="10" t="s">
        <v>17</v>
      </c>
      <c r="J20" s="10" t="s">
        <v>18</v>
      </c>
      <c r="K20" s="10" t="s">
        <v>19</v>
      </c>
      <c r="L20" s="10" t="s">
        <v>20</v>
      </c>
      <c r="M20" s="10" t="s">
        <v>6</v>
      </c>
      <c r="N20" s="10" t="s">
        <v>67</v>
      </c>
      <c r="O20" s="10" t="s">
        <v>312</v>
      </c>
      <c r="P20" s="10" t="s">
        <v>313</v>
      </c>
      <c r="Q20" s="10" t="s">
        <v>314</v>
      </c>
      <c r="R20" s="10" t="s">
        <v>315</v>
      </c>
      <c r="S20" s="10" t="s">
        <v>316</v>
      </c>
      <c r="T20" s="10" t="s">
        <v>317</v>
      </c>
      <c r="U20" s="10" t="s">
        <v>318</v>
      </c>
      <c r="V20" s="10" t="s">
        <v>319</v>
      </c>
      <c r="X20" s="10" t="s">
        <v>169</v>
      </c>
      <c r="Y20" s="10" t="str">
        <f>Y2</f>
        <v>Año</v>
      </c>
      <c r="Z20" s="10" t="str">
        <f>Z2</f>
        <v>Dia</v>
      </c>
      <c r="AA20" s="10" t="s">
        <v>15</v>
      </c>
      <c r="AB20" s="10" t="s">
        <v>16</v>
      </c>
      <c r="AC20" s="10" t="s">
        <v>17</v>
      </c>
      <c r="AD20" s="10" t="s">
        <v>18</v>
      </c>
      <c r="AE20" s="10" t="s">
        <v>19</v>
      </c>
      <c r="AF20" s="10" t="s">
        <v>20</v>
      </c>
      <c r="AG20" s="10" t="s">
        <v>6</v>
      </c>
      <c r="AH20" s="10" t="s">
        <v>67</v>
      </c>
      <c r="AI20" s="10" t="s">
        <v>312</v>
      </c>
      <c r="AJ20" s="10" t="s">
        <v>313</v>
      </c>
      <c r="AK20" s="10" t="s">
        <v>314</v>
      </c>
      <c r="AL20" s="10" t="s">
        <v>315</v>
      </c>
      <c r="AM20" s="10" t="s">
        <v>316</v>
      </c>
      <c r="AN20" s="10" t="s">
        <v>317</v>
      </c>
      <c r="AO20" s="10" t="s">
        <v>318</v>
      </c>
      <c r="AP20" s="10" t="s">
        <v>319</v>
      </c>
    </row>
    <row r="21" spans="1:45" x14ac:dyDescent="0.25">
      <c r="A21" t="s">
        <v>28</v>
      </c>
      <c r="B21" s="15" t="s">
        <v>27</v>
      </c>
      <c r="C21" s="18"/>
      <c r="D21" s="18" t="str">
        <f t="shared" ref="D21:D22" si="14">D3</f>
        <v>C. Fonteboa</v>
      </c>
      <c r="E21" s="18">
        <f t="shared" ref="E21" si="15">Y3</f>
        <v>24</v>
      </c>
      <c r="F21" s="18">
        <f t="shared" ref="F21" ca="1" si="16">Z3</f>
        <v>-64</v>
      </c>
      <c r="G21" s="111">
        <f t="shared" ref="G21" si="17">AA3</f>
        <v>15</v>
      </c>
      <c r="H21" s="111">
        <f t="shared" ref="H21" si="18">AB3</f>
        <v>11.6</v>
      </c>
      <c r="I21" s="111">
        <f t="shared" ref="I21" si="19">AC3</f>
        <v>0</v>
      </c>
      <c r="J21" s="111">
        <f t="shared" ref="J21" si="20">AD3</f>
        <v>0</v>
      </c>
      <c r="K21" s="111">
        <f t="shared" ref="K21" si="21">AE3</f>
        <v>0</v>
      </c>
      <c r="L21" s="111">
        <f t="shared" ref="L21" si="22">AF3</f>
        <v>1</v>
      </c>
      <c r="M21" s="111">
        <f t="shared" ref="M21" si="23">AG3</f>
        <v>1</v>
      </c>
      <c r="N21" s="47">
        <f>AH3</f>
        <v>26782.560000000001</v>
      </c>
      <c r="O21" s="236">
        <f>AI3</f>
        <v>51.5</v>
      </c>
      <c r="P21" s="241">
        <f t="shared" ref="P21:U21" si="24">AJ3</f>
        <v>53</v>
      </c>
      <c r="Q21" s="241">
        <f t="shared" si="24"/>
        <v>0</v>
      </c>
      <c r="R21" s="241">
        <f t="shared" si="24"/>
        <v>0</v>
      </c>
      <c r="S21" s="241">
        <f t="shared" si="24"/>
        <v>0</v>
      </c>
      <c r="T21" s="241">
        <f t="shared" si="24"/>
        <v>0</v>
      </c>
      <c r="U21" s="241">
        <f t="shared" si="24"/>
        <v>0</v>
      </c>
      <c r="V21" s="66">
        <f>SUM(O21:U21)</f>
        <v>104.5</v>
      </c>
      <c r="X21" t="s">
        <v>28</v>
      </c>
      <c r="Y21" s="18">
        <f>E21+2</f>
        <v>26</v>
      </c>
      <c r="Z21" s="18">
        <f ca="1">F21+(($AR$25+$AR$26)*7)-112-112</f>
        <v>-85</v>
      </c>
      <c r="AA21" s="111">
        <f>G21</f>
        <v>15</v>
      </c>
      <c r="AB21" s="111">
        <f>H21</f>
        <v>11.6</v>
      </c>
      <c r="AC21" s="111">
        <f t="shared" ref="AC21:AF22" si="25">I21</f>
        <v>0</v>
      </c>
      <c r="AD21" s="111">
        <f t="shared" si="25"/>
        <v>0</v>
      </c>
      <c r="AE21" s="111">
        <f t="shared" si="25"/>
        <v>0</v>
      </c>
      <c r="AF21" s="111">
        <f t="shared" si="25"/>
        <v>1</v>
      </c>
      <c r="AG21" s="111">
        <v>13.5</v>
      </c>
      <c r="AH21" s="47">
        <f>(24270+2300)*1.038</f>
        <v>27579.66</v>
      </c>
      <c r="AI21" s="236">
        <f>O21</f>
        <v>51.5</v>
      </c>
      <c r="AJ21" s="241">
        <f>P21</f>
        <v>53</v>
      </c>
      <c r="AK21" s="236">
        <f t="shared" ref="AK21:AN36" si="26">Q21</f>
        <v>0</v>
      </c>
      <c r="AL21" s="236">
        <f t="shared" si="26"/>
        <v>0</v>
      </c>
      <c r="AM21" s="236">
        <f t="shared" si="26"/>
        <v>0</v>
      </c>
      <c r="AN21" s="236">
        <f t="shared" si="26"/>
        <v>0</v>
      </c>
      <c r="AO21" s="236">
        <f>U21+$AR$26</f>
        <v>15</v>
      </c>
      <c r="AP21" s="66">
        <f>SUM(AI21:AO21)</f>
        <v>119.5</v>
      </c>
    </row>
    <row r="22" spans="1:45" x14ac:dyDescent="0.25">
      <c r="A22" t="s">
        <v>31</v>
      </c>
      <c r="B22" s="15" t="s">
        <v>29</v>
      </c>
      <c r="C22" s="18"/>
      <c r="D22" s="18" t="str">
        <f t="shared" si="14"/>
        <v>M. Fernandez</v>
      </c>
      <c r="E22" s="18">
        <f t="shared" ref="E22:F22" si="27">Y4</f>
        <v>24</v>
      </c>
      <c r="F22" s="18">
        <f t="shared" ca="1" si="27"/>
        <v>-67</v>
      </c>
      <c r="G22" s="111">
        <f t="shared" ref="G22:G34" si="28">AA4</f>
        <v>0</v>
      </c>
      <c r="H22" s="111">
        <f t="shared" ref="H22:H34" si="29">AB4</f>
        <v>15.166666666666666</v>
      </c>
      <c r="I22" s="111">
        <f t="shared" ref="I22:I33" si="30">AC4</f>
        <v>5</v>
      </c>
      <c r="J22" s="111">
        <f t="shared" ref="J22:J33" si="31">AD4</f>
        <v>5.2</v>
      </c>
      <c r="K22" s="111">
        <f t="shared" ref="K22:K33" si="32">AE4</f>
        <v>5</v>
      </c>
      <c r="L22" s="111">
        <f t="shared" ref="L22:L33" si="33">AF4</f>
        <v>2</v>
      </c>
      <c r="M22" s="111">
        <f t="shared" ref="M22:M33" si="34">AG4</f>
        <v>1</v>
      </c>
      <c r="N22" s="47">
        <f t="shared" ref="N22:N33" si="35">AH4</f>
        <v>28513.599999999999</v>
      </c>
      <c r="O22" s="241">
        <f t="shared" ref="O22:O33" si="36">AI4</f>
        <v>0</v>
      </c>
      <c r="P22" s="241">
        <f t="shared" ref="P22:P33" si="37">AJ4</f>
        <v>98</v>
      </c>
      <c r="Q22" s="241">
        <f t="shared" ref="Q22:Q33" si="38">AK4</f>
        <v>9</v>
      </c>
      <c r="R22" s="241">
        <f t="shared" ref="R22:R33" si="39">AL4</f>
        <v>6</v>
      </c>
      <c r="S22" s="241">
        <f t="shared" ref="S22:S33" si="40">AM4</f>
        <v>7</v>
      </c>
      <c r="T22" s="241">
        <f t="shared" ref="T22:T33" si="41">AN4</f>
        <v>0</v>
      </c>
      <c r="U22" s="241">
        <f t="shared" ref="U22:U33" si="42">AO4</f>
        <v>0</v>
      </c>
      <c r="V22" s="66">
        <f>SUM(O22:U22)</f>
        <v>120</v>
      </c>
      <c r="X22" t="s">
        <v>31</v>
      </c>
      <c r="Y22" s="18">
        <f>E22+2</f>
        <v>26</v>
      </c>
      <c r="Z22" s="18">
        <f ca="1">F22+(($AR$25+$AR$26)*7)-112-112</f>
        <v>-88</v>
      </c>
      <c r="AA22" s="111">
        <f>G22</f>
        <v>0</v>
      </c>
      <c r="AB22" s="111">
        <f t="shared" ref="AB22:AB33" si="43">H22</f>
        <v>15.166666666666666</v>
      </c>
      <c r="AC22" s="111">
        <f t="shared" si="25"/>
        <v>5</v>
      </c>
      <c r="AD22" s="111">
        <f t="shared" si="25"/>
        <v>5.2</v>
      </c>
      <c r="AE22" s="111">
        <f>8+3/5</f>
        <v>8.6</v>
      </c>
      <c r="AF22" s="111">
        <f t="shared" si="25"/>
        <v>2</v>
      </c>
      <c r="AG22" s="111">
        <v>13.5</v>
      </c>
      <c r="AH22" s="47">
        <f>(28000+135+140+135)*1.038</f>
        <v>29489.58</v>
      </c>
      <c r="AI22" s="236">
        <f t="shared" ref="AI22:AJ36" si="44">O22</f>
        <v>0</v>
      </c>
      <c r="AJ22" s="241">
        <f t="shared" ref="AJ22:AJ33" si="45">P22</f>
        <v>98</v>
      </c>
      <c r="AK22" s="236">
        <f t="shared" si="26"/>
        <v>9</v>
      </c>
      <c r="AL22" s="236">
        <f t="shared" si="26"/>
        <v>6</v>
      </c>
      <c r="AM22" s="236">
        <f>S22+$AR$25</f>
        <v>21</v>
      </c>
      <c r="AN22" s="236">
        <f t="shared" si="26"/>
        <v>0</v>
      </c>
      <c r="AO22" s="241">
        <f t="shared" ref="AO22:AO36" si="46">U22+$AR$26</f>
        <v>15</v>
      </c>
      <c r="AP22" s="66">
        <f>SUM(AI22:AO22)</f>
        <v>149</v>
      </c>
    </row>
    <row r="23" spans="1:45" x14ac:dyDescent="0.25">
      <c r="A23" t="s">
        <v>32</v>
      </c>
      <c r="B23" s="15" t="s">
        <v>29</v>
      </c>
      <c r="C23" s="18"/>
      <c r="D23" s="18" t="str">
        <f t="shared" ref="D23:D25" si="47">D5</f>
        <v>B. Abandero</v>
      </c>
      <c r="E23" s="18">
        <f t="shared" ref="E23:F23" si="48">Y5</f>
        <v>23</v>
      </c>
      <c r="F23" s="18">
        <f t="shared" ca="1" si="48"/>
        <v>76</v>
      </c>
      <c r="G23" s="111">
        <f t="shared" si="28"/>
        <v>0</v>
      </c>
      <c r="H23" s="111">
        <f t="shared" si="29"/>
        <v>13.416666666666666</v>
      </c>
      <c r="I23" s="111">
        <f t="shared" si="30"/>
        <v>3</v>
      </c>
      <c r="J23" s="111">
        <f t="shared" si="31"/>
        <v>7.083333333333333</v>
      </c>
      <c r="K23" s="111">
        <f t="shared" si="32"/>
        <v>10</v>
      </c>
      <c r="L23" s="111">
        <f t="shared" si="33"/>
        <v>3</v>
      </c>
      <c r="M23" s="111">
        <f t="shared" si="34"/>
        <v>2</v>
      </c>
      <c r="N23" s="47">
        <f t="shared" si="35"/>
        <v>13492.08</v>
      </c>
      <c r="O23" s="241">
        <f t="shared" si="36"/>
        <v>0</v>
      </c>
      <c r="P23" s="241">
        <f t="shared" si="37"/>
        <v>72</v>
      </c>
      <c r="Q23" s="241">
        <f t="shared" si="38"/>
        <v>3</v>
      </c>
      <c r="R23" s="241">
        <f t="shared" si="39"/>
        <v>11.5</v>
      </c>
      <c r="S23" s="241">
        <f t="shared" si="40"/>
        <v>29</v>
      </c>
      <c r="T23" s="241">
        <f t="shared" si="41"/>
        <v>2</v>
      </c>
      <c r="U23" s="241">
        <f t="shared" si="42"/>
        <v>0</v>
      </c>
      <c r="V23" s="66">
        <f>SUM(O23:U23)</f>
        <v>117.5</v>
      </c>
      <c r="X23" t="s">
        <v>32</v>
      </c>
      <c r="Y23" s="18">
        <f>E23+2</f>
        <v>25</v>
      </c>
      <c r="Z23" s="18">
        <f ca="1">F23+(($AR$25+$AR$26)*7)-112-112</f>
        <v>55</v>
      </c>
      <c r="AA23" s="111">
        <f t="shared" ref="AA23:AA36" si="49">G23</f>
        <v>0</v>
      </c>
      <c r="AB23" s="111">
        <f t="shared" si="43"/>
        <v>13.416666666666666</v>
      </c>
      <c r="AC23" s="111">
        <f t="shared" ref="AC23:AC36" si="50">I23</f>
        <v>3</v>
      </c>
      <c r="AD23" s="111">
        <f t="shared" ref="AD23:AD36" si="51">J23</f>
        <v>7.083333333333333</v>
      </c>
      <c r="AE23" s="111">
        <v>12</v>
      </c>
      <c r="AF23" s="111">
        <f t="shared" ref="AF23:AF36" si="52">L23</f>
        <v>3</v>
      </c>
      <c r="AG23" s="111">
        <v>13.5</v>
      </c>
      <c r="AH23" s="47">
        <f>(195+13000+515)*1.038</f>
        <v>14230.98</v>
      </c>
      <c r="AI23" s="236">
        <f t="shared" si="44"/>
        <v>0</v>
      </c>
      <c r="AJ23" s="241">
        <f t="shared" si="45"/>
        <v>72</v>
      </c>
      <c r="AK23" s="236">
        <f t="shared" si="26"/>
        <v>3</v>
      </c>
      <c r="AL23" s="236">
        <f t="shared" si="26"/>
        <v>11.5</v>
      </c>
      <c r="AM23" s="241">
        <f t="shared" ref="AM23:AM36" si="53">S23+$AR$25</f>
        <v>43</v>
      </c>
      <c r="AN23" s="236">
        <f t="shared" si="26"/>
        <v>2</v>
      </c>
      <c r="AO23" s="241">
        <f t="shared" si="46"/>
        <v>15</v>
      </c>
      <c r="AP23" s="66">
        <f>SUM(AI23:AO23)</f>
        <v>146.5</v>
      </c>
      <c r="AQ23" s="217"/>
    </row>
    <row r="24" spans="1:45" x14ac:dyDescent="0.25">
      <c r="A24" t="s">
        <v>38</v>
      </c>
      <c r="B24" s="15" t="s">
        <v>29</v>
      </c>
      <c r="C24" s="3"/>
      <c r="D24" s="18" t="str">
        <f t="shared" si="47"/>
        <v>I. R. Figueroa</v>
      </c>
      <c r="E24" s="18">
        <f t="shared" ref="E24:E25" si="54">Y6</f>
        <v>24</v>
      </c>
      <c r="F24" s="18">
        <f t="shared" ref="F24:F25" ca="1" si="55">Z6</f>
        <v>-86</v>
      </c>
      <c r="G24" s="111">
        <f t="shared" si="28"/>
        <v>0</v>
      </c>
      <c r="H24" s="111">
        <f t="shared" si="29"/>
        <v>15.166666666666666</v>
      </c>
      <c r="I24" s="111">
        <f t="shared" si="30"/>
        <v>5</v>
      </c>
      <c r="J24" s="111">
        <f t="shared" si="31"/>
        <v>7</v>
      </c>
      <c r="K24" s="111">
        <f t="shared" si="32"/>
        <v>5</v>
      </c>
      <c r="L24" s="111">
        <f t="shared" si="33"/>
        <v>1</v>
      </c>
      <c r="M24" s="111">
        <f t="shared" si="34"/>
        <v>0</v>
      </c>
      <c r="N24" s="47">
        <f t="shared" si="35"/>
        <v>28513.599999999999</v>
      </c>
      <c r="O24" s="241">
        <f t="shared" si="36"/>
        <v>0</v>
      </c>
      <c r="P24" s="241">
        <f t="shared" si="37"/>
        <v>97</v>
      </c>
      <c r="Q24" s="241">
        <f t="shared" si="38"/>
        <v>9</v>
      </c>
      <c r="R24" s="241">
        <f t="shared" si="39"/>
        <v>10.5</v>
      </c>
      <c r="S24" s="241">
        <f t="shared" si="40"/>
        <v>7</v>
      </c>
      <c r="T24" s="241">
        <f t="shared" si="41"/>
        <v>0</v>
      </c>
      <c r="U24" s="241">
        <f t="shared" si="42"/>
        <v>0</v>
      </c>
      <c r="V24" s="66">
        <f>SUM(O24:U24)</f>
        <v>123.5</v>
      </c>
      <c r="X24" t="s">
        <v>38</v>
      </c>
      <c r="Y24" s="18">
        <f t="shared" ref="Y24" si="56">E24+1</f>
        <v>25</v>
      </c>
      <c r="Z24" s="18">
        <f t="shared" ref="Z24" ca="1" si="57">F24+(($AR$25+$AR$26)*7)-112</f>
        <v>5</v>
      </c>
      <c r="AA24" s="111">
        <f t="shared" si="49"/>
        <v>0</v>
      </c>
      <c r="AB24" s="111">
        <f t="shared" si="43"/>
        <v>15.166666666666666</v>
      </c>
      <c r="AC24" s="111">
        <f t="shared" si="50"/>
        <v>5</v>
      </c>
      <c r="AD24" s="111">
        <f t="shared" si="51"/>
        <v>7</v>
      </c>
      <c r="AE24" s="111">
        <f>8+3/5</f>
        <v>8.6</v>
      </c>
      <c r="AF24" s="111">
        <f t="shared" si="52"/>
        <v>1</v>
      </c>
      <c r="AG24" s="111">
        <v>13.5</v>
      </c>
      <c r="AH24" s="47">
        <f>(28000+135+145+135)*1.038</f>
        <v>29494.77</v>
      </c>
      <c r="AI24" s="236">
        <f t="shared" si="44"/>
        <v>0</v>
      </c>
      <c r="AJ24" s="241">
        <f t="shared" si="45"/>
        <v>97</v>
      </c>
      <c r="AK24" s="236">
        <f t="shared" si="26"/>
        <v>9</v>
      </c>
      <c r="AL24" s="236">
        <f t="shared" si="26"/>
        <v>10.5</v>
      </c>
      <c r="AM24" s="241">
        <f t="shared" si="53"/>
        <v>21</v>
      </c>
      <c r="AN24" s="236">
        <f t="shared" si="26"/>
        <v>0</v>
      </c>
      <c r="AO24" s="241">
        <f t="shared" si="46"/>
        <v>15</v>
      </c>
      <c r="AP24" s="66">
        <f>SUM(AI24:AO24)</f>
        <v>152.5</v>
      </c>
      <c r="AQ24" s="217"/>
      <c r="AR24" s="217" t="s">
        <v>358</v>
      </c>
      <c r="AS24" s="217" t="s">
        <v>359</v>
      </c>
    </row>
    <row r="25" spans="1:45" x14ac:dyDescent="0.25">
      <c r="A25" t="s">
        <v>40</v>
      </c>
      <c r="B25" s="15" t="s">
        <v>29</v>
      </c>
      <c r="C25" s="3"/>
      <c r="D25" s="18" t="str">
        <f t="shared" si="47"/>
        <v>G. Pedrajas</v>
      </c>
      <c r="E25" s="18">
        <f t="shared" si="54"/>
        <v>23</v>
      </c>
      <c r="F25" s="18">
        <f t="shared" ca="1" si="55"/>
        <v>61</v>
      </c>
      <c r="G25" s="111">
        <f t="shared" si="28"/>
        <v>0</v>
      </c>
      <c r="H25" s="111">
        <f t="shared" si="29"/>
        <v>11.7</v>
      </c>
      <c r="I25" s="111">
        <f t="shared" si="30"/>
        <v>11</v>
      </c>
      <c r="J25" s="111">
        <f t="shared" si="31"/>
        <v>4</v>
      </c>
      <c r="K25" s="111">
        <f t="shared" si="32"/>
        <v>9</v>
      </c>
      <c r="L25" s="111">
        <f t="shared" si="33"/>
        <v>4</v>
      </c>
      <c r="M25" s="111">
        <f t="shared" si="34"/>
        <v>1</v>
      </c>
      <c r="N25" s="47">
        <f t="shared" si="35"/>
        <v>9525.6</v>
      </c>
      <c r="O25" s="241">
        <f t="shared" si="36"/>
        <v>0</v>
      </c>
      <c r="P25" s="241">
        <f t="shared" si="37"/>
        <v>53</v>
      </c>
      <c r="Q25" s="241">
        <f t="shared" si="38"/>
        <v>40</v>
      </c>
      <c r="R25" s="241">
        <f t="shared" si="39"/>
        <v>3.5</v>
      </c>
      <c r="S25" s="241">
        <f t="shared" si="40"/>
        <v>23</v>
      </c>
      <c r="T25" s="241">
        <f t="shared" si="41"/>
        <v>5</v>
      </c>
      <c r="U25" s="241">
        <f t="shared" si="42"/>
        <v>0</v>
      </c>
      <c r="V25" s="66">
        <f t="shared" ref="V25:V31" si="58">SUM(O25:U25)</f>
        <v>124.5</v>
      </c>
      <c r="X25" t="s">
        <v>40</v>
      </c>
      <c r="Y25" s="18">
        <f t="shared" ref="Y25:Y34" si="59">E25+2</f>
        <v>25</v>
      </c>
      <c r="Z25" s="18">
        <f t="shared" ref="Z25:Z34" ca="1" si="60">F25+(($AR$25+$AR$26)*7)-112-112</f>
        <v>40</v>
      </c>
      <c r="AA25" s="111">
        <f t="shared" si="49"/>
        <v>0</v>
      </c>
      <c r="AB25" s="111">
        <f t="shared" si="43"/>
        <v>11.7</v>
      </c>
      <c r="AC25" s="111">
        <f t="shared" si="50"/>
        <v>11</v>
      </c>
      <c r="AD25" s="111">
        <f t="shared" si="51"/>
        <v>4</v>
      </c>
      <c r="AE25" s="111">
        <f>11+1/7</f>
        <v>11.142857142857142</v>
      </c>
      <c r="AF25" s="111">
        <f t="shared" si="52"/>
        <v>4</v>
      </c>
      <c r="AG25" s="111">
        <v>13.5</v>
      </c>
      <c r="AH25" s="47">
        <f>(6800+2505+305)*1.038</f>
        <v>9975.18</v>
      </c>
      <c r="AI25" s="236">
        <f t="shared" si="44"/>
        <v>0</v>
      </c>
      <c r="AJ25" s="241">
        <f t="shared" si="45"/>
        <v>53</v>
      </c>
      <c r="AK25" s="236">
        <f t="shared" si="26"/>
        <v>40</v>
      </c>
      <c r="AL25" s="236">
        <f t="shared" si="26"/>
        <v>3.5</v>
      </c>
      <c r="AM25" s="241">
        <f t="shared" si="53"/>
        <v>37</v>
      </c>
      <c r="AN25" s="236">
        <f t="shared" si="26"/>
        <v>5</v>
      </c>
      <c r="AO25" s="241">
        <f t="shared" si="46"/>
        <v>15</v>
      </c>
      <c r="AP25" s="66">
        <f t="shared" ref="AP25:AP31" si="61">SUM(AI25:AO25)</f>
        <v>153.5</v>
      </c>
      <c r="AQ25" s="217" t="s">
        <v>308</v>
      </c>
      <c r="AR25" s="110">
        <v>14</v>
      </c>
      <c r="AS25" s="243">
        <f>AR25/16</f>
        <v>0.875</v>
      </c>
    </row>
    <row r="26" spans="1:45" x14ac:dyDescent="0.25">
      <c r="A26" t="s">
        <v>37</v>
      </c>
      <c r="B26" s="15" t="s">
        <v>29</v>
      </c>
      <c r="C26" s="3" t="s">
        <v>294</v>
      </c>
      <c r="D26" s="3" t="s">
        <v>325</v>
      </c>
      <c r="E26" s="18">
        <v>23</v>
      </c>
      <c r="F26" s="18">
        <v>50</v>
      </c>
      <c r="G26" s="111">
        <f t="shared" si="28"/>
        <v>0</v>
      </c>
      <c r="H26" s="111">
        <v>14</v>
      </c>
      <c r="I26" s="111">
        <v>8</v>
      </c>
      <c r="J26" s="111">
        <f t="shared" si="31"/>
        <v>2</v>
      </c>
      <c r="K26" s="111">
        <v>8</v>
      </c>
      <c r="L26" s="111">
        <f t="shared" si="33"/>
        <v>2</v>
      </c>
      <c r="M26" s="111">
        <f t="shared" si="34"/>
        <v>2</v>
      </c>
      <c r="N26" s="47">
        <f>(18370+445+135)*1.008</f>
        <v>19101.599999999999</v>
      </c>
      <c r="O26" s="241">
        <f t="shared" si="36"/>
        <v>0</v>
      </c>
      <c r="P26" s="241">
        <v>79</v>
      </c>
      <c r="Q26" s="241">
        <v>21</v>
      </c>
      <c r="R26" s="241">
        <f t="shared" si="39"/>
        <v>0</v>
      </c>
      <c r="S26" s="241">
        <v>18</v>
      </c>
      <c r="T26" s="241">
        <f t="shared" si="41"/>
        <v>0</v>
      </c>
      <c r="U26" s="241">
        <f t="shared" si="42"/>
        <v>0</v>
      </c>
      <c r="V26" s="66">
        <f t="shared" si="58"/>
        <v>118</v>
      </c>
      <c r="X26" t="s">
        <v>37</v>
      </c>
      <c r="Y26" s="18">
        <f t="shared" si="59"/>
        <v>25</v>
      </c>
      <c r="Z26" s="18">
        <f t="shared" si="60"/>
        <v>29</v>
      </c>
      <c r="AA26" s="111">
        <f t="shared" si="49"/>
        <v>0</v>
      </c>
      <c r="AB26" s="111">
        <f t="shared" si="43"/>
        <v>14</v>
      </c>
      <c r="AC26" s="111">
        <f t="shared" si="50"/>
        <v>8</v>
      </c>
      <c r="AD26" s="111">
        <f t="shared" si="51"/>
        <v>2</v>
      </c>
      <c r="AE26" s="111">
        <f>10+3/7</f>
        <v>10.428571428571429</v>
      </c>
      <c r="AF26" s="111">
        <f t="shared" si="52"/>
        <v>2</v>
      </c>
      <c r="AG26" s="111">
        <v>13.5</v>
      </c>
      <c r="AH26" s="47">
        <f>(18370+445+200)*1.038</f>
        <v>19737.57</v>
      </c>
      <c r="AI26" s="236">
        <f t="shared" si="44"/>
        <v>0</v>
      </c>
      <c r="AJ26" s="241">
        <f t="shared" si="45"/>
        <v>79</v>
      </c>
      <c r="AK26" s="236">
        <f t="shared" si="26"/>
        <v>21</v>
      </c>
      <c r="AL26" s="236">
        <f t="shared" si="26"/>
        <v>0</v>
      </c>
      <c r="AM26" s="241">
        <f t="shared" si="53"/>
        <v>32</v>
      </c>
      <c r="AN26" s="236">
        <f t="shared" si="26"/>
        <v>0</v>
      </c>
      <c r="AO26" s="241">
        <f t="shared" si="46"/>
        <v>15</v>
      </c>
      <c r="AP26" s="66">
        <f t="shared" si="61"/>
        <v>147</v>
      </c>
      <c r="AQ26" s="217" t="s">
        <v>46</v>
      </c>
      <c r="AR26" s="110">
        <v>15</v>
      </c>
      <c r="AS26" s="243">
        <f>AR26/16</f>
        <v>0.9375</v>
      </c>
    </row>
    <row r="27" spans="1:45" x14ac:dyDescent="0.25">
      <c r="A27" t="s">
        <v>34</v>
      </c>
      <c r="B27" s="15" t="s">
        <v>29</v>
      </c>
      <c r="C27" s="3" t="s">
        <v>294</v>
      </c>
      <c r="D27" s="3" t="s">
        <v>463</v>
      </c>
      <c r="E27" s="18">
        <f t="shared" ref="E27:F28" si="62">Y9</f>
        <v>24</v>
      </c>
      <c r="F27" s="18">
        <f t="shared" ca="1" si="62"/>
        <v>-71</v>
      </c>
      <c r="G27" s="111">
        <f t="shared" si="28"/>
        <v>0</v>
      </c>
      <c r="H27" s="111">
        <f t="shared" si="29"/>
        <v>12.909090909090908</v>
      </c>
      <c r="I27" s="111">
        <f t="shared" si="30"/>
        <v>4</v>
      </c>
      <c r="J27" s="111">
        <f t="shared" si="31"/>
        <v>12.5</v>
      </c>
      <c r="K27" s="111">
        <f t="shared" si="32"/>
        <v>4.25</v>
      </c>
      <c r="L27" s="111">
        <f t="shared" si="33"/>
        <v>7</v>
      </c>
      <c r="M27" s="111">
        <f t="shared" si="34"/>
        <v>3</v>
      </c>
      <c r="N27" s="47">
        <f t="shared" si="35"/>
        <v>16606.920000000002</v>
      </c>
      <c r="O27" s="241">
        <f t="shared" si="36"/>
        <v>0</v>
      </c>
      <c r="P27" s="241">
        <f t="shared" si="37"/>
        <v>66</v>
      </c>
      <c r="Q27" s="241">
        <f t="shared" si="38"/>
        <v>6</v>
      </c>
      <c r="R27" s="241">
        <f t="shared" si="39"/>
        <v>40.5</v>
      </c>
      <c r="S27" s="241">
        <f t="shared" si="40"/>
        <v>5</v>
      </c>
      <c r="T27" s="241">
        <f t="shared" si="41"/>
        <v>16</v>
      </c>
      <c r="U27" s="241">
        <f t="shared" si="42"/>
        <v>1</v>
      </c>
      <c r="V27" s="66">
        <f t="shared" si="58"/>
        <v>134.5</v>
      </c>
      <c r="X27" t="s">
        <v>34</v>
      </c>
      <c r="Y27" s="18">
        <f t="shared" si="59"/>
        <v>26</v>
      </c>
      <c r="Z27" s="18">
        <f t="shared" ca="1" si="60"/>
        <v>-92</v>
      </c>
      <c r="AA27" s="111">
        <f t="shared" si="49"/>
        <v>0</v>
      </c>
      <c r="AB27" s="111">
        <f t="shared" si="43"/>
        <v>12.909090909090908</v>
      </c>
      <c r="AC27" s="111">
        <f t="shared" si="50"/>
        <v>4</v>
      </c>
      <c r="AD27" s="111">
        <f t="shared" si="51"/>
        <v>12.5</v>
      </c>
      <c r="AE27" s="111">
        <f>8+1/5</f>
        <v>8.1999999999999993</v>
      </c>
      <c r="AF27" s="111">
        <f t="shared" si="52"/>
        <v>7</v>
      </c>
      <c r="AG27" s="111">
        <v>14</v>
      </c>
      <c r="AH27" s="47">
        <f>(12930+2985+125+145+245)*1.04</f>
        <v>17087.2</v>
      </c>
      <c r="AI27" s="236">
        <f t="shared" si="44"/>
        <v>0</v>
      </c>
      <c r="AJ27" s="241">
        <f t="shared" si="45"/>
        <v>66</v>
      </c>
      <c r="AK27" s="236">
        <f t="shared" si="26"/>
        <v>6</v>
      </c>
      <c r="AL27" s="236">
        <f t="shared" si="26"/>
        <v>40.5</v>
      </c>
      <c r="AM27" s="241">
        <f t="shared" si="53"/>
        <v>19</v>
      </c>
      <c r="AN27" s="236">
        <f t="shared" si="26"/>
        <v>16</v>
      </c>
      <c r="AO27" s="241">
        <f t="shared" si="46"/>
        <v>16</v>
      </c>
      <c r="AP27" s="66">
        <f t="shared" si="61"/>
        <v>163.5</v>
      </c>
      <c r="AQ27" s="217"/>
    </row>
    <row r="28" spans="1:45" x14ac:dyDescent="0.25">
      <c r="A28" t="s">
        <v>30</v>
      </c>
      <c r="B28" s="15" t="s">
        <v>29</v>
      </c>
      <c r="C28" s="3" t="s">
        <v>294</v>
      </c>
      <c r="D28" s="3" t="s">
        <v>321</v>
      </c>
      <c r="E28" s="18">
        <f t="shared" si="62"/>
        <v>24</v>
      </c>
      <c r="F28" s="18">
        <f t="shared" ca="1" si="62"/>
        <v>-71</v>
      </c>
      <c r="G28" s="111">
        <f t="shared" si="28"/>
        <v>0</v>
      </c>
      <c r="H28" s="111">
        <f t="shared" si="29"/>
        <v>12</v>
      </c>
      <c r="I28" s="111">
        <f t="shared" si="30"/>
        <v>3</v>
      </c>
      <c r="J28" s="111">
        <f t="shared" si="31"/>
        <v>11.9</v>
      </c>
      <c r="K28" s="111">
        <f t="shared" si="32"/>
        <v>6.0000000000000009</v>
      </c>
      <c r="L28" s="111">
        <f t="shared" si="33"/>
        <v>7.25</v>
      </c>
      <c r="M28" s="111">
        <f t="shared" si="34"/>
        <v>3</v>
      </c>
      <c r="N28" s="47">
        <f t="shared" si="35"/>
        <v>16606.920000000002</v>
      </c>
      <c r="O28" s="241">
        <f t="shared" si="36"/>
        <v>0</v>
      </c>
      <c r="P28" s="241">
        <f t="shared" si="37"/>
        <v>54.2</v>
      </c>
      <c r="Q28" s="241">
        <f t="shared" si="38"/>
        <v>3</v>
      </c>
      <c r="R28" s="241">
        <f t="shared" si="39"/>
        <v>32.5</v>
      </c>
      <c r="S28" s="241">
        <f t="shared" si="40"/>
        <v>10</v>
      </c>
      <c r="T28" s="241">
        <f t="shared" si="41"/>
        <v>17</v>
      </c>
      <c r="U28" s="241">
        <f t="shared" si="42"/>
        <v>1</v>
      </c>
      <c r="V28" s="66">
        <f t="shared" si="58"/>
        <v>117.7</v>
      </c>
      <c r="X28" t="s">
        <v>30</v>
      </c>
      <c r="Y28" s="18">
        <f t="shared" si="59"/>
        <v>26</v>
      </c>
      <c r="Z28" s="18">
        <f t="shared" ca="1" si="60"/>
        <v>-92</v>
      </c>
      <c r="AA28" s="111">
        <f t="shared" si="49"/>
        <v>0</v>
      </c>
      <c r="AB28" s="111">
        <f t="shared" si="43"/>
        <v>12</v>
      </c>
      <c r="AC28" s="111">
        <f t="shared" si="50"/>
        <v>3</v>
      </c>
      <c r="AD28" s="111">
        <f t="shared" si="51"/>
        <v>11.9</v>
      </c>
      <c r="AE28" s="111">
        <f>9+1/7</f>
        <v>9.1428571428571423</v>
      </c>
      <c r="AF28" s="111">
        <f t="shared" si="52"/>
        <v>7.25</v>
      </c>
      <c r="AG28" s="111">
        <v>14</v>
      </c>
      <c r="AH28" s="47">
        <f>(12930+2985+180+125+245)*1.04</f>
        <v>17123.600000000002</v>
      </c>
      <c r="AI28" s="236">
        <f t="shared" si="44"/>
        <v>0</v>
      </c>
      <c r="AJ28" s="241">
        <f t="shared" si="45"/>
        <v>54.2</v>
      </c>
      <c r="AK28" s="236">
        <f t="shared" si="26"/>
        <v>3</v>
      </c>
      <c r="AL28" s="236">
        <f t="shared" si="26"/>
        <v>32.5</v>
      </c>
      <c r="AM28" s="241">
        <f t="shared" si="53"/>
        <v>24</v>
      </c>
      <c r="AN28" s="236">
        <f t="shared" si="26"/>
        <v>17</v>
      </c>
      <c r="AO28" s="241">
        <f t="shared" si="46"/>
        <v>16</v>
      </c>
      <c r="AP28" s="66">
        <f t="shared" si="61"/>
        <v>146.69999999999999</v>
      </c>
      <c r="AQ28" s="217"/>
    </row>
    <row r="29" spans="1:45" x14ac:dyDescent="0.25">
      <c r="A29" t="s">
        <v>42</v>
      </c>
      <c r="B29" s="15" t="s">
        <v>366</v>
      </c>
      <c r="C29" s="3" t="s">
        <v>464</v>
      </c>
      <c r="D29" s="3" t="s">
        <v>487</v>
      </c>
      <c r="E29" s="18">
        <v>23</v>
      </c>
      <c r="F29" s="18">
        <v>50</v>
      </c>
      <c r="G29" s="111">
        <f t="shared" si="28"/>
        <v>0</v>
      </c>
      <c r="H29" s="111">
        <v>7</v>
      </c>
      <c r="I29" s="111">
        <v>13</v>
      </c>
      <c r="J29" s="111">
        <v>7</v>
      </c>
      <c r="K29" s="111">
        <v>7</v>
      </c>
      <c r="L29" s="111">
        <v>6</v>
      </c>
      <c r="M29" s="111">
        <v>10</v>
      </c>
      <c r="N29" s="47">
        <f>(14490+225+185+125+165)*1.03</f>
        <v>15645.7</v>
      </c>
      <c r="O29" s="241">
        <f t="shared" si="36"/>
        <v>0</v>
      </c>
      <c r="P29" s="241">
        <v>18</v>
      </c>
      <c r="Q29" s="241">
        <v>58</v>
      </c>
      <c r="R29" s="241">
        <v>10.5</v>
      </c>
      <c r="S29" s="241">
        <v>14</v>
      </c>
      <c r="T29" s="241">
        <v>12</v>
      </c>
      <c r="U29" s="241">
        <v>8</v>
      </c>
      <c r="V29" s="66">
        <f t="shared" si="58"/>
        <v>120.5</v>
      </c>
      <c r="X29" t="s">
        <v>42</v>
      </c>
      <c r="Y29" s="18">
        <f t="shared" si="59"/>
        <v>25</v>
      </c>
      <c r="Z29" s="18">
        <f t="shared" si="60"/>
        <v>29</v>
      </c>
      <c r="AA29" s="111">
        <f t="shared" si="49"/>
        <v>0</v>
      </c>
      <c r="AB29" s="111">
        <f t="shared" si="43"/>
        <v>7</v>
      </c>
      <c r="AC29" s="111">
        <f t="shared" si="50"/>
        <v>13</v>
      </c>
      <c r="AD29" s="111">
        <f t="shared" si="51"/>
        <v>7</v>
      </c>
      <c r="AE29" s="111">
        <f>9+5/6</f>
        <v>9.8333333333333339</v>
      </c>
      <c r="AF29" s="111">
        <f t="shared" si="52"/>
        <v>6</v>
      </c>
      <c r="AG29" s="111">
        <f>16+2/4</f>
        <v>16.5</v>
      </c>
      <c r="AH29" s="47">
        <f>(14490+225+200+125+165)*1.049</f>
        <v>15950.044999999998</v>
      </c>
      <c r="AI29" s="236">
        <f t="shared" si="44"/>
        <v>0</v>
      </c>
      <c r="AJ29" s="241">
        <f t="shared" si="45"/>
        <v>18</v>
      </c>
      <c r="AK29" s="236">
        <f t="shared" si="26"/>
        <v>58</v>
      </c>
      <c r="AL29" s="236">
        <f t="shared" si="26"/>
        <v>10.5</v>
      </c>
      <c r="AM29" s="241">
        <f t="shared" si="53"/>
        <v>28</v>
      </c>
      <c r="AN29" s="236">
        <f t="shared" si="26"/>
        <v>12</v>
      </c>
      <c r="AO29" s="241">
        <f t="shared" si="46"/>
        <v>23</v>
      </c>
      <c r="AP29" s="66">
        <f t="shared" si="61"/>
        <v>149.5</v>
      </c>
    </row>
    <row r="30" spans="1:45" x14ac:dyDescent="0.25">
      <c r="A30" t="s">
        <v>36</v>
      </c>
      <c r="B30" s="15" t="s">
        <v>366</v>
      </c>
      <c r="C30" s="3" t="s">
        <v>464</v>
      </c>
      <c r="D30" s="3" t="s">
        <v>487</v>
      </c>
      <c r="E30" s="18">
        <v>23</v>
      </c>
      <c r="F30" s="18">
        <v>50</v>
      </c>
      <c r="G30" s="111">
        <f t="shared" si="28"/>
        <v>0</v>
      </c>
      <c r="H30" s="111">
        <v>7</v>
      </c>
      <c r="I30" s="111">
        <v>13</v>
      </c>
      <c r="J30" s="111">
        <v>7</v>
      </c>
      <c r="K30" s="111">
        <v>7</v>
      </c>
      <c r="L30" s="111">
        <v>6</v>
      </c>
      <c r="M30" s="111">
        <v>10</v>
      </c>
      <c r="N30" s="47">
        <f>(14490+225+185+125+165)*1.03</f>
        <v>15645.7</v>
      </c>
      <c r="O30" s="241">
        <f t="shared" si="36"/>
        <v>0</v>
      </c>
      <c r="P30" s="241">
        <v>18</v>
      </c>
      <c r="Q30" s="241">
        <v>58</v>
      </c>
      <c r="R30" s="241">
        <v>10.5</v>
      </c>
      <c r="S30" s="241">
        <v>14</v>
      </c>
      <c r="T30" s="241">
        <v>12</v>
      </c>
      <c r="U30" s="241">
        <v>8</v>
      </c>
      <c r="V30" s="66">
        <f t="shared" si="58"/>
        <v>120.5</v>
      </c>
      <c r="X30" t="s">
        <v>36</v>
      </c>
      <c r="Y30" s="18">
        <f t="shared" si="59"/>
        <v>25</v>
      </c>
      <c r="Z30" s="18">
        <f t="shared" si="60"/>
        <v>29</v>
      </c>
      <c r="AA30" s="111">
        <f t="shared" si="49"/>
        <v>0</v>
      </c>
      <c r="AB30" s="111">
        <f t="shared" si="43"/>
        <v>7</v>
      </c>
      <c r="AC30" s="111">
        <f t="shared" si="50"/>
        <v>13</v>
      </c>
      <c r="AD30" s="111">
        <f t="shared" si="51"/>
        <v>7</v>
      </c>
      <c r="AE30" s="111">
        <f>9+5/6</f>
        <v>9.8333333333333339</v>
      </c>
      <c r="AF30" s="111">
        <f t="shared" si="52"/>
        <v>6</v>
      </c>
      <c r="AG30" s="111">
        <f>16+2/4</f>
        <v>16.5</v>
      </c>
      <c r="AH30" s="47">
        <f>(14490+225+200+125+165)*1.049</f>
        <v>15950.044999999998</v>
      </c>
      <c r="AI30" s="236">
        <f t="shared" si="44"/>
        <v>0</v>
      </c>
      <c r="AJ30" s="241">
        <f t="shared" si="45"/>
        <v>18</v>
      </c>
      <c r="AK30" s="236">
        <f t="shared" si="26"/>
        <v>58</v>
      </c>
      <c r="AL30" s="236">
        <f t="shared" si="26"/>
        <v>10.5</v>
      </c>
      <c r="AM30" s="241">
        <f t="shared" si="53"/>
        <v>28</v>
      </c>
      <c r="AN30" s="236">
        <f t="shared" si="26"/>
        <v>12</v>
      </c>
      <c r="AO30" s="241">
        <f t="shared" si="46"/>
        <v>23</v>
      </c>
      <c r="AP30" s="66">
        <f t="shared" si="61"/>
        <v>149.5</v>
      </c>
    </row>
    <row r="31" spans="1:45" x14ac:dyDescent="0.25">
      <c r="A31" t="s">
        <v>35</v>
      </c>
      <c r="B31" s="15" t="s">
        <v>70</v>
      </c>
      <c r="C31" s="3" t="s">
        <v>44</v>
      </c>
      <c r="D31" s="3" t="s">
        <v>320</v>
      </c>
      <c r="E31" s="18">
        <f t="shared" ref="E31:F32" si="63">Y13</f>
        <v>24</v>
      </c>
      <c r="F31" s="18">
        <f t="shared" ca="1" si="63"/>
        <v>-75</v>
      </c>
      <c r="G31" s="111">
        <f t="shared" si="28"/>
        <v>0</v>
      </c>
      <c r="H31" s="111">
        <f t="shared" si="29"/>
        <v>10.666666666666666</v>
      </c>
      <c r="I31" s="111">
        <f t="shared" si="30"/>
        <v>5.7</v>
      </c>
      <c r="J31" s="111">
        <f t="shared" si="31"/>
        <v>14</v>
      </c>
      <c r="K31" s="111">
        <f t="shared" si="32"/>
        <v>6</v>
      </c>
      <c r="L31" s="111">
        <f t="shared" si="33"/>
        <v>7.5</v>
      </c>
      <c r="M31" s="111">
        <f t="shared" si="34"/>
        <v>5</v>
      </c>
      <c r="N31" s="47">
        <f t="shared" si="35"/>
        <v>13619.48</v>
      </c>
      <c r="O31" s="241">
        <f t="shared" si="36"/>
        <v>0</v>
      </c>
      <c r="P31" s="241">
        <f t="shared" si="37"/>
        <v>43</v>
      </c>
      <c r="Q31" s="241">
        <f t="shared" si="38"/>
        <v>10.5</v>
      </c>
      <c r="R31" s="241">
        <f t="shared" si="39"/>
        <v>47.5</v>
      </c>
      <c r="S31" s="241">
        <f t="shared" si="40"/>
        <v>10</v>
      </c>
      <c r="T31" s="241">
        <f t="shared" si="41"/>
        <v>18</v>
      </c>
      <c r="U31" s="241">
        <f t="shared" si="42"/>
        <v>3</v>
      </c>
      <c r="V31" s="66">
        <f t="shared" si="58"/>
        <v>132</v>
      </c>
      <c r="X31" t="s">
        <v>35</v>
      </c>
      <c r="Y31" s="18">
        <f t="shared" si="59"/>
        <v>26</v>
      </c>
      <c r="Z31" s="18">
        <f t="shared" ca="1" si="60"/>
        <v>-96</v>
      </c>
      <c r="AA31" s="111">
        <f t="shared" si="49"/>
        <v>0</v>
      </c>
      <c r="AB31" s="111">
        <f t="shared" si="43"/>
        <v>10.666666666666666</v>
      </c>
      <c r="AC31" s="111">
        <f t="shared" si="50"/>
        <v>5.7</v>
      </c>
      <c r="AD31" s="111">
        <f t="shared" si="51"/>
        <v>14</v>
      </c>
      <c r="AE31" s="111">
        <f>9+1/7</f>
        <v>9.1428571428571423</v>
      </c>
      <c r="AF31" s="111">
        <f t="shared" si="52"/>
        <v>7.5</v>
      </c>
      <c r="AG31" s="111">
        <v>15</v>
      </c>
      <c r="AH31" s="47">
        <f>(11610+300+185+150+1200)*1.045</f>
        <v>14050.025</v>
      </c>
      <c r="AI31" s="236">
        <f t="shared" si="44"/>
        <v>0</v>
      </c>
      <c r="AJ31" s="241">
        <f t="shared" si="45"/>
        <v>43</v>
      </c>
      <c r="AK31" s="236">
        <f t="shared" si="26"/>
        <v>10.5</v>
      </c>
      <c r="AL31" s="236">
        <f t="shared" si="26"/>
        <v>47.5</v>
      </c>
      <c r="AM31" s="241">
        <f t="shared" si="53"/>
        <v>24</v>
      </c>
      <c r="AN31" s="236">
        <f t="shared" si="26"/>
        <v>18</v>
      </c>
      <c r="AO31" s="241">
        <f t="shared" si="46"/>
        <v>18</v>
      </c>
      <c r="AP31" s="66">
        <f t="shared" si="61"/>
        <v>161</v>
      </c>
    </row>
    <row r="32" spans="1:45" x14ac:dyDescent="0.25">
      <c r="A32" t="s">
        <v>39</v>
      </c>
      <c r="B32" s="15" t="s">
        <v>70</v>
      </c>
      <c r="C32" s="3" t="s">
        <v>44</v>
      </c>
      <c r="D32" s="3" t="s">
        <v>462</v>
      </c>
      <c r="E32" s="18">
        <f t="shared" si="63"/>
        <v>23</v>
      </c>
      <c r="F32" s="18">
        <f t="shared" ca="1" si="63"/>
        <v>2</v>
      </c>
      <c r="G32" s="111">
        <f t="shared" si="28"/>
        <v>0</v>
      </c>
      <c r="H32" s="111">
        <f t="shared" si="29"/>
        <v>12.181818181818182</v>
      </c>
      <c r="I32" s="111">
        <f t="shared" si="30"/>
        <v>3</v>
      </c>
      <c r="J32" s="111">
        <f t="shared" si="31"/>
        <v>12.833333333333334</v>
      </c>
      <c r="K32" s="111">
        <f t="shared" si="32"/>
        <v>7</v>
      </c>
      <c r="L32" s="111">
        <f t="shared" si="33"/>
        <v>7</v>
      </c>
      <c r="M32" s="111">
        <f t="shared" si="34"/>
        <v>3</v>
      </c>
      <c r="N32" s="47">
        <f t="shared" si="35"/>
        <v>11172.48</v>
      </c>
      <c r="O32" s="241">
        <f t="shared" si="36"/>
        <v>0</v>
      </c>
      <c r="P32" s="241">
        <f t="shared" si="37"/>
        <v>57</v>
      </c>
      <c r="Q32" s="241">
        <f t="shared" si="38"/>
        <v>3</v>
      </c>
      <c r="R32" s="241">
        <f t="shared" si="39"/>
        <v>39.5</v>
      </c>
      <c r="S32" s="241">
        <f t="shared" si="40"/>
        <v>14</v>
      </c>
      <c r="T32" s="241">
        <f t="shared" si="41"/>
        <v>16</v>
      </c>
      <c r="U32" s="241">
        <f t="shared" si="42"/>
        <v>1</v>
      </c>
      <c r="V32" s="66">
        <f>SUM(O32:U32)</f>
        <v>130.5</v>
      </c>
      <c r="X32" t="s">
        <v>39</v>
      </c>
      <c r="Y32" s="18">
        <f t="shared" si="59"/>
        <v>25</v>
      </c>
      <c r="Z32" s="18">
        <f t="shared" ca="1" si="60"/>
        <v>-19</v>
      </c>
      <c r="AA32" s="111">
        <f t="shared" si="49"/>
        <v>0</v>
      </c>
      <c r="AB32" s="111">
        <f t="shared" si="43"/>
        <v>12.181818181818182</v>
      </c>
      <c r="AC32" s="111">
        <f t="shared" si="50"/>
        <v>3</v>
      </c>
      <c r="AD32" s="111">
        <f t="shared" si="51"/>
        <v>12.833333333333334</v>
      </c>
      <c r="AE32" s="111">
        <f>9+5/6</f>
        <v>9.8333333333333339</v>
      </c>
      <c r="AF32" s="111">
        <f t="shared" si="52"/>
        <v>7</v>
      </c>
      <c r="AG32" s="111">
        <v>14</v>
      </c>
      <c r="AH32" s="47">
        <f>(7000+165+165+245+3505)*1.04</f>
        <v>11523.2</v>
      </c>
      <c r="AI32" s="236">
        <f t="shared" si="44"/>
        <v>0</v>
      </c>
      <c r="AJ32" s="241">
        <f t="shared" si="45"/>
        <v>57</v>
      </c>
      <c r="AK32" s="236">
        <f t="shared" si="26"/>
        <v>3</v>
      </c>
      <c r="AL32" s="236">
        <f t="shared" si="26"/>
        <v>39.5</v>
      </c>
      <c r="AM32" s="241">
        <f t="shared" si="53"/>
        <v>28</v>
      </c>
      <c r="AN32" s="236">
        <f t="shared" si="26"/>
        <v>16</v>
      </c>
      <c r="AO32" s="241">
        <f t="shared" si="46"/>
        <v>16</v>
      </c>
      <c r="AP32" s="66">
        <f>SUM(AI32:AO32)</f>
        <v>159.5</v>
      </c>
    </row>
    <row r="33" spans="1:42" x14ac:dyDescent="0.25">
      <c r="A33" t="s">
        <v>33</v>
      </c>
      <c r="B33" s="15" t="s">
        <v>70</v>
      </c>
      <c r="C33" s="3" t="s">
        <v>294</v>
      </c>
      <c r="D33" s="3" t="s">
        <v>322</v>
      </c>
      <c r="E33" s="18">
        <f t="shared" ref="E33:F33" si="64">Y15</f>
        <v>24</v>
      </c>
      <c r="F33" s="18">
        <f t="shared" ca="1" si="64"/>
        <v>-75</v>
      </c>
      <c r="G33" s="111">
        <f t="shared" si="28"/>
        <v>0</v>
      </c>
      <c r="H33" s="111">
        <f t="shared" si="29"/>
        <v>11.1</v>
      </c>
      <c r="I33" s="111">
        <f t="shared" si="30"/>
        <v>5</v>
      </c>
      <c r="J33" s="111">
        <f t="shared" si="31"/>
        <v>13.333333333333334</v>
      </c>
      <c r="K33" s="111">
        <f t="shared" si="32"/>
        <v>5</v>
      </c>
      <c r="L33" s="111">
        <f t="shared" si="33"/>
        <v>7.8016666666666676</v>
      </c>
      <c r="M33" s="111">
        <f t="shared" si="34"/>
        <v>3</v>
      </c>
      <c r="N33" s="47">
        <f t="shared" si="35"/>
        <v>13682.24</v>
      </c>
      <c r="O33" s="241">
        <f t="shared" si="36"/>
        <v>0</v>
      </c>
      <c r="P33" s="241">
        <f t="shared" si="37"/>
        <v>46</v>
      </c>
      <c r="Q33" s="241">
        <f t="shared" si="38"/>
        <v>9</v>
      </c>
      <c r="R33" s="241">
        <f t="shared" si="39"/>
        <v>39.880000000000003</v>
      </c>
      <c r="S33" s="241">
        <f t="shared" si="40"/>
        <v>7</v>
      </c>
      <c r="T33" s="241">
        <f t="shared" si="41"/>
        <v>19</v>
      </c>
      <c r="U33" s="241">
        <f t="shared" si="42"/>
        <v>1</v>
      </c>
      <c r="V33" s="66">
        <f>SUM(O33:U33)</f>
        <v>121.88</v>
      </c>
      <c r="X33" t="s">
        <v>33</v>
      </c>
      <c r="Y33" s="18">
        <f t="shared" si="59"/>
        <v>26</v>
      </c>
      <c r="Z33" s="18">
        <f t="shared" ca="1" si="60"/>
        <v>-96</v>
      </c>
      <c r="AA33" s="111">
        <f t="shared" si="49"/>
        <v>0</v>
      </c>
      <c r="AB33" s="111">
        <f t="shared" si="43"/>
        <v>11.1</v>
      </c>
      <c r="AC33" s="111">
        <f t="shared" si="50"/>
        <v>5</v>
      </c>
      <c r="AD33" s="111">
        <f t="shared" si="51"/>
        <v>13.333333333333334</v>
      </c>
      <c r="AE33" s="111">
        <f>8+3/5</f>
        <v>8.6</v>
      </c>
      <c r="AF33" s="111">
        <f t="shared" si="52"/>
        <v>7.8016666666666676</v>
      </c>
      <c r="AG33" s="111">
        <v>14</v>
      </c>
      <c r="AH33" s="47">
        <f>(9000+135+185+350+3900)*1.04</f>
        <v>14112.800000000001</v>
      </c>
      <c r="AI33" s="236">
        <f t="shared" si="44"/>
        <v>0</v>
      </c>
      <c r="AJ33" s="241">
        <f t="shared" si="45"/>
        <v>46</v>
      </c>
      <c r="AK33" s="236">
        <f t="shared" si="26"/>
        <v>9</v>
      </c>
      <c r="AL33" s="236">
        <f t="shared" si="26"/>
        <v>39.880000000000003</v>
      </c>
      <c r="AM33" s="241">
        <f t="shared" si="53"/>
        <v>21</v>
      </c>
      <c r="AN33" s="236">
        <f t="shared" si="26"/>
        <v>19</v>
      </c>
      <c r="AO33" s="241">
        <f t="shared" si="46"/>
        <v>16</v>
      </c>
      <c r="AP33" s="66">
        <f>SUM(AI33:AO33)</f>
        <v>150.88</v>
      </c>
    </row>
    <row r="34" spans="1:42" x14ac:dyDescent="0.25">
      <c r="A34" t="s">
        <v>41</v>
      </c>
      <c r="B34" s="15" t="s">
        <v>43</v>
      </c>
      <c r="C34" s="3" t="s">
        <v>464</v>
      </c>
      <c r="D34" s="3" t="s">
        <v>326</v>
      </c>
      <c r="E34" s="18">
        <v>23</v>
      </c>
      <c r="F34" s="18">
        <v>50</v>
      </c>
      <c r="G34" s="111">
        <f t="shared" si="28"/>
        <v>0</v>
      </c>
      <c r="H34" s="111">
        <f t="shared" si="29"/>
        <v>2</v>
      </c>
      <c r="I34" s="111">
        <v>7</v>
      </c>
      <c r="J34" s="111">
        <v>7</v>
      </c>
      <c r="K34" s="111">
        <v>10</v>
      </c>
      <c r="L34" s="111">
        <v>13</v>
      </c>
      <c r="M34" s="111">
        <v>10</v>
      </c>
      <c r="N34" s="47">
        <f>(12930+255+185+195)*1.03</f>
        <v>13971.95</v>
      </c>
      <c r="O34" s="236">
        <f t="shared" ref="O34:P34" si="65">AI16</f>
        <v>0</v>
      </c>
      <c r="P34" s="236">
        <f t="shared" si="65"/>
        <v>0</v>
      </c>
      <c r="Q34" s="236">
        <v>16</v>
      </c>
      <c r="R34" s="236">
        <v>10.5</v>
      </c>
      <c r="S34" s="236">
        <v>29</v>
      </c>
      <c r="T34" s="236">
        <v>59</v>
      </c>
      <c r="U34" s="236">
        <v>8</v>
      </c>
      <c r="V34" s="66">
        <f>SUM(O34:U34)</f>
        <v>122.5</v>
      </c>
      <c r="X34" t="s">
        <v>41</v>
      </c>
      <c r="Y34" s="18">
        <f t="shared" si="59"/>
        <v>25</v>
      </c>
      <c r="Z34" s="18">
        <f t="shared" si="60"/>
        <v>29</v>
      </c>
      <c r="AA34" s="111">
        <f t="shared" si="49"/>
        <v>0</v>
      </c>
      <c r="AB34" s="111">
        <f t="shared" ref="AB34:AB36" si="66">H34</f>
        <v>2</v>
      </c>
      <c r="AC34" s="111">
        <f t="shared" si="50"/>
        <v>7</v>
      </c>
      <c r="AD34" s="111">
        <f t="shared" si="51"/>
        <v>7</v>
      </c>
      <c r="AE34" s="111">
        <v>12</v>
      </c>
      <c r="AF34" s="111">
        <f t="shared" si="52"/>
        <v>13</v>
      </c>
      <c r="AG34" s="111">
        <v>16.5</v>
      </c>
      <c r="AH34" s="47">
        <f>(12930+255+515+195)*1.049</f>
        <v>14575.855</v>
      </c>
      <c r="AI34" s="236">
        <f t="shared" si="44"/>
        <v>0</v>
      </c>
      <c r="AJ34" s="236">
        <f t="shared" si="44"/>
        <v>0</v>
      </c>
      <c r="AK34" s="236">
        <f t="shared" si="26"/>
        <v>16</v>
      </c>
      <c r="AL34" s="236">
        <f t="shared" si="26"/>
        <v>10.5</v>
      </c>
      <c r="AM34" s="241">
        <f t="shared" si="53"/>
        <v>43</v>
      </c>
      <c r="AN34" s="236">
        <f t="shared" si="26"/>
        <v>59</v>
      </c>
      <c r="AO34" s="241">
        <f t="shared" si="46"/>
        <v>23</v>
      </c>
      <c r="AP34" s="66">
        <f>SUM(AI34:AO34)</f>
        <v>151.5</v>
      </c>
    </row>
    <row r="35" spans="1:42" x14ac:dyDescent="0.25">
      <c r="A35" t="s">
        <v>45</v>
      </c>
      <c r="B35" s="15" t="s">
        <v>43</v>
      </c>
      <c r="C35" s="3" t="s">
        <v>464</v>
      </c>
      <c r="D35" s="3" t="s">
        <v>326</v>
      </c>
      <c r="E35" s="18">
        <v>23</v>
      </c>
      <c r="F35" s="18">
        <v>50</v>
      </c>
      <c r="G35" s="111">
        <f t="shared" ref="G35:G36" si="67">AA17</f>
        <v>0</v>
      </c>
      <c r="H35" s="111">
        <f t="shared" ref="H35:H36" si="68">AB17</f>
        <v>2</v>
      </c>
      <c r="I35" s="111">
        <v>7</v>
      </c>
      <c r="J35" s="111">
        <v>7</v>
      </c>
      <c r="K35" s="111">
        <v>10</v>
      </c>
      <c r="L35" s="111">
        <v>13</v>
      </c>
      <c r="M35" s="111">
        <v>10</v>
      </c>
      <c r="N35" s="47">
        <f t="shared" ref="N35:N36" si="69">(12930+255+185+195)*1.03</f>
        <v>13971.95</v>
      </c>
      <c r="O35" s="241">
        <f t="shared" ref="O35:O36" si="70">AI17</f>
        <v>0</v>
      </c>
      <c r="P35" s="241">
        <f t="shared" ref="P35:P36" si="71">AJ17</f>
        <v>0</v>
      </c>
      <c r="Q35" s="241">
        <v>16</v>
      </c>
      <c r="R35" s="241">
        <v>10.5</v>
      </c>
      <c r="S35" s="241">
        <v>29</v>
      </c>
      <c r="T35" s="241">
        <v>59</v>
      </c>
      <c r="U35" s="241">
        <v>8</v>
      </c>
      <c r="V35" s="66">
        <f>SUM(O35:U35)</f>
        <v>122.5</v>
      </c>
      <c r="X35" t="s">
        <v>45</v>
      </c>
      <c r="Y35" s="18">
        <f t="shared" ref="Y35:Y36" si="72">E35+2</f>
        <v>25</v>
      </c>
      <c r="Z35" s="18">
        <f t="shared" ref="Z35:Z36" si="73">F35+(($AR$25+$AR$26)*7)-112-112</f>
        <v>29</v>
      </c>
      <c r="AA35" s="111">
        <f t="shared" si="49"/>
        <v>0</v>
      </c>
      <c r="AB35" s="111">
        <f t="shared" si="66"/>
        <v>2</v>
      </c>
      <c r="AC35" s="111">
        <f t="shared" si="50"/>
        <v>7</v>
      </c>
      <c r="AD35" s="111">
        <f t="shared" si="51"/>
        <v>7</v>
      </c>
      <c r="AE35" s="111">
        <v>12</v>
      </c>
      <c r="AF35" s="111">
        <f t="shared" si="52"/>
        <v>13</v>
      </c>
      <c r="AG35" s="111">
        <v>16.5</v>
      </c>
      <c r="AH35" s="47">
        <f>(12930+255+515+195)*1.049</f>
        <v>14575.855</v>
      </c>
      <c r="AI35" s="236">
        <f t="shared" si="44"/>
        <v>0</v>
      </c>
      <c r="AJ35" s="236">
        <f t="shared" si="44"/>
        <v>0</v>
      </c>
      <c r="AK35" s="236">
        <f t="shared" si="26"/>
        <v>16</v>
      </c>
      <c r="AL35" s="236">
        <f t="shared" si="26"/>
        <v>10.5</v>
      </c>
      <c r="AM35" s="241">
        <f t="shared" si="53"/>
        <v>43</v>
      </c>
      <c r="AN35" s="236">
        <f t="shared" si="26"/>
        <v>59</v>
      </c>
      <c r="AO35" s="241">
        <f t="shared" si="46"/>
        <v>23</v>
      </c>
      <c r="AP35" s="66">
        <f>SUM(AI35:AO35)</f>
        <v>151.5</v>
      </c>
    </row>
    <row r="36" spans="1:42" x14ac:dyDescent="0.25">
      <c r="A36" t="s">
        <v>323</v>
      </c>
      <c r="B36" s="15" t="s">
        <v>43</v>
      </c>
      <c r="C36" s="3" t="s">
        <v>464</v>
      </c>
      <c r="D36" s="3" t="s">
        <v>326</v>
      </c>
      <c r="E36" s="18">
        <v>23</v>
      </c>
      <c r="F36" s="18">
        <v>50</v>
      </c>
      <c r="G36" s="111">
        <f t="shared" si="67"/>
        <v>0</v>
      </c>
      <c r="H36" s="111">
        <f t="shared" si="68"/>
        <v>2</v>
      </c>
      <c r="I36" s="111">
        <v>7</v>
      </c>
      <c r="J36" s="111">
        <v>7</v>
      </c>
      <c r="K36" s="111">
        <v>10</v>
      </c>
      <c r="L36" s="111">
        <v>13</v>
      </c>
      <c r="M36" s="111">
        <v>10</v>
      </c>
      <c r="N36" s="47">
        <f t="shared" si="69"/>
        <v>13971.95</v>
      </c>
      <c r="O36" s="241">
        <f t="shared" si="70"/>
        <v>0</v>
      </c>
      <c r="P36" s="241">
        <f t="shared" si="71"/>
        <v>0</v>
      </c>
      <c r="Q36" s="241">
        <v>16</v>
      </c>
      <c r="R36" s="241">
        <v>10.5</v>
      </c>
      <c r="S36" s="241">
        <v>29</v>
      </c>
      <c r="T36" s="241">
        <v>59</v>
      </c>
      <c r="U36" s="241">
        <v>8</v>
      </c>
      <c r="V36" s="66">
        <f>SUM(O36:U36)</f>
        <v>122.5</v>
      </c>
      <c r="X36" t="s">
        <v>323</v>
      </c>
      <c r="Y36" s="18">
        <f t="shared" si="72"/>
        <v>25</v>
      </c>
      <c r="Z36" s="18">
        <f t="shared" si="73"/>
        <v>29</v>
      </c>
      <c r="AA36" s="111">
        <f t="shared" si="49"/>
        <v>0</v>
      </c>
      <c r="AB36" s="111">
        <f t="shared" si="66"/>
        <v>2</v>
      </c>
      <c r="AC36" s="111">
        <f t="shared" si="50"/>
        <v>7</v>
      </c>
      <c r="AD36" s="111">
        <f t="shared" si="51"/>
        <v>7</v>
      </c>
      <c r="AE36" s="111">
        <v>12</v>
      </c>
      <c r="AF36" s="111">
        <f t="shared" si="52"/>
        <v>13</v>
      </c>
      <c r="AG36" s="111">
        <v>16.5</v>
      </c>
      <c r="AH36" s="47">
        <f>(12930+255+515+195)*1.049</f>
        <v>14575.855</v>
      </c>
      <c r="AI36" s="236">
        <f t="shared" si="44"/>
        <v>0</v>
      </c>
      <c r="AJ36" s="236">
        <f t="shared" si="44"/>
        <v>0</v>
      </c>
      <c r="AK36" s="236">
        <f t="shared" si="26"/>
        <v>16</v>
      </c>
      <c r="AL36" s="236">
        <f t="shared" si="26"/>
        <v>10.5</v>
      </c>
      <c r="AM36" s="241">
        <f t="shared" si="53"/>
        <v>43</v>
      </c>
      <c r="AN36" s="236">
        <f t="shared" si="26"/>
        <v>59</v>
      </c>
      <c r="AO36" s="241">
        <f t="shared" si="46"/>
        <v>23</v>
      </c>
      <c r="AP36" s="66">
        <f>SUM(AI36:AO36)</f>
        <v>151.5</v>
      </c>
    </row>
  </sheetData>
  <conditionalFormatting sqref="G8:M18 G3:M4">
    <cfRule type="colorScale" priority="26">
      <colorScale>
        <cfvo type="min"/>
        <cfvo type="max"/>
        <color rgb="FFFFEF9C"/>
        <color rgb="FF63BE7B"/>
      </colorScale>
    </cfRule>
  </conditionalFormatting>
  <conditionalFormatting sqref="G5:M7">
    <cfRule type="colorScale" priority="25">
      <colorScale>
        <cfvo type="min"/>
        <cfvo type="max"/>
        <color rgb="FFFFEF9C"/>
        <color rgb="FF63BE7B"/>
      </colorScale>
    </cfRule>
  </conditionalFormatting>
  <conditionalFormatting sqref="N3:N18">
    <cfRule type="dataBar" priority="24">
      <dataBar>
        <cfvo type="min"/>
        <cfvo type="max"/>
        <color rgb="FFFF555A"/>
      </dataBar>
      <extLst>
        <ext xmlns:x14="http://schemas.microsoft.com/office/spreadsheetml/2009/9/main" uri="{B025F937-C7B1-47D3-B67F-A62EFF666E3E}">
          <x14:id>{FA8484D2-E49B-4152-B82F-527E9BCD9437}</x14:id>
        </ext>
      </extLst>
    </cfRule>
  </conditionalFormatting>
  <conditionalFormatting sqref="O3:U18">
    <cfRule type="colorScale" priority="23">
      <colorScale>
        <cfvo type="min"/>
        <cfvo type="max"/>
        <color rgb="FFFCFCFF"/>
        <color rgb="FFF8696B"/>
      </colorScale>
    </cfRule>
  </conditionalFormatting>
  <conditionalFormatting sqref="V3:V18">
    <cfRule type="dataBar" priority="22">
      <dataBar>
        <cfvo type="min"/>
        <cfvo type="max"/>
        <color rgb="FFFFB628"/>
      </dataBar>
      <extLst>
        <ext xmlns:x14="http://schemas.microsoft.com/office/spreadsheetml/2009/9/main" uri="{B025F937-C7B1-47D3-B67F-A62EFF666E3E}">
          <x14:id>{D8E0F95B-E09F-473D-8CB3-1AA6BE8A35DD}</x14:id>
        </ext>
      </extLst>
    </cfRule>
  </conditionalFormatting>
  <conditionalFormatting sqref="AA3:AG18">
    <cfRule type="colorScale" priority="21">
      <colorScale>
        <cfvo type="min"/>
        <cfvo type="max"/>
        <color rgb="FFFFEF9C"/>
        <color rgb="FF63BE7B"/>
      </colorScale>
    </cfRule>
  </conditionalFormatting>
  <conditionalFormatting sqref="AH3:AH18">
    <cfRule type="dataBar" priority="20">
      <dataBar>
        <cfvo type="min"/>
        <cfvo type="max"/>
        <color rgb="FFFF555A"/>
      </dataBar>
      <extLst>
        <ext xmlns:x14="http://schemas.microsoft.com/office/spreadsheetml/2009/9/main" uri="{B025F937-C7B1-47D3-B67F-A62EFF666E3E}">
          <x14:id>{D0CABE6B-C37A-4128-9F14-49736C3E3E16}</x14:id>
        </ext>
      </extLst>
    </cfRule>
  </conditionalFormatting>
  <conditionalFormatting sqref="AI3:AO18">
    <cfRule type="colorScale" priority="19">
      <colorScale>
        <cfvo type="min"/>
        <cfvo type="max"/>
        <color rgb="FFFCFCFF"/>
        <color rgb="FFF8696B"/>
      </colorScale>
    </cfRule>
  </conditionalFormatting>
  <conditionalFormatting sqref="AP3:AP18">
    <cfRule type="dataBar" priority="18">
      <dataBar>
        <cfvo type="min"/>
        <cfvo type="max"/>
        <color rgb="FFFFB628"/>
      </dataBar>
      <extLst>
        <ext xmlns:x14="http://schemas.microsoft.com/office/spreadsheetml/2009/9/main" uri="{B025F937-C7B1-47D3-B67F-A62EFF666E3E}">
          <x14:id>{CB746796-43C0-4000-8EAD-CC55FCC653DB}</x14:id>
        </ext>
      </extLst>
    </cfRule>
  </conditionalFormatting>
  <conditionalFormatting sqref="N21:N36">
    <cfRule type="dataBar" priority="16">
      <dataBar>
        <cfvo type="min"/>
        <cfvo type="max"/>
        <color rgb="FFFF555A"/>
      </dataBar>
      <extLst>
        <ext xmlns:x14="http://schemas.microsoft.com/office/spreadsheetml/2009/9/main" uri="{B025F937-C7B1-47D3-B67F-A62EFF666E3E}">
          <x14:id>{F1C4D72C-43B0-4BB2-9B27-2904231E0565}</x14:id>
        </ext>
      </extLst>
    </cfRule>
  </conditionalFormatting>
  <conditionalFormatting sqref="V21:V36">
    <cfRule type="dataBar" priority="14">
      <dataBar>
        <cfvo type="min"/>
        <cfvo type="max"/>
        <color rgb="FFFFB628"/>
      </dataBar>
      <extLst>
        <ext xmlns:x14="http://schemas.microsoft.com/office/spreadsheetml/2009/9/main" uri="{B025F937-C7B1-47D3-B67F-A62EFF666E3E}">
          <x14:id>{FCD1AAE9-7889-4A70-9407-731E2C29149F}</x14:id>
        </ext>
      </extLst>
    </cfRule>
  </conditionalFormatting>
  <conditionalFormatting sqref="AI21:AO36">
    <cfRule type="colorScale" priority="13">
      <colorScale>
        <cfvo type="min"/>
        <cfvo type="max"/>
        <color rgb="FFFCFCFF"/>
        <color rgb="FFF8696B"/>
      </colorScale>
    </cfRule>
  </conditionalFormatting>
  <conditionalFormatting sqref="AP21:AP36">
    <cfRule type="dataBar" priority="12">
      <dataBar>
        <cfvo type="min"/>
        <cfvo type="max"/>
        <color rgb="FFFFB628"/>
      </dataBar>
      <extLst>
        <ext xmlns:x14="http://schemas.microsoft.com/office/spreadsheetml/2009/9/main" uri="{B025F937-C7B1-47D3-B67F-A62EFF666E3E}">
          <x14:id>{589B8D8C-D891-4DE2-9406-02BB42CE7CE8}</x14:id>
        </ext>
      </extLst>
    </cfRule>
  </conditionalFormatting>
  <conditionalFormatting sqref="AA21:AG36">
    <cfRule type="colorScale" priority="11">
      <colorScale>
        <cfvo type="min"/>
        <cfvo type="max"/>
        <color rgb="FFFFEF9C"/>
        <color rgb="FF63BE7B"/>
      </colorScale>
    </cfRule>
  </conditionalFormatting>
  <conditionalFormatting sqref="O21:U36">
    <cfRule type="colorScale" priority="3">
      <colorScale>
        <cfvo type="min"/>
        <cfvo type="max"/>
        <color rgb="FFFCFCFF"/>
        <color rgb="FFF8696B"/>
      </colorScale>
    </cfRule>
  </conditionalFormatting>
  <conditionalFormatting sqref="G21:M36">
    <cfRule type="colorScale" priority="2">
      <colorScale>
        <cfvo type="min"/>
        <cfvo type="max"/>
        <color rgb="FFFFEF9C"/>
        <color rgb="FF63BE7B"/>
      </colorScale>
    </cfRule>
  </conditionalFormatting>
  <conditionalFormatting sqref="AH21:AH36">
    <cfRule type="dataBar" priority="1">
      <dataBar>
        <cfvo type="min"/>
        <cfvo type="max"/>
        <color rgb="FFFF555A"/>
      </dataBar>
      <extLst>
        <ext xmlns:x14="http://schemas.microsoft.com/office/spreadsheetml/2009/9/main" uri="{B025F937-C7B1-47D3-B67F-A62EFF666E3E}">
          <x14:id>{0B0C4CDB-7CA7-4405-A3B6-07BF3BC1410B}</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A8484D2-E49B-4152-B82F-527E9BCD9437}">
            <x14:dataBar minLength="0" maxLength="100" border="1" negativeBarBorderColorSameAsPositive="0">
              <x14:cfvo type="autoMin"/>
              <x14:cfvo type="autoMax"/>
              <x14:borderColor rgb="FFFF555A"/>
              <x14:negativeFillColor rgb="FFFF0000"/>
              <x14:negativeBorderColor rgb="FFFF0000"/>
              <x14:axisColor rgb="FF000000"/>
            </x14:dataBar>
          </x14:cfRule>
          <xm:sqref>N3:N18</xm:sqref>
        </x14:conditionalFormatting>
        <x14:conditionalFormatting xmlns:xm="http://schemas.microsoft.com/office/excel/2006/main">
          <x14:cfRule type="dataBar" id="{D8E0F95B-E09F-473D-8CB3-1AA6BE8A35DD}">
            <x14:dataBar minLength="0" maxLength="100" border="1" negativeBarBorderColorSameAsPositive="0">
              <x14:cfvo type="autoMin"/>
              <x14:cfvo type="autoMax"/>
              <x14:borderColor rgb="FFFFB628"/>
              <x14:negativeFillColor rgb="FFFF0000"/>
              <x14:negativeBorderColor rgb="FFFF0000"/>
              <x14:axisColor rgb="FF000000"/>
            </x14:dataBar>
          </x14:cfRule>
          <xm:sqref>V3:V18</xm:sqref>
        </x14:conditionalFormatting>
        <x14:conditionalFormatting xmlns:xm="http://schemas.microsoft.com/office/excel/2006/main">
          <x14:cfRule type="dataBar" id="{D0CABE6B-C37A-4128-9F14-49736C3E3E16}">
            <x14:dataBar minLength="0" maxLength="100" border="1" negativeBarBorderColorSameAsPositive="0">
              <x14:cfvo type="autoMin"/>
              <x14:cfvo type="autoMax"/>
              <x14:borderColor rgb="FFFF555A"/>
              <x14:negativeFillColor rgb="FFFF0000"/>
              <x14:negativeBorderColor rgb="FFFF0000"/>
              <x14:axisColor rgb="FF000000"/>
            </x14:dataBar>
          </x14:cfRule>
          <xm:sqref>AH3:AH18</xm:sqref>
        </x14:conditionalFormatting>
        <x14:conditionalFormatting xmlns:xm="http://schemas.microsoft.com/office/excel/2006/main">
          <x14:cfRule type="dataBar" id="{CB746796-43C0-4000-8EAD-CC55FCC653DB}">
            <x14:dataBar minLength="0" maxLength="100" border="1" negativeBarBorderColorSameAsPositive="0">
              <x14:cfvo type="autoMin"/>
              <x14:cfvo type="autoMax"/>
              <x14:borderColor rgb="FFFFB628"/>
              <x14:negativeFillColor rgb="FFFF0000"/>
              <x14:negativeBorderColor rgb="FFFF0000"/>
              <x14:axisColor rgb="FF000000"/>
            </x14:dataBar>
          </x14:cfRule>
          <xm:sqref>AP3:AP18</xm:sqref>
        </x14:conditionalFormatting>
        <x14:conditionalFormatting xmlns:xm="http://schemas.microsoft.com/office/excel/2006/main">
          <x14:cfRule type="dataBar" id="{F1C4D72C-43B0-4BB2-9B27-2904231E0565}">
            <x14:dataBar minLength="0" maxLength="100" border="1" negativeBarBorderColorSameAsPositive="0">
              <x14:cfvo type="autoMin"/>
              <x14:cfvo type="autoMax"/>
              <x14:borderColor rgb="FFFF555A"/>
              <x14:negativeFillColor rgb="FFFF0000"/>
              <x14:negativeBorderColor rgb="FFFF0000"/>
              <x14:axisColor rgb="FF000000"/>
            </x14:dataBar>
          </x14:cfRule>
          <xm:sqref>N21:N36</xm:sqref>
        </x14:conditionalFormatting>
        <x14:conditionalFormatting xmlns:xm="http://schemas.microsoft.com/office/excel/2006/main">
          <x14:cfRule type="dataBar" id="{FCD1AAE9-7889-4A70-9407-731E2C29149F}">
            <x14:dataBar minLength="0" maxLength="100" border="1" negativeBarBorderColorSameAsPositive="0">
              <x14:cfvo type="autoMin"/>
              <x14:cfvo type="autoMax"/>
              <x14:borderColor rgb="FFFFB628"/>
              <x14:negativeFillColor rgb="FFFF0000"/>
              <x14:negativeBorderColor rgb="FFFF0000"/>
              <x14:axisColor rgb="FF000000"/>
            </x14:dataBar>
          </x14:cfRule>
          <xm:sqref>V21:V36</xm:sqref>
        </x14:conditionalFormatting>
        <x14:conditionalFormatting xmlns:xm="http://schemas.microsoft.com/office/excel/2006/main">
          <x14:cfRule type="dataBar" id="{589B8D8C-D891-4DE2-9406-02BB42CE7CE8}">
            <x14:dataBar minLength="0" maxLength="100" border="1" negativeBarBorderColorSameAsPositive="0">
              <x14:cfvo type="autoMin"/>
              <x14:cfvo type="autoMax"/>
              <x14:borderColor rgb="FFFFB628"/>
              <x14:negativeFillColor rgb="FFFF0000"/>
              <x14:negativeBorderColor rgb="FFFF0000"/>
              <x14:axisColor rgb="FF000000"/>
            </x14:dataBar>
          </x14:cfRule>
          <xm:sqref>AP21:AP36</xm:sqref>
        </x14:conditionalFormatting>
        <x14:conditionalFormatting xmlns:xm="http://schemas.microsoft.com/office/excel/2006/main">
          <x14:cfRule type="dataBar" id="{0B0C4CDB-7CA7-4405-A3B6-07BF3BC1410B}">
            <x14:dataBar minLength="0" maxLength="100" border="1" negativeBarBorderColorSameAsPositive="0">
              <x14:cfvo type="autoMin"/>
              <x14:cfvo type="autoMax"/>
              <x14:borderColor rgb="FFFF555A"/>
              <x14:negativeFillColor rgb="FFFF0000"/>
              <x14:negativeBorderColor rgb="FFFF0000"/>
              <x14:axisColor rgb="FF000000"/>
            </x14:dataBar>
          </x14:cfRule>
          <xm:sqref>AH21:AH36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
    <tabColor rgb="FF00B050"/>
  </sheetPr>
  <dimension ref="A1:AT29"/>
  <sheetViews>
    <sheetView tabSelected="1" zoomScaleNormal="100" workbookViewId="0">
      <pane xSplit="4" ySplit="3" topLeftCell="E4" activePane="bottomRight" state="frozen"/>
      <selection pane="topRight" activeCell="E1" sqref="E1"/>
      <selection pane="bottomLeft" activeCell="A4" sqref="A4"/>
      <selection pane="bottomRight" activeCell="O9" sqref="O9"/>
    </sheetView>
  </sheetViews>
  <sheetFormatPr baseColWidth="10" defaultColWidth="9.140625" defaultRowHeight="15" x14ac:dyDescent="0.25"/>
  <cols>
    <col min="1" max="1" width="4.7109375" bestFit="1" customWidth="1"/>
    <col min="2" max="2" width="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2" width="10.42578125" bestFit="1" customWidth="1"/>
    <col min="23" max="23" width="7.5703125" bestFit="1" customWidth="1"/>
    <col min="24" max="30" width="5.5703125" bestFit="1" customWidth="1"/>
    <col min="31" max="31" width="7" bestFit="1" customWidth="1"/>
    <col min="32" max="32" width="8.5703125" bestFit="1" customWidth="1"/>
    <col min="33" max="35" width="7" bestFit="1" customWidth="1"/>
    <col min="36" max="36" width="8" bestFit="1" customWidth="1"/>
    <col min="37" max="37" width="8.140625" bestFit="1" customWidth="1"/>
    <col min="38" max="38" width="6.5703125" bestFit="1" customWidth="1"/>
    <col min="39" max="39" width="7.5703125" bestFit="1" customWidth="1"/>
    <col min="40"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30">
        <v>42268</v>
      </c>
    </row>
    <row r="2" spans="1:46" x14ac:dyDescent="0.25">
      <c r="D2" s="30">
        <f ca="1">TODAY()</f>
        <v>43539</v>
      </c>
      <c r="I2" s="32">
        <f>AVERAGE(I4:I21)</f>
        <v>3.7777777777777777</v>
      </c>
      <c r="J2" s="32"/>
      <c r="N2" s="37">
        <f ca="1">AVERAGE(N4:N21)</f>
        <v>0.77302409568426977</v>
      </c>
      <c r="O2" s="32">
        <f>AVERAGE(O4:O21)</f>
        <v>5.4666666666666659</v>
      </c>
      <c r="Q2" s="32">
        <f>AVERAGE(Q4:Q21)</f>
        <v>6</v>
      </c>
      <c r="R2" s="116">
        <f>AVERAGE(R4:R21)</f>
        <v>0.92437877870219887</v>
      </c>
      <c r="S2" s="116">
        <f>AVERAGE(S4:S21)</f>
        <v>0.98294709084277743</v>
      </c>
      <c r="T2" s="38">
        <f>SUM(T4:T21)</f>
        <v>690450</v>
      </c>
      <c r="U2" s="38">
        <f>SUM(U4:U21)</f>
        <v>17310</v>
      </c>
      <c r="V2" s="38">
        <f>SUM(V4:V21)</f>
        <v>117688</v>
      </c>
      <c r="W2" s="39">
        <f>T2/V2</f>
        <v>5.866783359390932</v>
      </c>
      <c r="AD2" s="37">
        <f>AVERAGE(AD5:AD21)</f>
        <v>4.7647058823529411</v>
      </c>
      <c r="AE2" s="33">
        <f>AVERAGE(AE5:AE21)</f>
        <v>77.328235294117647</v>
      </c>
      <c r="AF2" s="33">
        <f>AVERAGE(AF5:AF21)</f>
        <v>2012</v>
      </c>
      <c r="AL2" s="32"/>
      <c r="AM2" s="32"/>
      <c r="AN2" s="32"/>
      <c r="AO2" s="32"/>
      <c r="AQ2" s="32"/>
      <c r="AR2" s="32"/>
      <c r="AS2" s="32"/>
    </row>
    <row r="3" spans="1:46" x14ac:dyDescent="0.25">
      <c r="A3" s="10" t="s">
        <v>1</v>
      </c>
      <c r="B3" s="10" t="s">
        <v>2</v>
      </c>
      <c r="C3" s="11" t="s">
        <v>482</v>
      </c>
      <c r="D3" s="12" t="s">
        <v>170</v>
      </c>
      <c r="E3" s="10" t="s">
        <v>4</v>
      </c>
      <c r="F3" s="10" t="s">
        <v>5</v>
      </c>
      <c r="G3" s="10" t="s">
        <v>6</v>
      </c>
      <c r="H3" s="10" t="s">
        <v>7</v>
      </c>
      <c r="I3" s="10" t="s">
        <v>8</v>
      </c>
      <c r="J3" s="10" t="s">
        <v>173</v>
      </c>
      <c r="K3" s="13" t="s">
        <v>49</v>
      </c>
      <c r="L3" s="13" t="s">
        <v>48</v>
      </c>
      <c r="M3" s="10" t="s">
        <v>180</v>
      </c>
      <c r="N3" s="10" t="s">
        <v>99</v>
      </c>
      <c r="O3" s="10" t="s">
        <v>9</v>
      </c>
      <c r="P3" s="10" t="s">
        <v>10</v>
      </c>
      <c r="Q3" s="10" t="s">
        <v>11</v>
      </c>
      <c r="R3" s="49" t="s">
        <v>97</v>
      </c>
      <c r="S3" s="49" t="s">
        <v>98</v>
      </c>
      <c r="T3" s="10" t="s">
        <v>12</v>
      </c>
      <c r="U3" s="10" t="s">
        <v>191</v>
      </c>
      <c r="V3" s="10" t="s">
        <v>13</v>
      </c>
      <c r="W3" s="10" t="s">
        <v>14</v>
      </c>
      <c r="X3" s="10" t="s">
        <v>15</v>
      </c>
      <c r="Y3" s="10" t="s">
        <v>16</v>
      </c>
      <c r="Z3" s="10" t="s">
        <v>17</v>
      </c>
      <c r="AA3" s="10" t="s">
        <v>18</v>
      </c>
      <c r="AB3" s="10" t="s">
        <v>19</v>
      </c>
      <c r="AC3" s="10" t="s">
        <v>20</v>
      </c>
      <c r="AD3" s="10" t="s">
        <v>6</v>
      </c>
      <c r="AE3" s="10" t="s">
        <v>358</v>
      </c>
      <c r="AF3" s="10" t="s">
        <v>295</v>
      </c>
      <c r="AG3" s="14" t="s">
        <v>25</v>
      </c>
      <c r="AH3" s="14" t="s">
        <v>26</v>
      </c>
      <c r="AI3" s="14" t="s">
        <v>87</v>
      </c>
      <c r="AJ3" s="14" t="s">
        <v>174</v>
      </c>
      <c r="AK3" s="14" t="s">
        <v>175</v>
      </c>
      <c r="AL3" s="14" t="s">
        <v>21</v>
      </c>
      <c r="AM3" s="14" t="s">
        <v>22</v>
      </c>
      <c r="AN3" s="14" t="s">
        <v>23</v>
      </c>
      <c r="AO3" s="14" t="s">
        <v>24</v>
      </c>
      <c r="AP3" s="10" t="s">
        <v>179</v>
      </c>
      <c r="AQ3" s="10" t="s">
        <v>181</v>
      </c>
      <c r="AR3" s="10" t="s">
        <v>177</v>
      </c>
      <c r="AS3" s="10" t="s">
        <v>178</v>
      </c>
      <c r="AT3" s="34" t="s">
        <v>290</v>
      </c>
    </row>
    <row r="4" spans="1:46" x14ac:dyDescent="0.25">
      <c r="A4" s="15" t="s">
        <v>28</v>
      </c>
      <c r="B4" s="24" t="s">
        <v>27</v>
      </c>
      <c r="C4" s="121">
        <f ca="1">((32*112)-(E4*112)-(F4))/112</f>
        <v>10.446428571428571</v>
      </c>
      <c r="D4" s="237" t="s">
        <v>484</v>
      </c>
      <c r="E4" s="1">
        <v>21</v>
      </c>
      <c r="F4" s="2">
        <f ca="1">$D$2-$D$1-1097-112</f>
        <v>62</v>
      </c>
      <c r="G4" s="3"/>
      <c r="H4" s="4">
        <v>4</v>
      </c>
      <c r="I4" s="5">
        <v>3.9</v>
      </c>
      <c r="J4" s="22">
        <f>LOG(I4)*4/3</f>
        <v>0.78808614270199895</v>
      </c>
      <c r="K4" s="6">
        <f>(H4)*(H4)*(I4)</f>
        <v>62.4</v>
      </c>
      <c r="L4" s="6">
        <f>(H4+1)*(H4+1)*I4</f>
        <v>97.5</v>
      </c>
      <c r="M4" s="130">
        <v>43415</v>
      </c>
      <c r="N4" s="131">
        <f t="shared" ref="N4:N9" ca="1" si="0">IF((TODAY()-M4)&gt;335,1,((TODAY()-M4)^0.64)/(336^0.64))</f>
        <v>0.52836341799157549</v>
      </c>
      <c r="O4" s="25">
        <v>6.6</v>
      </c>
      <c r="P4" s="20">
        <f>O4*10+19</f>
        <v>85</v>
      </c>
      <c r="Q4" s="26">
        <v>6</v>
      </c>
      <c r="R4" s="115">
        <f>(Q4/7)^0.5</f>
        <v>0.92582009977255142</v>
      </c>
      <c r="S4" s="115">
        <f>IF(Q4=7,1,((Q4+0.99)/7)^0.5)</f>
        <v>0.99928545900129484</v>
      </c>
      <c r="T4" s="29">
        <v>73640</v>
      </c>
      <c r="U4" s="29">
        <f>T4-AT4</f>
        <v>-390</v>
      </c>
      <c r="V4" s="7">
        <v>27000</v>
      </c>
      <c r="W4" s="8">
        <f>T4/V4</f>
        <v>2.7274074074074073</v>
      </c>
      <c r="X4" s="21">
        <v>15</v>
      </c>
      <c r="Y4" s="22">
        <v>8.1999999999999993</v>
      </c>
      <c r="Z4" s="21">
        <v>0</v>
      </c>
      <c r="AA4" s="22">
        <v>0</v>
      </c>
      <c r="AB4" s="21">
        <v>0</v>
      </c>
      <c r="AC4" s="22">
        <v>1</v>
      </c>
      <c r="AD4" s="21">
        <v>1</v>
      </c>
      <c r="AE4" s="9">
        <f>CA_v3!V3</f>
        <v>74.5</v>
      </c>
      <c r="AF4" s="9">
        <v>1752</v>
      </c>
      <c r="AG4" s="23">
        <f t="shared" ref="AG4" ca="1" si="1">(AD4+1+(LOG(I4)*4/3)+N4)*(Q4/7)^0.5</f>
        <v>3.0704356631719598</v>
      </c>
      <c r="AH4" s="23">
        <f t="shared" ref="AH4" ca="1" si="2">(AD4+1+N4+(LOG(I4)*4/3))*(IF(Q4=7, (Q4/7)^0.5, ((Q4+1)/7)^0.5))</f>
        <v>3.3164495606935742</v>
      </c>
      <c r="AI4" s="23">
        <f t="shared" ref="AI4" ca="1" si="3">(Z4+N4+(LOG(I4)*4/3))</f>
        <v>1.3164495606935744</v>
      </c>
      <c r="AJ4" s="120">
        <f t="shared" ref="AJ4" ca="1" si="4">(Z4+N4+(LOG(I4)*4/3))*(Q4/7)^0.5</f>
        <v>1.2187954636268565</v>
      </c>
      <c r="AK4" s="120">
        <f t="shared" ref="AK4" ca="1" si="5">(Z4+N4+(LOG(I4)*4/3))*(IF(Q4=7, (Q4/7)^0.5, ((Q4+1)/7)^0.5))</f>
        <v>1.3164495606935744</v>
      </c>
      <c r="AL4" s="8">
        <f t="shared" ref="AL4" ca="1" si="6">(((Y4+LOG(I4)*4/3+N4)+(AB4+LOG(I4)*4/3+N4)*2)/8)*(Q4/7)^0.5</f>
        <v>1.4060139011269366</v>
      </c>
      <c r="AM4" s="8">
        <f t="shared" ref="AM4" ca="1" si="7">(AD4+LOG(I4)*4/3+N4)*0.7+(AC4+LOG(I4)*4/3+N4)*0.3</f>
        <v>2.3164495606935747</v>
      </c>
      <c r="AN4" s="8">
        <f t="shared" ref="AN4" ca="1" si="8">(0.5*(AC4+LOG(I4)*4/3+N4)+ 0.3*(AD4+LOG(I4)*4/3+N4))/10</f>
        <v>0.18531596485548599</v>
      </c>
      <c r="AO4" s="8">
        <f t="shared" ref="AO4" ca="1" si="9">(0.4*(Y4+LOG(I4)*4/3+N4)+0.3*(AD4+LOG(I4)*4/3+N4))/10</f>
        <v>0.45015146924855021</v>
      </c>
      <c r="AP4" s="129">
        <f>IF(AR4=4,IF(AS4=0,0.137+0.0697,0.137+0.02),IF(AR4=3,IF(AS4=0,0.0958+0.0697,0.0958+0.02),IF(AR4=2,IF(AS4=0,0.0415+0.0697,0.0415+0.02),IF(AR4=1,IF(AS4=0,0.0294+0.0697,0.0294+0.02),IF(AR4=0,IF(AS4=0,0.0063+0.0697,0.0063+0.02))))))</f>
        <v>0.1158</v>
      </c>
      <c r="AQ4" s="20">
        <v>1</v>
      </c>
      <c r="AR4" s="20">
        <v>3</v>
      </c>
      <c r="AS4" s="20">
        <v>2</v>
      </c>
      <c r="AT4" s="29">
        <v>74030</v>
      </c>
    </row>
    <row r="5" spans="1:46" x14ac:dyDescent="0.25">
      <c r="A5" s="15" t="s">
        <v>483</v>
      </c>
      <c r="B5" s="15" t="s">
        <v>27</v>
      </c>
      <c r="C5" s="121">
        <f ca="1">((32*112)-(E5*112)-(F5))/112</f>
        <v>10.223214285714286</v>
      </c>
      <c r="D5" s="213" t="s">
        <v>459</v>
      </c>
      <c r="E5" s="16">
        <v>21</v>
      </c>
      <c r="F5" s="2">
        <f ca="1">$D$2-$D$1-880+32-112-112-112</f>
        <v>87</v>
      </c>
      <c r="G5" s="18"/>
      <c r="H5" s="219">
        <v>5</v>
      </c>
      <c r="I5" s="27">
        <v>1.4</v>
      </c>
      <c r="J5" s="22">
        <f t="shared" ref="J5:J9" si="10">LOG(I5)*4/3</f>
        <v>0.19483738090431735</v>
      </c>
      <c r="K5" s="6">
        <f t="shared" ref="K5:K9" si="11">(H5)*(H5)*(I5)</f>
        <v>35</v>
      </c>
      <c r="L5" s="6">
        <f t="shared" ref="L5:L9" si="12">(H5+1)*(H5+1)*I5</f>
        <v>50.4</v>
      </c>
      <c r="M5" s="130">
        <v>43190</v>
      </c>
      <c r="N5" s="131">
        <f t="shared" ca="1" si="0"/>
        <v>1</v>
      </c>
      <c r="O5" s="19">
        <v>5</v>
      </c>
      <c r="P5" s="20">
        <f t="shared" ref="P5:P9" si="13">O5*10+19</f>
        <v>69</v>
      </c>
      <c r="Q5" s="26">
        <v>7</v>
      </c>
      <c r="R5" s="115">
        <f t="shared" ref="R5:R9" si="14">(Q5/7)^0.5</f>
        <v>1</v>
      </c>
      <c r="S5" s="115">
        <f t="shared" ref="S5:S9" si="15">IF(Q5=7,1,((Q5+0.99)/7)^0.5)</f>
        <v>1</v>
      </c>
      <c r="T5" s="29">
        <v>3360</v>
      </c>
      <c r="U5" s="29">
        <f t="shared" ref="U5:U9" si="16">T5-AT5</f>
        <v>0</v>
      </c>
      <c r="V5" s="29">
        <v>1170</v>
      </c>
      <c r="W5" s="8">
        <f t="shared" ref="W5:W9" si="17">T5/V5</f>
        <v>2.8717948717948718</v>
      </c>
      <c r="X5" s="21">
        <v>6</v>
      </c>
      <c r="Y5" s="22">
        <v>3</v>
      </c>
      <c r="Z5" s="21">
        <v>0</v>
      </c>
      <c r="AA5" s="22">
        <v>3</v>
      </c>
      <c r="AB5" s="21">
        <v>0</v>
      </c>
      <c r="AC5" s="22">
        <v>1</v>
      </c>
      <c r="AD5" s="21">
        <v>1</v>
      </c>
      <c r="AE5" s="9">
        <f>7.5+3+1.5+1.5</f>
        <v>13.5</v>
      </c>
      <c r="AF5" s="9"/>
      <c r="AG5" s="23">
        <f ca="1">(AD5+1+(LOG(I5)*4/3)+N5)*(Q5/7)^0.5</f>
        <v>3.1948373809043176</v>
      </c>
      <c r="AH5" s="23">
        <f ca="1">(AD5+1+N5+(LOG(I5)*4/3))*(IF(Q5=7, (Q5/7)^0.5, ((Q5+1)/7)^0.5))</f>
        <v>3.1948373809043176</v>
      </c>
      <c r="AI5" s="23">
        <f ca="1">(Z5+N5+(LOG(I5)*4/3))</f>
        <v>1.1948373809043173</v>
      </c>
      <c r="AJ5" s="120">
        <f ca="1">(Z5+N5+(LOG(I5)*4/3))*(Q5/7)^0.5</f>
        <v>1.1948373809043173</v>
      </c>
      <c r="AK5" s="120">
        <f ca="1">(Z5+N5+(LOG(I5)*4/3))*(IF(Q5=7, (Q5/7)^0.5, ((Q5+1)/7)^0.5))</f>
        <v>1.1948373809043173</v>
      </c>
      <c r="AL5" s="8">
        <f ca="1">(((Y5+LOG(I5)*4/3+N5)+(AB5+LOG(I5)*4/3+N5)*2)/8)*(Q5/7)^0.5</f>
        <v>0.82306401783911909</v>
      </c>
      <c r="AM5" s="8">
        <f ca="1">(AD5+LOG(I5)*4/3+N5)*0.7+(AC5+LOG(I5)*4/3+N5)*0.3</f>
        <v>2.1948373809043176</v>
      </c>
      <c r="AN5" s="8">
        <f t="shared" ref="AN5" ca="1" si="18">(0.5*(AC5+LOG(I5)*4/3+N5)+ 0.3*(AD5+LOG(I5)*4/3+N5))/10</f>
        <v>0.17558699047234541</v>
      </c>
      <c r="AO5" s="8">
        <f t="shared" ref="AO5" ca="1" si="19">(0.4*(Y5+LOG(I5)*4/3+N5)+0.3*(AD5+LOG(I5)*4/3+N5))/10</f>
        <v>0.23363861666330221</v>
      </c>
      <c r="AP5" s="129">
        <f t="shared" ref="AP5:AP9" si="20">IF(AR5=4,IF(AS5=0,0.137+0.0697,0.137+0.02),IF(AR5=3,IF(AS5=0,0.0958+0.0697,0.0958+0.02),IF(AR5=2,IF(AS5=0,0.0415+0.0697,0.0415+0.02),IF(AR5=1,IF(AS5=0,0.0294+0.0697,0.0294+0.02),IF(AR5=0,IF(AS5=0,0.0063+0.0697,0.0063+0.02))))))</f>
        <v>2.63E-2</v>
      </c>
      <c r="AQ5" s="20">
        <v>3</v>
      </c>
      <c r="AR5" s="20">
        <v>0</v>
      </c>
      <c r="AS5" s="20">
        <v>2</v>
      </c>
      <c r="AT5" s="29">
        <v>3360</v>
      </c>
    </row>
    <row r="6" spans="1:46" x14ac:dyDescent="0.25">
      <c r="A6" s="15" t="s">
        <v>31</v>
      </c>
      <c r="B6" s="24" t="s">
        <v>354</v>
      </c>
      <c r="C6" s="121">
        <f t="shared" ref="C6:C21" ca="1" si="21">((32*112)-(E6*112)-(F6))/112</f>
        <v>10.473214285714286</v>
      </c>
      <c r="D6" s="237" t="s">
        <v>470</v>
      </c>
      <c r="E6" s="1">
        <v>21</v>
      </c>
      <c r="F6" s="2">
        <f ca="1">$D$2-$D$1-1100-112</f>
        <v>59</v>
      </c>
      <c r="G6" s="3"/>
      <c r="H6" s="219">
        <v>5</v>
      </c>
      <c r="I6" s="5">
        <v>2</v>
      </c>
      <c r="J6" s="22">
        <f t="shared" ref="J6" si="22">LOG(I6)*4/3</f>
        <v>0.40137332755197491</v>
      </c>
      <c r="K6" s="6">
        <f t="shared" ref="K6" si="23">(H6)*(H6)*(I6)</f>
        <v>50</v>
      </c>
      <c r="L6" s="6">
        <f t="shared" ref="L6" si="24">(H6+1)*(H6+1)*I6</f>
        <v>72</v>
      </c>
      <c r="M6" s="130">
        <v>43395</v>
      </c>
      <c r="N6" s="131">
        <f t="shared" ca="1" si="0"/>
        <v>0.58142654745190958</v>
      </c>
      <c r="O6" s="25">
        <v>5.4</v>
      </c>
      <c r="P6" s="20">
        <f t="shared" si="13"/>
        <v>73</v>
      </c>
      <c r="Q6" s="26">
        <v>7</v>
      </c>
      <c r="R6" s="115">
        <f t="shared" ref="R6" si="25">(Q6/7)^0.5</f>
        <v>1</v>
      </c>
      <c r="S6" s="115">
        <f t="shared" ref="S6" si="26">IF(Q6=7,1,((Q6+0.99)/7)^0.5)</f>
        <v>1</v>
      </c>
      <c r="T6" s="29">
        <v>58330</v>
      </c>
      <c r="U6" s="29">
        <f t="shared" si="16"/>
        <v>2180</v>
      </c>
      <c r="V6" s="7">
        <v>9110</v>
      </c>
      <c r="W6" s="8">
        <f t="shared" ref="W6" si="27">T6/V6</f>
        <v>6.4028540065861694</v>
      </c>
      <c r="X6" s="21">
        <v>0</v>
      </c>
      <c r="Y6" s="22">
        <f>13+0.1+0.1</f>
        <v>13.2</v>
      </c>
      <c r="Z6" s="21">
        <v>5</v>
      </c>
      <c r="AA6" s="22">
        <f>5+2/5</f>
        <v>5.4</v>
      </c>
      <c r="AB6" s="21">
        <v>5</v>
      </c>
      <c r="AC6" s="22">
        <v>2</v>
      </c>
      <c r="AD6" s="21">
        <v>1</v>
      </c>
      <c r="AE6" s="9">
        <f>CA_v3!V4</f>
        <v>90</v>
      </c>
      <c r="AF6" s="9">
        <v>1966</v>
      </c>
      <c r="AG6" s="23">
        <f t="shared" ref="AG6" ca="1" si="28">(AD6+1+(LOG(I6)*4/3)+N6)*(Q6/7)^0.5</f>
        <v>2.9827998750038844</v>
      </c>
      <c r="AH6" s="23">
        <f t="shared" ref="AH6" ca="1" si="29">(AD6+1+N6+(LOG(I6)*4/3))*(IF(Q6=7, (Q6/7)^0.5, ((Q6+1)/7)^0.5))</f>
        <v>2.9827998750038844</v>
      </c>
      <c r="AI6" s="23">
        <f t="shared" ref="AI6" ca="1" si="30">(Z6+N6+(LOG(I6)*4/3))</f>
        <v>5.9827998750038853</v>
      </c>
      <c r="AJ6" s="120">
        <f t="shared" ref="AJ6" ca="1" si="31">(Z6+N6+(LOG(I6)*4/3))*(Q6/7)^0.5</f>
        <v>5.9827998750038853</v>
      </c>
      <c r="AK6" s="120">
        <f t="shared" ref="AK6" ca="1" si="32">(Z6+N6+(LOG(I6)*4/3))*(IF(Q6=7, (Q6/7)^0.5, ((Q6+1)/7)^0.5))</f>
        <v>5.9827998750038853</v>
      </c>
      <c r="AL6" s="8">
        <f t="shared" ref="AL6" ca="1" si="33">(((Y6+LOG(I6)*4/3+N6)+(AB6+LOG(I6)*4/3+N6)*2)/8)*(Q6/7)^0.5</f>
        <v>3.2685499531264566</v>
      </c>
      <c r="AM6" s="8">
        <f t="shared" ref="AM6" ca="1" si="34">(AD6+LOG(I6)*4/3+N6)*0.7+(AC6+LOG(I6)*4/3+N6)*0.3</f>
        <v>2.2827998750038843</v>
      </c>
      <c r="AN6" s="8">
        <f t="shared" ref="AN6" ca="1" si="35">(0.5*(AC6+LOG(I6)*4/3+N6)+ 0.3*(AD6+LOG(I6)*4/3+N6))/10</f>
        <v>0.20862399000031076</v>
      </c>
      <c r="AO6" s="8">
        <f t="shared" ref="AO6" ca="1" si="36">(0.4*(Y6+LOG(I6)*4/3+N6)+0.3*(AD6+LOG(I6)*4/3+N6))/10</f>
        <v>0.62679599125027186</v>
      </c>
      <c r="AP6" s="129">
        <f t="shared" ref="AP6" si="37">IF(AR6=4,IF(AS6=0,0.137+0.0697,0.137+0.02),IF(AR6=3,IF(AS6=0,0.0958+0.0697,0.0958+0.02),IF(AR6=2,IF(AS6=0,0.0415+0.0697,0.0415+0.02),IF(AR6=1,IF(AS6=0,0.0294+0.0697,0.0294+0.02),IF(AR6=0,IF(AS6=0,0.0063+0.0697,0.0063+0.02))))))</f>
        <v>6.1499999999999999E-2</v>
      </c>
      <c r="AQ6" s="20">
        <v>1</v>
      </c>
      <c r="AR6" s="20">
        <v>2</v>
      </c>
      <c r="AS6" s="20">
        <v>1</v>
      </c>
      <c r="AT6" s="29">
        <v>56150</v>
      </c>
    </row>
    <row r="7" spans="1:46" x14ac:dyDescent="0.25">
      <c r="A7" s="15" t="s">
        <v>33</v>
      </c>
      <c r="B7" s="15" t="s">
        <v>354</v>
      </c>
      <c r="C7" s="121">
        <f t="shared" ca="1" si="21"/>
        <v>10.642857142857142</v>
      </c>
      <c r="D7" s="223" t="s">
        <v>475</v>
      </c>
      <c r="E7" s="16">
        <v>21</v>
      </c>
      <c r="F7" s="2">
        <f ca="1">$D$2-$D$1-1102-17-112</f>
        <v>40</v>
      </c>
      <c r="G7" s="18"/>
      <c r="H7" s="4">
        <v>4</v>
      </c>
      <c r="I7" s="27">
        <v>3</v>
      </c>
      <c r="J7" s="22">
        <f>LOG(I7)*4/3</f>
        <v>0.63616167295954995</v>
      </c>
      <c r="K7" s="6">
        <f>(H7)*(H7)*(I7)</f>
        <v>48</v>
      </c>
      <c r="L7" s="6">
        <f>(H7+1)*(H7+1)*I7</f>
        <v>75</v>
      </c>
      <c r="M7" s="130">
        <v>43410</v>
      </c>
      <c r="N7" s="131">
        <f t="shared" ca="1" si="0"/>
        <v>0.54190140505373663</v>
      </c>
      <c r="O7" s="19">
        <v>6.6</v>
      </c>
      <c r="P7" s="20">
        <f>O7*10+19</f>
        <v>85</v>
      </c>
      <c r="Q7" s="26">
        <v>7</v>
      </c>
      <c r="R7" s="115">
        <f>(Q7/7)^0.5</f>
        <v>1</v>
      </c>
      <c r="S7" s="115">
        <f>IF(Q7=7,1,((Q7+0.99)/7)^0.5)</f>
        <v>1</v>
      </c>
      <c r="T7" s="29">
        <v>64840</v>
      </c>
      <c r="U7" s="29">
        <f>T7-AT7</f>
        <v>2090</v>
      </c>
      <c r="V7" s="29">
        <v>10250</v>
      </c>
      <c r="W7" s="8">
        <f>T7/V7</f>
        <v>6.3258536585365857</v>
      </c>
      <c r="X7" s="21">
        <v>0</v>
      </c>
      <c r="Y7" s="22">
        <f>13+0.1+0.1</f>
        <v>13.2</v>
      </c>
      <c r="Z7" s="21">
        <v>5</v>
      </c>
      <c r="AA7" s="22">
        <v>7</v>
      </c>
      <c r="AB7" s="21">
        <v>5</v>
      </c>
      <c r="AC7" s="22">
        <v>1</v>
      </c>
      <c r="AD7" s="21">
        <v>0</v>
      </c>
      <c r="AE7" s="9">
        <f>CA_v3!V6</f>
        <v>93.5</v>
      </c>
      <c r="AF7" s="9">
        <v>2023</v>
      </c>
      <c r="AG7" s="23">
        <f t="shared" ref="AG7" ca="1" si="38">(AD7+1+(LOG(I7)*4/3)+N7)*(Q7/7)^0.5</f>
        <v>2.1780630780132864</v>
      </c>
      <c r="AH7" s="23">
        <f t="shared" ref="AH7" ca="1" si="39">(AD7+1+N7+(LOG(I7)*4/3))*(IF(Q7=7, (Q7/7)^0.5, ((Q7+1)/7)^0.5))</f>
        <v>2.1780630780132864</v>
      </c>
      <c r="AI7" s="23">
        <f t="shared" ref="AI7" ca="1" si="40">(Z7+N7+(LOG(I7)*4/3))</f>
        <v>6.1780630780132864</v>
      </c>
      <c r="AJ7" s="120">
        <f t="shared" ref="AJ7" ca="1" si="41">(Z7+N7+(LOG(I7)*4/3))*(Q7/7)^0.5</f>
        <v>6.1780630780132864</v>
      </c>
      <c r="AK7" s="120">
        <f t="shared" ref="AK7" ca="1" si="42">(Z7+N7+(LOG(I7)*4/3))*(IF(Q7=7, (Q7/7)^0.5, ((Q7+1)/7)^0.5))</f>
        <v>6.1780630780132864</v>
      </c>
      <c r="AL7" s="8">
        <f t="shared" ref="AL7" ca="1" si="43">(((Y7+LOG(I7)*4/3+N7)+(AB7+LOG(I7)*4/3+N7)*2)/8)*(Q7/7)^0.5</f>
        <v>3.3417736542549825</v>
      </c>
      <c r="AM7" s="8">
        <f t="shared" ref="AM7" ca="1" si="44">(AD7+LOG(I7)*4/3+N7)*0.7+(AC7+LOG(I7)*4/3+N7)*0.3</f>
        <v>1.4780630780132864</v>
      </c>
      <c r="AN7" s="8">
        <f t="shared" ref="AN7" ca="1" si="45">(0.5*(AC7+LOG(I7)*4/3+N7)+ 0.3*(AD7+LOG(I7)*4/3+N7))/10</f>
        <v>0.14424504624106291</v>
      </c>
      <c r="AO7" s="8">
        <f t="shared" ref="AO7" ca="1" si="46">(0.4*(Y7+LOG(I7)*4/3+N7)+0.3*(AD7+LOG(I7)*4/3+N7))/10</f>
        <v>0.61046441546093011</v>
      </c>
      <c r="AP7" s="129">
        <f>IF(AR7=4,IF(AS7=0,0.137+0.0697,0.137+0.02),IF(AR7=3,IF(AS7=0,0.0958+0.0697,0.0958+0.02),IF(AR7=2,IF(AS7=0,0.0415+0.0697,0.0415+0.02),IF(AR7=1,IF(AS7=0,0.0294+0.0697,0.0294+0.02),IF(AR7=0,IF(AS7=0,0.0063+0.0697,0.0063+0.02))))))</f>
        <v>6.1499999999999999E-2</v>
      </c>
      <c r="AQ7" s="20">
        <v>3</v>
      </c>
      <c r="AR7" s="20">
        <v>2</v>
      </c>
      <c r="AS7" s="20">
        <v>2</v>
      </c>
      <c r="AT7" s="29">
        <v>62750</v>
      </c>
    </row>
    <row r="8" spans="1:46" x14ac:dyDescent="0.25">
      <c r="A8" s="15" t="s">
        <v>38</v>
      </c>
      <c r="B8" s="15" t="s">
        <v>354</v>
      </c>
      <c r="C8" s="121">
        <f t="shared" ca="1" si="21"/>
        <v>10.196428571428571</v>
      </c>
      <c r="D8" s="223" t="s">
        <v>469</v>
      </c>
      <c r="E8" s="16">
        <v>21</v>
      </c>
      <c r="F8" s="2">
        <f ca="1">$D$2-$D$1-1069-112</f>
        <v>90</v>
      </c>
      <c r="G8" s="18"/>
      <c r="H8" s="4">
        <v>1</v>
      </c>
      <c r="I8" s="27">
        <v>3.4</v>
      </c>
      <c r="J8" s="22">
        <f>LOG(I8)*4/3</f>
        <v>0.70863855605634019</v>
      </c>
      <c r="K8" s="6">
        <f>(H8)*(H8)*(I8)</f>
        <v>3.4</v>
      </c>
      <c r="L8" s="6">
        <f>(H8+1)*(H8+1)*I8</f>
        <v>13.6</v>
      </c>
      <c r="M8" s="130">
        <v>43383</v>
      </c>
      <c r="N8" s="131">
        <f t="shared" ca="1" si="0"/>
        <v>0.61198757575074947</v>
      </c>
      <c r="O8" s="19">
        <v>5.4</v>
      </c>
      <c r="P8" s="20">
        <f>O8*10+19</f>
        <v>73</v>
      </c>
      <c r="Q8" s="26">
        <v>6</v>
      </c>
      <c r="R8" s="115">
        <f>(Q8/7)^0.5</f>
        <v>0.92582009977255142</v>
      </c>
      <c r="S8" s="115">
        <f>IF(Q8=7,1,((Q8+0.99)/7)^0.5)</f>
        <v>0.99928545900129484</v>
      </c>
      <c r="T8" s="29">
        <v>51710</v>
      </c>
      <c r="U8" s="29">
        <f>T8-AT8</f>
        <v>3660</v>
      </c>
      <c r="V8" s="29">
        <v>2510</v>
      </c>
      <c r="W8" s="8">
        <f>T8/V8</f>
        <v>20.601593625498008</v>
      </c>
      <c r="X8" s="21">
        <v>0</v>
      </c>
      <c r="Y8" s="22">
        <v>10.8</v>
      </c>
      <c r="Z8" s="21">
        <v>3</v>
      </c>
      <c r="AA8" s="22">
        <f>7+0.1+0.1</f>
        <v>7.1999999999999993</v>
      </c>
      <c r="AB8" s="21">
        <v>10</v>
      </c>
      <c r="AC8" s="22">
        <v>3</v>
      </c>
      <c r="AD8" s="21">
        <v>2</v>
      </c>
      <c r="AE8" s="9">
        <f>CA_v3!V5</f>
        <v>87.5</v>
      </c>
      <c r="AF8" s="9">
        <v>1867</v>
      </c>
      <c r="AG8" s="23">
        <f ca="1">(AD8+1+(LOG(I8)*4/3)+N8)*(Q8/7)^0.5</f>
        <v>4.0001225164295322</v>
      </c>
      <c r="AH8" s="23">
        <f ca="1">(AD8+1+N8+(LOG(I8)*4/3))*(IF(Q8=7, (Q8/7)^0.5, ((Q8+1)/7)^0.5))</f>
        <v>4.3206261318070895</v>
      </c>
      <c r="AI8" s="23">
        <f ca="1">(Z8+N8+(LOG(I8)*4/3))</f>
        <v>4.3206261318070895</v>
      </c>
      <c r="AJ8" s="120">
        <f ca="1">(Z8+N8+(LOG(I8)*4/3))*(Q8/7)^0.5</f>
        <v>4.0001225164295322</v>
      </c>
      <c r="AK8" s="120">
        <f ca="1">(Z8+N8+(LOG(I8)*4/3))*(IF(Q8=7, (Q8/7)^0.5, ((Q8+1)/7)^0.5))</f>
        <v>4.3206261318070895</v>
      </c>
      <c r="AL8" s="8">
        <f ca="1">(((Y8+LOG(I8)*4/3+N8)+(AB8+LOG(I8)*4/3+N8)*2)/8)*(Q8/7)^0.5</f>
        <v>4.0229057155412766</v>
      </c>
      <c r="AM8" s="8">
        <f ca="1">(AD8+LOG(I8)*4/3+N8)*0.7+(AC8+LOG(I8)*4/3+N8)*0.3</f>
        <v>3.6206261318070894</v>
      </c>
      <c r="AN8" s="8">
        <f ca="1">(0.5*(AC8+LOG(I8)*4/3+N8)+ 0.3*(AD8+LOG(I8)*4/3+N8))/10</f>
        <v>0.31565009054456716</v>
      </c>
      <c r="AO8" s="8">
        <f ca="1">(0.4*(Y8+LOG(I8)*4/3+N8)+0.3*(AD8+LOG(I8)*4/3+N8))/10</f>
        <v>0.58444382922649629</v>
      </c>
      <c r="AP8" s="129">
        <f>IF(AR8=4,IF(AS8=0,0.137+0.0697,0.137+0.02),IF(AR8=3,IF(AS8=0,0.0958+0.0697,0.0958+0.02),IF(AR8=2,IF(AS8=0,0.0415+0.0697,0.0415+0.02),IF(AR8=1,IF(AS8=0,0.0294+0.0697,0.0294+0.02),IF(AR8=0,IF(AS8=0,0.0063+0.0697,0.0063+0.02))))))</f>
        <v>0.1158</v>
      </c>
      <c r="AQ8" s="20">
        <v>0</v>
      </c>
      <c r="AR8" s="20">
        <v>3</v>
      </c>
      <c r="AS8" s="20">
        <v>2</v>
      </c>
      <c r="AT8" s="29">
        <v>48050</v>
      </c>
    </row>
    <row r="9" spans="1:46" x14ac:dyDescent="0.25">
      <c r="A9" s="15" t="s">
        <v>31</v>
      </c>
      <c r="B9" s="15" t="s">
        <v>354</v>
      </c>
      <c r="C9" s="121">
        <f t="shared" ca="1" si="21"/>
        <v>10.330357142857142</v>
      </c>
      <c r="D9" s="237" t="s">
        <v>480</v>
      </c>
      <c r="E9" s="1">
        <v>21</v>
      </c>
      <c r="F9" s="2">
        <f ca="1">$D$2-$D$1-880+55-112-112-14-21-112</f>
        <v>75</v>
      </c>
      <c r="G9" s="3"/>
      <c r="H9" s="4">
        <v>4</v>
      </c>
      <c r="I9" s="5">
        <v>3.9</v>
      </c>
      <c r="J9" s="22">
        <f t="shared" si="10"/>
        <v>0.78808614270199895</v>
      </c>
      <c r="K9" s="6">
        <f t="shared" si="11"/>
        <v>62.4</v>
      </c>
      <c r="L9" s="6">
        <f t="shared" si="12"/>
        <v>97.5</v>
      </c>
      <c r="M9" s="130">
        <v>43419</v>
      </c>
      <c r="N9" s="131">
        <f t="shared" ca="1" si="0"/>
        <v>0.51739098812649342</v>
      </c>
      <c r="O9" s="25">
        <v>6.3</v>
      </c>
      <c r="P9" s="20">
        <f t="shared" si="13"/>
        <v>82</v>
      </c>
      <c r="Q9" s="26">
        <v>6</v>
      </c>
      <c r="R9" s="115">
        <f t="shared" si="14"/>
        <v>0.92582009977255142</v>
      </c>
      <c r="S9" s="115">
        <f t="shared" si="15"/>
        <v>0.99928545900129484</v>
      </c>
      <c r="T9" s="29">
        <v>57900</v>
      </c>
      <c r="U9" s="29">
        <f t="shared" si="16"/>
        <v>1330</v>
      </c>
      <c r="V9" s="7">
        <v>5690</v>
      </c>
      <c r="W9" s="8">
        <f t="shared" si="17"/>
        <v>10.175746924428822</v>
      </c>
      <c r="X9" s="21">
        <v>0</v>
      </c>
      <c r="Y9" s="22">
        <v>8.1999999999999993</v>
      </c>
      <c r="Z9" s="21">
        <v>11</v>
      </c>
      <c r="AA9" s="22">
        <v>4</v>
      </c>
      <c r="AB9" s="21">
        <v>9</v>
      </c>
      <c r="AC9" s="22">
        <v>4</v>
      </c>
      <c r="AD9" s="21">
        <v>1</v>
      </c>
      <c r="AE9" s="9">
        <f>CA_v3!V7</f>
        <v>94.5</v>
      </c>
      <c r="AF9" s="9">
        <v>2011</v>
      </c>
      <c r="AG9" s="23">
        <f ca="1">(AD9+1+(LOG(I9)*4/3)+N9)*(Q9/7)^0.5</f>
        <v>3.0602771670595219</v>
      </c>
      <c r="AH9" s="23">
        <f ca="1">(AD9+1+N9+(LOG(I9)*4/3))*(IF(Q9=7, (Q9/7)^0.5, ((Q9+1)/7)^0.5))</f>
        <v>3.3054771308284923</v>
      </c>
      <c r="AI9" s="23">
        <f ca="1">(Z9+N9+(LOG(I9)*4/3))</f>
        <v>12.305477130828493</v>
      </c>
      <c r="AJ9" s="120">
        <f ca="1">(Z9+N9+(LOG(I9)*4/3))*(Q9/7)^0.5</f>
        <v>11.392658065012485</v>
      </c>
      <c r="AK9" s="120">
        <f ca="1">(Z9+N9+(LOG(I9)*4/3))*(IF(Q9=7, (Q9/7)^0.5, ((Q9+1)/7)^0.5))</f>
        <v>12.305477130828493</v>
      </c>
      <c r="AL9" s="8">
        <f ca="1">(((Y9+LOG(I9)*4/3+N9)+(AB9+LOG(I9)*4/3+N9)*2)/8)*(Q9/7)^0.5</f>
        <v>3.4852996895730128</v>
      </c>
      <c r="AM9" s="8">
        <f ca="1">(AD9+LOG(I9)*4/3+N9)*0.7+(AC9+LOG(I9)*4/3+N9)*0.3</f>
        <v>3.2054771308284922</v>
      </c>
      <c r="AN9" s="8">
        <f ca="1">(0.5*(AC9+LOG(I9)*4/3+N9)+ 0.3*(AD9+LOG(I9)*4/3+N9))/10</f>
        <v>0.33443817046627944</v>
      </c>
      <c r="AO9" s="8">
        <f ca="1">(0.4*(Y9+LOG(I9)*4/3+N9)+0.3*(AD9+LOG(I9)*4/3+N9))/10</f>
        <v>0.44938339915799447</v>
      </c>
      <c r="AP9" s="129">
        <f t="shared" si="20"/>
        <v>6.1499999999999999E-2</v>
      </c>
      <c r="AQ9" s="20">
        <v>0</v>
      </c>
      <c r="AR9" s="20">
        <v>2</v>
      </c>
      <c r="AS9" s="20">
        <v>2</v>
      </c>
      <c r="AT9" s="29">
        <v>56570</v>
      </c>
    </row>
    <row r="10" spans="1:46" x14ac:dyDescent="0.25">
      <c r="A10" s="15" t="s">
        <v>42</v>
      </c>
      <c r="B10" s="15" t="s">
        <v>192</v>
      </c>
      <c r="C10" s="121">
        <f t="shared" ca="1" si="21"/>
        <v>10.508928571428571</v>
      </c>
      <c r="D10" s="223" t="s">
        <v>370</v>
      </c>
      <c r="E10" s="1">
        <v>21</v>
      </c>
      <c r="F10" s="2">
        <f ca="1">$D$2-$D$1-880-112-112-112</f>
        <v>55</v>
      </c>
      <c r="G10" s="3" t="s">
        <v>294</v>
      </c>
      <c r="H10" s="219">
        <v>5</v>
      </c>
      <c r="I10" s="5">
        <v>3.5</v>
      </c>
      <c r="J10" s="22">
        <f t="shared" ref="J10:J12" si="47">LOG(I10)*4/3</f>
        <v>0.72542405913370089</v>
      </c>
      <c r="K10" s="6">
        <f t="shared" ref="K10:K12" si="48">(H10)*(H10)*(I10)</f>
        <v>87.5</v>
      </c>
      <c r="L10" s="6">
        <f t="shared" ref="L10:L12" si="49">(H10+1)*(H10+1)*I10</f>
        <v>126</v>
      </c>
      <c r="M10" s="130">
        <v>43137</v>
      </c>
      <c r="N10" s="131">
        <f t="shared" ref="N10:N15" ca="1" si="50">IF((TODAY()-M10)&gt;335,1,((TODAY()-M10)^0.64)/(336^0.64))</f>
        <v>1</v>
      </c>
      <c r="O10" s="25">
        <v>5</v>
      </c>
      <c r="P10" s="20">
        <f t="shared" ref="P10:P12" si="51">O10*10+19</f>
        <v>69</v>
      </c>
      <c r="Q10" s="26">
        <v>6</v>
      </c>
      <c r="R10" s="115">
        <f t="shared" ref="R10:R12" si="52">(Q10/7)^0.5</f>
        <v>0.92582009977255142</v>
      </c>
      <c r="S10" s="115">
        <f t="shared" ref="S10:S12" si="53">IF(Q10=7,1,((Q10+0.99)/7)^0.5)</f>
        <v>0.99928545900129484</v>
      </c>
      <c r="T10" s="29">
        <v>62330</v>
      </c>
      <c r="U10" s="29">
        <f t="shared" ref="U10:U12" si="54">T10-AT10</f>
        <v>1800</v>
      </c>
      <c r="V10" s="7">
        <v>7110</v>
      </c>
      <c r="W10" s="8">
        <f t="shared" ref="W10:W12" si="55">T10/V10</f>
        <v>8.766526019690577</v>
      </c>
      <c r="X10" s="21">
        <v>0</v>
      </c>
      <c r="Y10" s="22">
        <v>10</v>
      </c>
      <c r="Z10" s="21">
        <v>4</v>
      </c>
      <c r="AA10" s="22">
        <f>12+4/6</f>
        <v>12.666666666666666</v>
      </c>
      <c r="AB10" s="21">
        <f>4+0.25</f>
        <v>4.25</v>
      </c>
      <c r="AC10" s="22">
        <f>5.25+0.25+0.25+0.25+0.25+0.25+0.25+0.25</f>
        <v>7</v>
      </c>
      <c r="AD10" s="21">
        <v>3</v>
      </c>
      <c r="AE10" s="9">
        <f>CA_v3!V9</f>
        <v>104.5</v>
      </c>
      <c r="AF10" s="9">
        <v>2048</v>
      </c>
      <c r="AG10" s="23">
        <f t="shared" ref="AG10:AG12" ca="1" si="56">(AD10+1+(LOG(I10)*4/3)+N10)*(Q10/7)^0.5</f>
        <v>5.3007126736673289</v>
      </c>
      <c r="AH10" s="23">
        <f t="shared" ref="AH10:AH12" ca="1" si="57">(AD10+1+N10+(LOG(I10)*4/3))*(IF(Q10=7, (Q10/7)^0.5, ((Q10+1)/7)^0.5))</f>
        <v>5.7254240591337009</v>
      </c>
      <c r="AI10" s="23">
        <f t="shared" ref="AI10:AI12" ca="1" si="58">(Z10+N10+(LOG(I10)*4/3))</f>
        <v>5.7254240591337009</v>
      </c>
      <c r="AJ10" s="120">
        <f t="shared" ref="AJ10:AJ12" ca="1" si="59">(Z10+N10+(LOG(I10)*4/3))*(Q10/7)^0.5</f>
        <v>5.3007126736673289</v>
      </c>
      <c r="AK10" s="120">
        <f t="shared" ref="AK10:AK12" ca="1" si="60">(Z10+N10+(LOG(I10)*4/3))*(IF(Q10=7, (Q10/7)^0.5, ((Q10+1)/7)^0.5))</f>
        <v>5.7254240591337009</v>
      </c>
      <c r="AL10" s="8">
        <f t="shared" ref="AL10:AL12" ca="1" si="61">(((Y10+LOG(I10)*4/3+N10)+(AB10+LOG(I10)*4/3+N10)*2)/8)*(Q10/7)^0.5</f>
        <v>2.7399960836904467</v>
      </c>
      <c r="AM10" s="8">
        <f t="shared" ref="AM10:AM12" ca="1" si="62">(AD10+LOG(I10)*4/3+N10)*0.7+(AC10+LOG(I10)*4/3+N10)*0.3</f>
        <v>5.9254240591337002</v>
      </c>
      <c r="AN10" s="8">
        <f t="shared" ref="AN10:AN12" ca="1" si="63">(0.5*(AC10+LOG(I10)*4/3+N10)+ 0.3*(AD10+LOG(I10)*4/3+N10))/10</f>
        <v>0.57803392473069604</v>
      </c>
      <c r="AO10" s="8">
        <f t="shared" ref="AO10:AO12" ca="1" si="64">(0.4*(Y10+LOG(I10)*4/3+N10)+0.3*(AD10+LOG(I10)*4/3+N10))/10</f>
        <v>0.61077968413935912</v>
      </c>
      <c r="AP10" s="129">
        <f t="shared" ref="AP10:AP22" si="65">IF(AR10=4,IF(AS10=0,0.137+0.0697,0.137+0.02),IF(AR10=3,IF(AS10=0,0.0958+0.0697,0.0958+0.02),IF(AR10=2,IF(AS10=0,0.0415+0.0697,0.0415+0.02),IF(AR10=1,IF(AS10=0,0.0294+0.0697,0.0294+0.02),IF(AR10=0,IF(AS10=0,0.0063+0.0697,0.0063+0.02))))))</f>
        <v>6.1499999999999999E-2</v>
      </c>
      <c r="AQ10" s="20">
        <v>1</v>
      </c>
      <c r="AR10" s="20">
        <v>2</v>
      </c>
      <c r="AS10" s="20">
        <v>3</v>
      </c>
      <c r="AT10" s="29">
        <v>60530</v>
      </c>
    </row>
    <row r="11" spans="1:46" x14ac:dyDescent="0.25">
      <c r="A11" s="15" t="s">
        <v>32</v>
      </c>
      <c r="B11" s="15" t="s">
        <v>192</v>
      </c>
      <c r="C11" s="121">
        <f t="shared" ca="1" si="21"/>
        <v>10.857142857142858</v>
      </c>
      <c r="D11" s="223" t="s">
        <v>369</v>
      </c>
      <c r="E11" s="1">
        <v>21</v>
      </c>
      <c r="F11" s="2">
        <f ca="1">$D$2-$D$1-919-112-112-112</f>
        <v>16</v>
      </c>
      <c r="G11" s="3" t="s">
        <v>44</v>
      </c>
      <c r="H11" s="4">
        <v>3</v>
      </c>
      <c r="I11" s="5">
        <v>3.7</v>
      </c>
      <c r="J11" s="22">
        <f t="shared" si="47"/>
        <v>0.75760229875599328</v>
      </c>
      <c r="K11" s="6">
        <f t="shared" si="48"/>
        <v>33.300000000000004</v>
      </c>
      <c r="L11" s="6">
        <f t="shared" si="49"/>
        <v>59.2</v>
      </c>
      <c r="M11" s="130">
        <v>43122</v>
      </c>
      <c r="N11" s="131">
        <f t="shared" ca="1" si="50"/>
        <v>1</v>
      </c>
      <c r="O11" s="25">
        <v>5</v>
      </c>
      <c r="P11" s="20">
        <f t="shared" si="51"/>
        <v>69</v>
      </c>
      <c r="Q11" s="26">
        <v>5</v>
      </c>
      <c r="R11" s="115">
        <f t="shared" si="52"/>
        <v>0.84515425472851657</v>
      </c>
      <c r="S11" s="115">
        <f t="shared" si="53"/>
        <v>0.92504826128926143</v>
      </c>
      <c r="T11" s="29">
        <v>63800</v>
      </c>
      <c r="U11" s="29">
        <f t="shared" si="54"/>
        <v>5580</v>
      </c>
      <c r="V11" s="7">
        <v>8030</v>
      </c>
      <c r="W11" s="8">
        <f t="shared" si="55"/>
        <v>7.9452054794520546</v>
      </c>
      <c r="X11" s="21">
        <v>0</v>
      </c>
      <c r="Y11" s="22">
        <v>9</v>
      </c>
      <c r="Z11" s="21">
        <v>3</v>
      </c>
      <c r="AA11" s="22">
        <v>13</v>
      </c>
      <c r="AB11" s="21">
        <v>7</v>
      </c>
      <c r="AC11" s="22">
        <f>4.25+0.25+0.25+0.25+0.25+0.25+0.25+0.25+0.25+0.25+0.25+0.25</f>
        <v>7</v>
      </c>
      <c r="AD11" s="21">
        <v>3</v>
      </c>
      <c r="AE11" s="9">
        <f>CA_v3!V14</f>
        <v>100.5</v>
      </c>
      <c r="AF11" s="9">
        <v>2164</v>
      </c>
      <c r="AG11" s="23">
        <f t="shared" ca="1" si="56"/>
        <v>4.8660620798283158</v>
      </c>
      <c r="AH11" s="23">
        <f t="shared" ca="1" si="57"/>
        <v>5.3305039346849457</v>
      </c>
      <c r="AI11" s="23">
        <f t="shared" ca="1" si="58"/>
        <v>4.7576022987559936</v>
      </c>
      <c r="AJ11" s="120">
        <f t="shared" ca="1" si="59"/>
        <v>4.0209078250997994</v>
      </c>
      <c r="AK11" s="120">
        <f t="shared" ca="1" si="60"/>
        <v>4.4046838349123938</v>
      </c>
      <c r="AL11" s="8">
        <f t="shared" ca="1" si="61"/>
        <v>2.9868603801873284</v>
      </c>
      <c r="AM11" s="8">
        <f t="shared" ca="1" si="62"/>
        <v>5.9576022987559929</v>
      </c>
      <c r="AN11" s="8">
        <f t="shared" ca="1" si="63"/>
        <v>0.58060818390047952</v>
      </c>
      <c r="AO11" s="8">
        <f t="shared" ca="1" si="64"/>
        <v>0.57303216091291953</v>
      </c>
      <c r="AP11" s="129">
        <f t="shared" si="65"/>
        <v>2.63E-2</v>
      </c>
      <c r="AQ11" s="20">
        <v>2</v>
      </c>
      <c r="AR11" s="20">
        <v>0</v>
      </c>
      <c r="AS11" s="20">
        <v>2</v>
      </c>
      <c r="AT11" s="29">
        <v>58220</v>
      </c>
    </row>
    <row r="12" spans="1:46" x14ac:dyDescent="0.25">
      <c r="A12" s="15" t="s">
        <v>40</v>
      </c>
      <c r="B12" s="15" t="s">
        <v>192</v>
      </c>
      <c r="C12" s="121">
        <f t="shared" ca="1" si="21"/>
        <v>10.508928571428571</v>
      </c>
      <c r="D12" s="223" t="s">
        <v>297</v>
      </c>
      <c r="E12" s="16">
        <v>21</v>
      </c>
      <c r="F12" s="2">
        <f ca="1">$D$2-$D$1-880-112-112-112</f>
        <v>55</v>
      </c>
      <c r="G12" s="18" t="s">
        <v>294</v>
      </c>
      <c r="H12" s="40">
        <v>6</v>
      </c>
      <c r="I12" s="27">
        <v>3.7</v>
      </c>
      <c r="J12" s="22">
        <f t="shared" si="47"/>
        <v>0.75760229875599328</v>
      </c>
      <c r="K12" s="6">
        <f t="shared" si="48"/>
        <v>133.20000000000002</v>
      </c>
      <c r="L12" s="6">
        <f t="shared" si="49"/>
        <v>181.3</v>
      </c>
      <c r="M12" s="130">
        <v>43051</v>
      </c>
      <c r="N12" s="131">
        <f t="shared" ca="1" si="50"/>
        <v>1</v>
      </c>
      <c r="O12" s="19">
        <v>5.0999999999999996</v>
      </c>
      <c r="P12" s="20">
        <f t="shared" si="51"/>
        <v>70</v>
      </c>
      <c r="Q12" s="26">
        <v>6</v>
      </c>
      <c r="R12" s="115">
        <f t="shared" si="52"/>
        <v>0.92582009977255142</v>
      </c>
      <c r="S12" s="115">
        <f t="shared" si="53"/>
        <v>0.99928545900129484</v>
      </c>
      <c r="T12" s="29">
        <v>45210</v>
      </c>
      <c r="U12" s="29">
        <f t="shared" si="54"/>
        <v>2860</v>
      </c>
      <c r="V12" s="29">
        <v>4950</v>
      </c>
      <c r="W12" s="8">
        <f t="shared" si="55"/>
        <v>9.1333333333333329</v>
      </c>
      <c r="X12" s="21">
        <v>0</v>
      </c>
      <c r="Y12" s="22">
        <v>8.4</v>
      </c>
      <c r="Z12" s="21">
        <v>3</v>
      </c>
      <c r="AA12" s="22">
        <v>12</v>
      </c>
      <c r="AB12" s="21">
        <f>5.4+0.2+0.2+0.2</f>
        <v>6.0000000000000009</v>
      </c>
      <c r="AC12" s="22">
        <f>3.34+0.34+0.33+0.33+0.33+0.33+0.33+0.33+0.33+0.26+0.25+0.25+0.25+0.25</f>
        <v>7.25</v>
      </c>
      <c r="AD12" s="21">
        <v>3</v>
      </c>
      <c r="AE12" s="9">
        <f>CA_v3!V10</f>
        <v>87.7</v>
      </c>
      <c r="AF12" s="9">
        <v>1961</v>
      </c>
      <c r="AG12" s="23">
        <f t="shared" ca="1" si="56"/>
        <v>5.3305039346849457</v>
      </c>
      <c r="AH12" s="23">
        <f t="shared" ca="1" si="57"/>
        <v>5.7576022987559936</v>
      </c>
      <c r="AI12" s="23">
        <f t="shared" ca="1" si="58"/>
        <v>4.7576022987559936</v>
      </c>
      <c r="AJ12" s="120">
        <f t="shared" ca="1" si="59"/>
        <v>4.4046838349123938</v>
      </c>
      <c r="AK12" s="120">
        <f t="shared" ca="1" si="60"/>
        <v>4.7576022987559936</v>
      </c>
      <c r="AL12" s="8">
        <f t="shared" ca="1" si="61"/>
        <v>2.9710500802680335</v>
      </c>
      <c r="AM12" s="8">
        <f t="shared" ca="1" si="62"/>
        <v>6.0326022987559931</v>
      </c>
      <c r="AN12" s="8">
        <f t="shared" ca="1" si="63"/>
        <v>0.59310818390047948</v>
      </c>
      <c r="AO12" s="8">
        <f t="shared" ca="1" si="64"/>
        <v>0.54903216091291962</v>
      </c>
      <c r="AP12" s="129">
        <f t="shared" si="65"/>
        <v>6.1499999999999999E-2</v>
      </c>
      <c r="AQ12" s="20">
        <v>2</v>
      </c>
      <c r="AR12" s="20">
        <v>2</v>
      </c>
      <c r="AS12" s="20">
        <v>1</v>
      </c>
      <c r="AT12" s="29">
        <v>42350</v>
      </c>
    </row>
    <row r="13" spans="1:46" x14ac:dyDescent="0.25">
      <c r="A13" s="15" t="s">
        <v>298</v>
      </c>
      <c r="B13" s="15" t="s">
        <v>192</v>
      </c>
      <c r="C13" s="121">
        <f t="shared" ca="1" si="21"/>
        <v>10.544642857142858</v>
      </c>
      <c r="D13" s="214" t="s">
        <v>296</v>
      </c>
      <c r="E13" s="1">
        <v>21</v>
      </c>
      <c r="F13" s="2">
        <f ca="1">$D$2-$D$1-880-4-112-112-112</f>
        <v>51</v>
      </c>
      <c r="G13" s="3" t="s">
        <v>294</v>
      </c>
      <c r="H13" s="4">
        <v>3</v>
      </c>
      <c r="I13" s="5">
        <v>2.2000000000000002</v>
      </c>
      <c r="J13" s="22">
        <f>LOG(I13)*4/3</f>
        <v>0.45656357442960838</v>
      </c>
      <c r="K13" s="6">
        <f>(H13)*(H13)*(I13)</f>
        <v>19.8</v>
      </c>
      <c r="L13" s="6">
        <f>(H13+1)*(H13+1)*I13</f>
        <v>35.200000000000003</v>
      </c>
      <c r="M13" s="130">
        <v>43045</v>
      </c>
      <c r="N13" s="131">
        <f t="shared" ca="1" si="50"/>
        <v>1</v>
      </c>
      <c r="O13" s="25">
        <v>4.5999999999999996</v>
      </c>
      <c r="P13" s="20">
        <f>O13*10+19</f>
        <v>65</v>
      </c>
      <c r="Q13" s="26">
        <v>5</v>
      </c>
      <c r="R13" s="115">
        <f>(Q13/7)^0.5</f>
        <v>0.84515425472851657</v>
      </c>
      <c r="S13" s="115">
        <f>IF(Q13=7,1,((Q13+0.99)/7)^0.5)</f>
        <v>0.92504826128926143</v>
      </c>
      <c r="T13" s="29">
        <v>2670</v>
      </c>
      <c r="U13" s="29">
        <f>T13-AT13</f>
        <v>10</v>
      </c>
      <c r="V13" s="7">
        <v>350</v>
      </c>
      <c r="W13" s="8">
        <f>T13/V13</f>
        <v>7.628571428571429</v>
      </c>
      <c r="X13" s="21">
        <v>0</v>
      </c>
      <c r="Y13" s="22">
        <v>6</v>
      </c>
      <c r="Z13" s="21">
        <v>3</v>
      </c>
      <c r="AA13" s="22">
        <f>6.15</f>
        <v>6.15</v>
      </c>
      <c r="AB13" s="21">
        <v>3</v>
      </c>
      <c r="AC13" s="22">
        <f>3.73+1/15+1/15+1/15+1/15+1/15+1/15+1/15+1/15+1/15+1/15+1/15+1/15+1/15+1/15</f>
        <v>4.6633333333333322</v>
      </c>
      <c r="AD13" s="21">
        <v>3</v>
      </c>
      <c r="AE13" s="9">
        <f>10+12+3+2+7+1+0.5+4</f>
        <v>39.5</v>
      </c>
      <c r="AF13" s="9"/>
      <c r="AG13" s="23">
        <f ca="1">(AD13+1+(LOG(I13)*4/3)+N13)*(Q13/7)^0.5</f>
        <v>4.6116379211258263</v>
      </c>
      <c r="AH13" s="23">
        <f ca="1">(AD13+1+N13+(LOG(I13)*4/3))*(IF(Q13=7, (Q13/7)^0.5, ((Q13+1)/7)^0.5))</f>
        <v>5.0517962328936905</v>
      </c>
      <c r="AI13" s="23">
        <f ca="1">(Z13+N13+(LOG(I13)*4/3))</f>
        <v>4.4565635744296088</v>
      </c>
      <c r="AJ13" s="120">
        <f ca="1">(Z13+N13+(LOG(I13)*4/3))*(Q13/7)^0.5</f>
        <v>3.7664836663973098</v>
      </c>
      <c r="AK13" s="120">
        <f ca="1">(Z13+N13+(LOG(I13)*4/3))*(IF(Q13=7, (Q13/7)^0.5, ((Q13+1)/7)^0.5))</f>
        <v>4.1259761331211386</v>
      </c>
      <c r="AL13" s="8">
        <f ca="1">(((Y13+LOG(I13)*4/3+N13)+(AB13+LOG(I13)*4/3+N13)*2)/8)*(Q13/7)^0.5</f>
        <v>1.7293642204221849</v>
      </c>
      <c r="AM13" s="8">
        <f ca="1">(AD13+LOG(I13)*4/3+N13)*0.7+(AC13+LOG(I13)*4/3+N13)*0.3</f>
        <v>4.9555635744296085</v>
      </c>
      <c r="AN13" s="8">
        <f ca="1">(0.5*(AC13+LOG(I13)*4/3+N13)+ 0.3*(AD13+LOG(I13)*4/3+N13))/10</f>
        <v>0.43969175262103527</v>
      </c>
      <c r="AO13" s="8">
        <f ca="1">(0.4*(Y13+LOG(I13)*4/3+N13)+0.3*(AD13+LOG(I13)*4/3+N13))/10</f>
        <v>0.43195945021007259</v>
      </c>
      <c r="AP13" s="129">
        <f>IF(AR13=4,IF(AS13=0,0.137+0.0697,0.137+0.02),IF(AR13=3,IF(AS13=0,0.0958+0.0697,0.0958+0.02),IF(AR13=2,IF(AS13=0,0.0415+0.0697,0.0415+0.02),IF(AR13=1,IF(AS13=0,0.0294+0.0697,0.0294+0.02),IF(AR13=0,IF(AS13=0,0.0063+0.0697,0.0063+0.02))))))</f>
        <v>4.9399999999999999E-2</v>
      </c>
      <c r="AQ13" s="20">
        <v>3</v>
      </c>
      <c r="AR13" s="20">
        <v>1</v>
      </c>
      <c r="AS13" s="20">
        <v>2</v>
      </c>
      <c r="AT13" s="29">
        <v>2660</v>
      </c>
    </row>
    <row r="14" spans="1:46" x14ac:dyDescent="0.25">
      <c r="A14" s="15" t="s">
        <v>39</v>
      </c>
      <c r="B14" s="15" t="s">
        <v>94</v>
      </c>
      <c r="C14" s="121">
        <f t="shared" ca="1" si="21"/>
        <v>3.2053571428571428</v>
      </c>
      <c r="D14" s="238" t="s">
        <v>474</v>
      </c>
      <c r="E14" s="16">
        <v>28</v>
      </c>
      <c r="F14" s="2">
        <f ca="1">$D$2-$D$1-846-112-112-112</f>
        <v>89</v>
      </c>
      <c r="G14" s="18" t="s">
        <v>294</v>
      </c>
      <c r="H14" s="4">
        <v>3</v>
      </c>
      <c r="I14" s="27">
        <v>5.5</v>
      </c>
      <c r="J14" s="22">
        <f t="shared" ref="J14:J21" si="66">LOG(I14)*4/3</f>
        <v>0.98715025265899181</v>
      </c>
      <c r="K14" s="6">
        <f t="shared" ref="K14:K18" si="67">(H14)*(H14)*(I14)</f>
        <v>49.5</v>
      </c>
      <c r="L14" s="6">
        <f t="shared" ref="L14:L18" si="68">(H14+1)*(H14+1)*I14</f>
        <v>88</v>
      </c>
      <c r="M14" s="130">
        <v>43409</v>
      </c>
      <c r="N14" s="131">
        <f t="shared" ca="1" si="50"/>
        <v>0.54458616987214004</v>
      </c>
      <c r="O14" s="19">
        <v>5.7</v>
      </c>
      <c r="P14" s="20">
        <f t="shared" ref="P14:P21" si="69">O14*10+19</f>
        <v>76</v>
      </c>
      <c r="Q14" s="26">
        <v>5</v>
      </c>
      <c r="R14" s="115">
        <f t="shared" ref="R14:R21" si="70">(Q14/7)^0.5</f>
        <v>0.84515425472851657</v>
      </c>
      <c r="S14" s="115">
        <f t="shared" ref="S14:S21" si="71">IF(Q14=7,1,((Q14+0.99)/7)^0.5)</f>
        <v>0.92504826128926143</v>
      </c>
      <c r="T14" s="29">
        <v>18260</v>
      </c>
      <c r="U14" s="29">
        <f t="shared" ref="U14:U21" si="72">T14-AT14</f>
        <v>190</v>
      </c>
      <c r="V14" s="29">
        <v>2748</v>
      </c>
      <c r="W14" s="8">
        <f t="shared" ref="W14:W21" si="73">T14/V14</f>
        <v>6.6448326055312954</v>
      </c>
      <c r="X14" s="21">
        <v>0</v>
      </c>
      <c r="Y14" s="22">
        <v>6</v>
      </c>
      <c r="Z14" s="21">
        <v>9</v>
      </c>
      <c r="AA14" s="22">
        <f>6+0.2</f>
        <v>6.2</v>
      </c>
      <c r="AB14" s="21">
        <v>7</v>
      </c>
      <c r="AC14" s="22">
        <v>2</v>
      </c>
      <c r="AD14" s="21">
        <v>4</v>
      </c>
      <c r="AE14" s="9">
        <f>14+26+14+8.5+2+0.5</f>
        <v>65</v>
      </c>
      <c r="AF14" s="9"/>
      <c r="AG14" s="23">
        <f t="shared" ref="AG14:AG18" ca="1" si="74">(AD14+1+(LOG(I14)*4/3)+N14)*(Q14/7)^0.5</f>
        <v>5.5203248282674062</v>
      </c>
      <c r="AH14" s="23">
        <f t="shared" ref="AH14:AH18" ca="1" si="75">(AD14+1+N14+(LOG(I14)*4/3))*(IF(Q14=7, (Q14/7)^0.5, ((Q14+1)/7)^0.5))</f>
        <v>6.0472128663957809</v>
      </c>
      <c r="AI14" s="23">
        <f t="shared" ref="AI14:AI18" ca="1" si="76">(Z14+N14+(LOG(I14)*4/3))</f>
        <v>10.531736422531132</v>
      </c>
      <c r="AJ14" s="120">
        <f t="shared" ref="AJ14:AJ18" ca="1" si="77">(Z14+N14+(LOG(I14)*4/3))*(Q14/7)^0.5</f>
        <v>8.900941847181473</v>
      </c>
      <c r="AK14" s="120">
        <f t="shared" ref="AK14:AK18" ca="1" si="78">(Z14+N14+(LOG(I14)*4/3))*(IF(Q14=7, (Q14/7)^0.5, ((Q14+1)/7)^0.5))</f>
        <v>9.7504932654859875</v>
      </c>
      <c r="AL14" s="8">
        <f t="shared" ref="AL14:AL18" ca="1" si="79">(((Y14+LOG(I14)*4/3+N14)+(AB14+LOG(I14)*4/3+N14)*2)/8)*(Q14/7)^0.5</f>
        <v>2.5983432198056002</v>
      </c>
      <c r="AM14" s="8">
        <f t="shared" ref="AM14:AM18" ca="1" si="80">(AD14+LOG(I14)*4/3+N14)*0.7+(AC14+LOG(I14)*4/3+N14)*0.3</f>
        <v>4.9317364225311318</v>
      </c>
      <c r="AN14" s="8">
        <f t="shared" ref="AN14:AN18" ca="1" si="81">(0.5*(AC14+LOG(I14)*4/3+N14)+ 0.3*(AD14+LOG(I14)*4/3+N14))/10</f>
        <v>0.34253891380249052</v>
      </c>
      <c r="AO14" s="8">
        <f t="shared" ref="AO14:AO18" ca="1" si="82">(0.4*(Y14+LOG(I14)*4/3+N14)+0.3*(AD14+LOG(I14)*4/3+N14))/10</f>
        <v>0.46722154957717932</v>
      </c>
      <c r="AP14" s="129">
        <f t="shared" ref="AP14:AP18" si="83">IF(AR14=4,IF(AS14=0,0.137+0.0697,0.137+0.02),IF(AR14=3,IF(AS14=0,0.0958+0.0697,0.0958+0.02),IF(AR14=2,IF(AS14=0,0.0415+0.0697,0.0415+0.02),IF(AR14=1,IF(AS14=0,0.0294+0.0697,0.0294+0.02),IF(AR14=0,IF(AS14=0,0.0063+0.0697,0.0063+0.02))))))</f>
        <v>4.9399999999999999E-2</v>
      </c>
      <c r="AQ14" s="20">
        <v>2</v>
      </c>
      <c r="AR14" s="20">
        <v>1</v>
      </c>
      <c r="AS14" s="20">
        <v>3</v>
      </c>
      <c r="AT14" s="29">
        <v>18070</v>
      </c>
    </row>
    <row r="15" spans="1:46" x14ac:dyDescent="0.25">
      <c r="A15" s="15" t="s">
        <v>353</v>
      </c>
      <c r="B15" s="24" t="s">
        <v>94</v>
      </c>
      <c r="C15" s="121">
        <f t="shared" ca="1" si="21"/>
        <v>1.7767857142857142</v>
      </c>
      <c r="D15" s="239" t="s">
        <v>477</v>
      </c>
      <c r="E15" s="1">
        <v>30</v>
      </c>
      <c r="F15" s="2">
        <f ca="1">$D$2-$D$1-880+25-112-112-55-112</f>
        <v>25</v>
      </c>
      <c r="G15" s="3" t="s">
        <v>294</v>
      </c>
      <c r="H15" s="219">
        <v>5</v>
      </c>
      <c r="I15" s="5">
        <v>4.8</v>
      </c>
      <c r="J15" s="22">
        <f t="shared" si="66"/>
        <v>0.90832164983411623</v>
      </c>
      <c r="K15" s="6">
        <f t="shared" si="67"/>
        <v>120</v>
      </c>
      <c r="L15" s="6">
        <f t="shared" si="68"/>
        <v>172.79999999999998</v>
      </c>
      <c r="M15" s="130">
        <v>43415</v>
      </c>
      <c r="N15" s="131">
        <f t="shared" ca="1" si="50"/>
        <v>0.52836341799157549</v>
      </c>
      <c r="O15" s="25">
        <v>5.6</v>
      </c>
      <c r="P15" s="20">
        <f t="shared" si="69"/>
        <v>75</v>
      </c>
      <c r="Q15" s="26">
        <v>5</v>
      </c>
      <c r="R15" s="115">
        <f t="shared" si="70"/>
        <v>0.84515425472851657</v>
      </c>
      <c r="S15" s="115">
        <f t="shared" si="71"/>
        <v>0.92504826128926143</v>
      </c>
      <c r="T15" s="29">
        <v>10590</v>
      </c>
      <c r="U15" s="29">
        <f t="shared" si="72"/>
        <v>-4330</v>
      </c>
      <c r="V15" s="7">
        <v>6888</v>
      </c>
      <c r="W15" s="8">
        <f t="shared" si="73"/>
        <v>1.5374564459930313</v>
      </c>
      <c r="X15" s="21">
        <v>0</v>
      </c>
      <c r="Y15" s="22">
        <v>5</v>
      </c>
      <c r="Z15" s="21">
        <v>11</v>
      </c>
      <c r="AA15" s="22">
        <v>2</v>
      </c>
      <c r="AB15" s="21">
        <v>4</v>
      </c>
      <c r="AC15" s="22">
        <v>5</v>
      </c>
      <c r="AD15" s="21">
        <v>12</v>
      </c>
      <c r="AE15" s="9">
        <f>10+40+4+8+12</f>
        <v>74</v>
      </c>
      <c r="AF15" s="9"/>
      <c r="AG15" s="23">
        <f t="shared" ca="1" si="74"/>
        <v>12.201225809248527</v>
      </c>
      <c r="AH15" s="23">
        <f t="shared" ca="1" si="75"/>
        <v>13.365773209879286</v>
      </c>
      <c r="AI15" s="23">
        <f t="shared" ca="1" si="76"/>
        <v>12.436685067825692</v>
      </c>
      <c r="AJ15" s="120">
        <f t="shared" ca="1" si="77"/>
        <v>10.510917299791494</v>
      </c>
      <c r="AK15" s="120">
        <f t="shared" ca="1" si="78"/>
        <v>11.514133010334183</v>
      </c>
      <c r="AL15" s="8">
        <f t="shared" ca="1" si="79"/>
        <v>1.8287083506005184</v>
      </c>
      <c r="AM15" s="8">
        <f t="shared" ca="1" si="80"/>
        <v>11.336685067825691</v>
      </c>
      <c r="AN15" s="8">
        <f t="shared" ca="1" si="81"/>
        <v>0.72493480542605526</v>
      </c>
      <c r="AO15" s="8">
        <f t="shared" ca="1" si="82"/>
        <v>0.66056795474779839</v>
      </c>
      <c r="AP15" s="129">
        <f t="shared" si="83"/>
        <v>4.9399999999999999E-2</v>
      </c>
      <c r="AQ15" s="20">
        <v>2</v>
      </c>
      <c r="AR15" s="20">
        <v>1</v>
      </c>
      <c r="AS15" s="20">
        <v>1</v>
      </c>
      <c r="AT15" s="29">
        <v>14920</v>
      </c>
    </row>
    <row r="16" spans="1:46" x14ac:dyDescent="0.25">
      <c r="A16" s="15" t="s">
        <v>291</v>
      </c>
      <c r="B16" s="15" t="s">
        <v>94</v>
      </c>
      <c r="C16" s="121">
        <f t="shared" ca="1" si="21"/>
        <v>10.178571428571429</v>
      </c>
      <c r="D16" s="213" t="s">
        <v>293</v>
      </c>
      <c r="E16" s="16">
        <v>21</v>
      </c>
      <c r="F16" s="2">
        <f ca="1">$D$2-$D$1-880+37-112-112-112</f>
        <v>92</v>
      </c>
      <c r="G16" s="18" t="s">
        <v>294</v>
      </c>
      <c r="H16" s="4">
        <v>3</v>
      </c>
      <c r="I16" s="27">
        <v>2.5</v>
      </c>
      <c r="J16" s="22">
        <f>LOG(I16)*4/3</f>
        <v>0.53058667822938343</v>
      </c>
      <c r="K16" s="6">
        <f>(H16)*(H16)*(I16)</f>
        <v>22.5</v>
      </c>
      <c r="L16" s="6">
        <f>(H16+1)*(H16+1)*I16</f>
        <v>40</v>
      </c>
      <c r="M16" s="130">
        <v>43045</v>
      </c>
      <c r="N16" s="131">
        <f ca="1">IF((TODAY()-M16)&gt;335,1,((TODAY()-M16)^0.64)/(336^0.64))</f>
        <v>1</v>
      </c>
      <c r="O16" s="19">
        <v>5</v>
      </c>
      <c r="P16" s="20">
        <f>O16*10+19</f>
        <v>69</v>
      </c>
      <c r="Q16" s="20">
        <v>7</v>
      </c>
      <c r="R16" s="115">
        <f>(Q16/7)^0.5</f>
        <v>1</v>
      </c>
      <c r="S16" s="115">
        <f>IF(Q16=7,1,((Q16+0.99)/7)^0.5)</f>
        <v>1</v>
      </c>
      <c r="T16" s="29">
        <v>3980</v>
      </c>
      <c r="U16" s="29">
        <f>T16-AT16</f>
        <v>60</v>
      </c>
      <c r="V16" s="29">
        <v>450</v>
      </c>
      <c r="W16" s="8">
        <f>T16/V16</f>
        <v>8.844444444444445</v>
      </c>
      <c r="X16" s="21">
        <v>0</v>
      </c>
      <c r="Y16" s="22">
        <v>3</v>
      </c>
      <c r="Z16" s="21">
        <v>6</v>
      </c>
      <c r="AA16" s="22">
        <v>6</v>
      </c>
      <c r="AB16" s="21">
        <f>3.25+0.25+0.25+0.25+0.25</f>
        <v>4.25</v>
      </c>
      <c r="AC16" s="22">
        <f>4.22+0.33+0.33+1/17+1/17+1/17*79/90+0.33*11/90+1/17+1/17+1/17+1/17+1/17+1/17+1/17+1/17+1/17</f>
        <v>5.6190261437908475</v>
      </c>
      <c r="AD16" s="21">
        <v>3</v>
      </c>
      <c r="AE16" s="9">
        <f>3+12+8.5+6+9+1</f>
        <v>39.5</v>
      </c>
      <c r="AF16" s="9"/>
      <c r="AG16" s="23">
        <f ca="1">(AD16+1+(LOG(I16)*4/3)+N16)*(Q16/7)^0.5</f>
        <v>5.5305866782293833</v>
      </c>
      <c r="AH16" s="23">
        <f ca="1">(AD16+1+N16+(LOG(I16)*4/3))*(IF(Q16=7, (Q16/7)^0.5, ((Q16+1)/7)^0.5))</f>
        <v>5.5305866782293833</v>
      </c>
      <c r="AI16" s="23">
        <f ca="1">(Z16+N16+(LOG(I16)*4/3))</f>
        <v>7.5305866782293833</v>
      </c>
      <c r="AJ16" s="120">
        <f ca="1">(Z16+N16+(LOG(I16)*4/3))*(Q16/7)^0.5</f>
        <v>7.5305866782293833</v>
      </c>
      <c r="AK16" s="120">
        <f ca="1">(Z16+N16+(LOG(I16)*4/3))*(IF(Q16=7, (Q16/7)^0.5, ((Q16+1)/7)^0.5))</f>
        <v>7.5305866782293833</v>
      </c>
      <c r="AL16" s="8">
        <f ca="1">(((Y16+LOG(I16)*4/3+N16)+(AB16+LOG(I16)*4/3+N16)*2)/8)*(Q16/7)^0.5</f>
        <v>2.0114700043360187</v>
      </c>
      <c r="AM16" s="8">
        <f ca="1">(AD16+LOG(I16)*4/3+N16)*0.7+(AC16+LOG(I16)*4/3+N16)*0.3</f>
        <v>5.3162945213666379</v>
      </c>
      <c r="AN16" s="8">
        <f ca="1">(0.5*(AC16+LOG(I16)*4/3+N16)+ 0.3*(AD16+LOG(I16)*4/3+N16))/10</f>
        <v>0.49339824144789307</v>
      </c>
      <c r="AO16" s="8">
        <f ca="1">(0.4*(Y16+LOG(I16)*4/3+N16)+0.3*(AD16+LOG(I16)*4/3+N16))/10</f>
        <v>0.3171410674760568</v>
      </c>
      <c r="AP16" s="129">
        <f>IF(AR16=4,IF(AS16=0,0.137+0.0697,0.137+0.02),IF(AR16=3,IF(AS16=0,0.0958+0.0697,0.0958+0.02),IF(AR16=2,IF(AS16=0,0.0415+0.0697,0.0415+0.02),IF(AR16=1,IF(AS16=0,0.0294+0.0697,0.0294+0.02),IF(AR16=0,IF(AS16=0,0.0063+0.0697,0.0063+0.02))))))</f>
        <v>0.1158</v>
      </c>
      <c r="AQ16" s="20">
        <v>2</v>
      </c>
      <c r="AR16" s="20">
        <v>3</v>
      </c>
      <c r="AS16" s="20">
        <v>2</v>
      </c>
      <c r="AT16" s="29">
        <v>3920</v>
      </c>
    </row>
    <row r="17" spans="1:46" x14ac:dyDescent="0.25">
      <c r="A17" s="15" t="s">
        <v>30</v>
      </c>
      <c r="B17" s="15" t="s">
        <v>70</v>
      </c>
      <c r="C17" s="121">
        <f t="shared" ca="1" si="21"/>
        <v>10.544642857142858</v>
      </c>
      <c r="D17" s="223" t="s">
        <v>292</v>
      </c>
      <c r="E17" s="16">
        <v>21</v>
      </c>
      <c r="F17" s="2">
        <f ca="1">$D$2-$D$1-880-4-112-112-112</f>
        <v>51</v>
      </c>
      <c r="G17" s="18" t="s">
        <v>44</v>
      </c>
      <c r="H17" s="4">
        <v>1</v>
      </c>
      <c r="I17" s="27">
        <v>3.9</v>
      </c>
      <c r="J17" s="22">
        <f t="shared" si="66"/>
        <v>0.78808614270199895</v>
      </c>
      <c r="K17" s="6">
        <f t="shared" si="67"/>
        <v>3.9</v>
      </c>
      <c r="L17" s="6">
        <f t="shared" si="68"/>
        <v>15.6</v>
      </c>
      <c r="M17" s="130">
        <v>43046</v>
      </c>
      <c r="N17" s="131">
        <v>1.5</v>
      </c>
      <c r="O17" s="19">
        <v>5.3</v>
      </c>
      <c r="P17" s="20">
        <f t="shared" si="69"/>
        <v>72</v>
      </c>
      <c r="Q17" s="20">
        <v>6</v>
      </c>
      <c r="R17" s="115">
        <f t="shared" si="70"/>
        <v>0.92582009977255142</v>
      </c>
      <c r="S17" s="115">
        <f t="shared" si="71"/>
        <v>0.99928545900129484</v>
      </c>
      <c r="T17" s="29">
        <v>72060</v>
      </c>
      <c r="U17" s="29">
        <f t="shared" si="72"/>
        <v>1030</v>
      </c>
      <c r="V17" s="29">
        <v>13210</v>
      </c>
      <c r="W17" s="8">
        <f t="shared" si="73"/>
        <v>5.454958364875095</v>
      </c>
      <c r="X17" s="21">
        <v>0</v>
      </c>
      <c r="Y17" s="22">
        <v>6.25</v>
      </c>
      <c r="Z17" s="21">
        <v>5.7</v>
      </c>
      <c r="AA17" s="22">
        <f>12+0.2+0.2+0.2+0.2+0.2+(7/7)+(1/8)</f>
        <v>14.124999999999996</v>
      </c>
      <c r="AB17" s="21">
        <v>6</v>
      </c>
      <c r="AC17" s="22">
        <f>4.25+0.34+0.33+0.33+0.25+0.25+0.25+0.25+0.25+0.25+0.25+0.25+0.25</f>
        <v>7.5</v>
      </c>
      <c r="AD17" s="21">
        <v>5</v>
      </c>
      <c r="AE17" s="9">
        <f>CA_v3!V13</f>
        <v>102</v>
      </c>
      <c r="AF17" s="9">
        <v>2073</v>
      </c>
      <c r="AG17" s="23">
        <f t="shared" si="74"/>
        <v>7.6732767395598662</v>
      </c>
      <c r="AH17" s="23">
        <f t="shared" si="75"/>
        <v>8.2880861427019994</v>
      </c>
      <c r="AI17" s="23">
        <f t="shared" si="76"/>
        <v>7.9880861427019987</v>
      </c>
      <c r="AJ17" s="120">
        <f t="shared" si="77"/>
        <v>7.3955307096281002</v>
      </c>
      <c r="AK17" s="120">
        <f t="shared" si="78"/>
        <v>7.9880861427019987</v>
      </c>
      <c r="AL17" s="8">
        <f t="shared" si="79"/>
        <v>2.9064106554528419</v>
      </c>
      <c r="AM17" s="8">
        <f t="shared" si="80"/>
        <v>8.0380861427019994</v>
      </c>
      <c r="AN17" s="8">
        <f t="shared" si="81"/>
        <v>0.70804689141615995</v>
      </c>
      <c r="AO17" s="8">
        <f t="shared" si="82"/>
        <v>0.56016602998914</v>
      </c>
      <c r="AP17" s="129">
        <f t="shared" si="83"/>
        <v>0.1158</v>
      </c>
      <c r="AQ17" s="20">
        <v>4</v>
      </c>
      <c r="AR17" s="20">
        <v>3</v>
      </c>
      <c r="AS17" s="20">
        <v>2</v>
      </c>
      <c r="AT17" s="29">
        <v>71030</v>
      </c>
    </row>
    <row r="18" spans="1:46" x14ac:dyDescent="0.25">
      <c r="A18" s="15" t="s">
        <v>35</v>
      </c>
      <c r="B18" s="15" t="s">
        <v>70</v>
      </c>
      <c r="C18" s="121">
        <f t="shared" ca="1" si="21"/>
        <v>10.544642857142858</v>
      </c>
      <c r="D18" s="223" t="s">
        <v>367</v>
      </c>
      <c r="E18" s="16">
        <v>21</v>
      </c>
      <c r="F18" s="2">
        <f ca="1">$D$2-$D$1-880-4-112-112-112</f>
        <v>51</v>
      </c>
      <c r="G18" s="18" t="s">
        <v>294</v>
      </c>
      <c r="H18" s="40">
        <v>6</v>
      </c>
      <c r="I18" s="27">
        <v>3.5</v>
      </c>
      <c r="J18" s="22">
        <f t="shared" si="66"/>
        <v>0.72542405913370089</v>
      </c>
      <c r="K18" s="6">
        <f t="shared" si="67"/>
        <v>126</v>
      </c>
      <c r="L18" s="6">
        <f t="shared" si="68"/>
        <v>171.5</v>
      </c>
      <c r="M18" s="130">
        <v>43054</v>
      </c>
      <c r="N18" s="131">
        <f ca="1">IF((TODAY()-M18)&gt;335,1,((TODAY()-M18)^0.64)/(336^0.64))</f>
        <v>1</v>
      </c>
      <c r="O18" s="19">
        <v>5.2</v>
      </c>
      <c r="P18" s="20">
        <f t="shared" si="69"/>
        <v>71</v>
      </c>
      <c r="Q18" s="26">
        <v>6</v>
      </c>
      <c r="R18" s="115">
        <f t="shared" si="70"/>
        <v>0.92582009977255142</v>
      </c>
      <c r="S18" s="115">
        <f t="shared" si="71"/>
        <v>0.99928545900129484</v>
      </c>
      <c r="T18" s="29">
        <v>58880</v>
      </c>
      <c r="U18" s="29">
        <f t="shared" si="72"/>
        <v>1250</v>
      </c>
      <c r="V18" s="29">
        <v>8670</v>
      </c>
      <c r="W18" s="8">
        <f t="shared" si="73"/>
        <v>6.79123414071511</v>
      </c>
      <c r="X18" s="21">
        <v>0</v>
      </c>
      <c r="Y18" s="22">
        <v>7</v>
      </c>
      <c r="Z18" s="21">
        <v>5</v>
      </c>
      <c r="AA18" s="22">
        <f>13+1.33/7</f>
        <v>13.19</v>
      </c>
      <c r="AB18" s="21">
        <f>4.5+0.25+0.25</f>
        <v>5</v>
      </c>
      <c r="AC18" s="22">
        <f>4.28+0.34+0.33+0.33+0.33*85/90+0.33+0.33+0.25+0.25+0.25+0.2+0.2+0.2+0.2</f>
        <v>7.8016666666666676</v>
      </c>
      <c r="AD18" s="21">
        <v>3</v>
      </c>
      <c r="AE18" s="9">
        <f>CA_v3!V15</f>
        <v>91.88</v>
      </c>
      <c r="AF18" s="9">
        <v>1995</v>
      </c>
      <c r="AG18" s="23">
        <f t="shared" ca="1" si="74"/>
        <v>5.3007126736673289</v>
      </c>
      <c r="AH18" s="23">
        <f t="shared" ca="1" si="75"/>
        <v>5.7254240591337009</v>
      </c>
      <c r="AI18" s="23">
        <f t="shared" ca="1" si="76"/>
        <v>6.7254240591337009</v>
      </c>
      <c r="AJ18" s="120">
        <f t="shared" ca="1" si="77"/>
        <v>6.2265327734398808</v>
      </c>
      <c r="AK18" s="120">
        <f t="shared" ca="1" si="78"/>
        <v>6.7254240591337009</v>
      </c>
      <c r="AL18" s="8">
        <f t="shared" ca="1" si="79"/>
        <v>2.5664048149830929</v>
      </c>
      <c r="AM18" s="8">
        <f t="shared" ca="1" si="80"/>
        <v>6.165924059133701</v>
      </c>
      <c r="AN18" s="8">
        <f t="shared" ca="1" si="81"/>
        <v>0.6181172580640294</v>
      </c>
      <c r="AO18" s="8">
        <f t="shared" ca="1" si="82"/>
        <v>0.49077968413935907</v>
      </c>
      <c r="AP18" s="129">
        <f t="shared" si="83"/>
        <v>6.1499999999999999E-2</v>
      </c>
      <c r="AQ18" s="20">
        <v>2</v>
      </c>
      <c r="AR18" s="20">
        <v>2</v>
      </c>
      <c r="AS18" s="20">
        <v>1</v>
      </c>
      <c r="AT18" s="29">
        <v>57630</v>
      </c>
    </row>
    <row r="19" spans="1:46" x14ac:dyDescent="0.25">
      <c r="A19" s="15" t="s">
        <v>461</v>
      </c>
      <c r="B19" s="15" t="s">
        <v>43</v>
      </c>
      <c r="C19" s="121">
        <f ca="1">((32*112)-(E19*112)-(F19))/112</f>
        <v>1.8482142857142858</v>
      </c>
      <c r="D19" s="238" t="s">
        <v>486</v>
      </c>
      <c r="E19" s="16">
        <v>30</v>
      </c>
      <c r="F19" s="2">
        <f ca="1">$D$2-$D$1-880+25-112-3-112-60-112</f>
        <v>17</v>
      </c>
      <c r="G19" s="18" t="s">
        <v>44</v>
      </c>
      <c r="H19" s="4">
        <v>2</v>
      </c>
      <c r="I19" s="27">
        <v>6.2</v>
      </c>
      <c r="J19" s="22">
        <f>LOG(I19)*4/3</f>
        <v>1.0565222526643385</v>
      </c>
      <c r="K19" s="6">
        <f>(H19)*(H19)*(I19)</f>
        <v>24.8</v>
      </c>
      <c r="L19" s="6">
        <f>(H19+1)*(H19+1)*I19</f>
        <v>55.800000000000004</v>
      </c>
      <c r="M19" s="130">
        <v>43420</v>
      </c>
      <c r="N19" s="131">
        <f ca="1">IF((TODAY()-M19)&gt;335,1,((TODAY()-M19)^0.64)/(336^0.64))</f>
        <v>0.51462741468122808</v>
      </c>
      <c r="O19" s="19">
        <v>5.6</v>
      </c>
      <c r="P19" s="20">
        <f>O19*10+19</f>
        <v>75</v>
      </c>
      <c r="Q19" s="26">
        <v>6</v>
      </c>
      <c r="R19" s="115">
        <f>(Q19/7)^0.5</f>
        <v>0.92582009977255142</v>
      </c>
      <c r="S19" s="115">
        <f>IF(Q19=7,1,((Q19+0.99)/7)^0.5)</f>
        <v>0.99928545900129484</v>
      </c>
      <c r="T19" s="29">
        <v>12780</v>
      </c>
      <c r="U19" s="29">
        <f>T19-AT19</f>
        <v>130</v>
      </c>
      <c r="V19" s="29">
        <v>3696</v>
      </c>
      <c r="W19" s="8">
        <f>T19/V19</f>
        <v>3.4577922077922079</v>
      </c>
      <c r="X19" s="21">
        <v>0</v>
      </c>
      <c r="Y19" s="22">
        <v>4</v>
      </c>
      <c r="Z19" s="21">
        <v>2</v>
      </c>
      <c r="AA19" s="22">
        <v>4</v>
      </c>
      <c r="AB19" s="21">
        <v>7</v>
      </c>
      <c r="AC19" s="22">
        <v>10</v>
      </c>
      <c r="AD19" s="21">
        <v>14</v>
      </c>
      <c r="AE19" s="9">
        <f>AE21+1.5+4</f>
        <v>77</v>
      </c>
      <c r="AF19" s="9"/>
      <c r="AG19" s="23">
        <f ca="1">(AD19+1+(LOG(I19)*4/3)+N19)*(Q19/7)^0.5</f>
        <v>15.341903438367753</v>
      </c>
      <c r="AH19" s="23">
        <f ca="1">(AD19+1+N19+(LOG(I19)*4/3))*(IF(Q19=7, (Q19/7)^0.5, ((Q19+1)/7)^0.5))</f>
        <v>16.571149667345566</v>
      </c>
      <c r="AI19" s="23">
        <f ca="1">(Z19+N19+(LOG(I19)*4/3))</f>
        <v>3.5711496673455665</v>
      </c>
      <c r="AJ19" s="120">
        <f ca="1">(Z19+N19+(LOG(I19)*4/3))*(Q19/7)^0.5</f>
        <v>3.3062421413245864</v>
      </c>
      <c r="AK19" s="120">
        <f ca="1">(Z19+N19+(LOG(I19)*4/3))*(IF(Q19=7, (Q19/7)^0.5, ((Q19+1)/7)^0.5))</f>
        <v>3.5711496673455665</v>
      </c>
      <c r="AL19" s="8">
        <f ca="1">(((Y19+LOG(I19)*4/3+N19)+(AB19+LOG(I19)*4/3+N19)*2)/8)*(Q19/7)^0.5</f>
        <v>2.6285709526555472</v>
      </c>
      <c r="AM19" s="8">
        <f ca="1">(AD19+LOG(I19)*4/3+N19)*0.7+(AC19+LOG(I19)*4/3+N19)*0.3</f>
        <v>14.371149667345566</v>
      </c>
      <c r="AN19" s="8">
        <f ca="1">(0.5*(AC19+LOG(I19)*4/3+N19)+ 0.3*(AD19+LOG(I19)*4/3+N19))/10</f>
        <v>1.0456919733876453</v>
      </c>
      <c r="AO19" s="8">
        <f ca="1">(0.4*(Y19+LOG(I19)*4/3+N19)+0.3*(AD19+LOG(I19)*4/3+N19))/10</f>
        <v>0.68998047671418961</v>
      </c>
      <c r="AP19" s="129">
        <f>IF(AR19=4,IF(AS19=0,0.137+0.0697,0.137+0.02),IF(AR19=3,IF(AS19=0,0.0958+0.0697,0.0958+0.02),IF(AR19=2,IF(AS19=0,0.0415+0.0697,0.0415+0.02),IF(AR19=1,IF(AS19=0,0.0294+0.0697,0.0294+0.02),IF(AR19=0,IF(AS19=0,0.0063+0.0697,0.0063+0.02))))))</f>
        <v>4.9399999999999999E-2</v>
      </c>
      <c r="AQ19" s="20">
        <v>2</v>
      </c>
      <c r="AR19" s="20">
        <v>1</v>
      </c>
      <c r="AS19" s="20">
        <v>1</v>
      </c>
      <c r="AT19" s="29">
        <v>12650</v>
      </c>
    </row>
    <row r="20" spans="1:46" x14ac:dyDescent="0.25">
      <c r="A20" s="15" t="s">
        <v>468</v>
      </c>
      <c r="B20" s="15" t="s">
        <v>43</v>
      </c>
      <c r="C20" s="121">
        <f t="shared" ca="1" si="21"/>
        <v>1.5089285714285714</v>
      </c>
      <c r="D20" s="238" t="s">
        <v>479</v>
      </c>
      <c r="E20" s="16">
        <v>30</v>
      </c>
      <c r="F20" s="2">
        <f ca="1">$D$2-$D$1-880+56-112-112+41-112+15-112</f>
        <v>55</v>
      </c>
      <c r="G20" s="18" t="s">
        <v>294</v>
      </c>
      <c r="H20" s="4">
        <v>4</v>
      </c>
      <c r="I20" s="27">
        <v>5.8</v>
      </c>
      <c r="J20" s="22">
        <f>LOG(I20)*4/3</f>
        <v>1.0179039914172496</v>
      </c>
      <c r="K20" s="6">
        <f>(H20)*(H20)*(I20)</f>
        <v>92.8</v>
      </c>
      <c r="L20" s="6">
        <f>(H20+1)*(H20+1)*I20</f>
        <v>145</v>
      </c>
      <c r="M20" s="130">
        <v>43417</v>
      </c>
      <c r="N20" s="131">
        <f ca="1">IF((TODAY()-M20)&gt;335,1,((TODAY()-M20)^0.64)/(336^0.64))</f>
        <v>0.52289339269872392</v>
      </c>
      <c r="O20" s="19">
        <v>5.5</v>
      </c>
      <c r="P20" s="20">
        <f>O20*10+19</f>
        <v>74</v>
      </c>
      <c r="Q20" s="20">
        <v>6</v>
      </c>
      <c r="R20" s="115">
        <f>(Q20/7)^0.5</f>
        <v>0.92582009977255142</v>
      </c>
      <c r="S20" s="115">
        <f>IF(Q20=7,1,((Q20+0.99)/7)^0.5)</f>
        <v>0.99928545900129484</v>
      </c>
      <c r="T20" s="29">
        <v>16190</v>
      </c>
      <c r="U20" s="29">
        <f>T20-AT20</f>
        <v>-470</v>
      </c>
      <c r="V20" s="29">
        <v>2124</v>
      </c>
      <c r="W20" s="8">
        <f>T20/V20</f>
        <v>7.6224105461393599</v>
      </c>
      <c r="X20" s="21">
        <v>0</v>
      </c>
      <c r="Y20" s="22">
        <v>5</v>
      </c>
      <c r="Z20" s="21">
        <v>2</v>
      </c>
      <c r="AA20" s="22">
        <v>6</v>
      </c>
      <c r="AB20" s="21">
        <v>9</v>
      </c>
      <c r="AC20" s="22">
        <v>9</v>
      </c>
      <c r="AD20" s="21">
        <v>13</v>
      </c>
      <c r="AE20" s="9">
        <f>10+8.5+23+27+14</f>
        <v>82.5</v>
      </c>
      <c r="AF20" s="9"/>
      <c r="AG20" s="23">
        <f ca="1">(AD20+1+(LOG(I20)*4/3)+N20)*(Q20/7)^0.5</f>
        <v>14.387982584707256</v>
      </c>
      <c r="AH20" s="23">
        <f ca="1">(AD20+1+N20+(LOG(I20)*4/3))*(IF(Q20=7, (Q20/7)^0.5, ((Q20+1)/7)^0.5))</f>
        <v>15.540797384115972</v>
      </c>
      <c r="AI20" s="23">
        <f ca="1">(Z20+N20+(LOG(I20)*4/3))</f>
        <v>3.5407973841159737</v>
      </c>
      <c r="AJ20" s="120">
        <f ca="1">(Z20+N20+(LOG(I20)*4/3))*(Q20/7)^0.5</f>
        <v>3.2781413874366399</v>
      </c>
      <c r="AK20" s="120">
        <f ca="1">(Z20+N20+(LOG(I20)*4/3))*(IF(Q20=7, (Q20/7)^0.5, ((Q20+1)/7)^0.5))</f>
        <v>3.5407973841159737</v>
      </c>
      <c r="AL20" s="8">
        <f ca="1">(((Y20+LOG(I20)*4/3+N20)+(AB20+LOG(I20)*4/3+N20)*2)/8)*(Q20/7)^0.5</f>
        <v>3.1966707323054111</v>
      </c>
      <c r="AM20" s="8">
        <f ca="1">(AD20+LOG(I20)*4/3+N20)*0.7+(AC20+LOG(I20)*4/3+N20)*0.3</f>
        <v>13.340797384115971</v>
      </c>
      <c r="AN20" s="8">
        <f ca="1">(0.5*(AC20+LOG(I20)*4/3+N20)+ 0.3*(AD20+LOG(I20)*4/3+N20))/10</f>
        <v>0.96326379072927781</v>
      </c>
      <c r="AO20" s="8">
        <f ca="1">(0.4*(Y20+LOG(I20)*4/3+N20)+0.3*(AD20+LOG(I20)*4/3+N20))/10</f>
        <v>0.69785581688811804</v>
      </c>
      <c r="AP20" s="129">
        <f>IF(AR20=4,IF(AS20=0,0.137+0.0697,0.137+0.02),IF(AR20=3,IF(AS20=0,0.0958+0.0697,0.0958+0.02),IF(AR20=2,IF(AS20=0,0.0415+0.0697,0.0415+0.02),IF(AR20=1,IF(AS20=0,0.0294+0.0697,0.0294+0.02),IF(AR20=0,IF(AS20=0,0.0063+0.0697,0.0063+0.02))))))</f>
        <v>0.1158</v>
      </c>
      <c r="AQ20" s="20">
        <v>2</v>
      </c>
      <c r="AR20" s="20">
        <v>3</v>
      </c>
      <c r="AS20" s="20">
        <v>2</v>
      </c>
      <c r="AT20" s="29">
        <v>16660</v>
      </c>
    </row>
    <row r="21" spans="1:46" x14ac:dyDescent="0.25">
      <c r="A21" s="15" t="s">
        <v>473</v>
      </c>
      <c r="B21" s="15" t="s">
        <v>43</v>
      </c>
      <c r="C21" s="121">
        <f t="shared" ca="1" si="21"/>
        <v>1.25</v>
      </c>
      <c r="D21" s="238" t="s">
        <v>478</v>
      </c>
      <c r="E21" s="16">
        <v>30</v>
      </c>
      <c r="F21" s="2">
        <f ca="1">$D$2-$D$1-1100+25-112</f>
        <v>84</v>
      </c>
      <c r="G21" s="18" t="s">
        <v>294</v>
      </c>
      <c r="H21" s="4">
        <v>0</v>
      </c>
      <c r="I21" s="27">
        <v>5.0999999999999996</v>
      </c>
      <c r="J21" s="22">
        <f t="shared" si="66"/>
        <v>0.94342690146391517</v>
      </c>
      <c r="K21" s="6">
        <f t="shared" ref="K21" si="84">(H21)*(H21)*(I21)</f>
        <v>0</v>
      </c>
      <c r="L21" s="6">
        <f t="shared" ref="L21" si="85">(H21+1)*(H21+1)*I21</f>
        <v>5.0999999999999996</v>
      </c>
      <c r="M21" s="130">
        <v>43417</v>
      </c>
      <c r="N21" s="131">
        <f ca="1">IF((TODAY()-M21)&gt;335,1,((TODAY()-M21)^0.64)/(336^0.64))</f>
        <v>0.52289339269872392</v>
      </c>
      <c r="O21" s="19">
        <v>5.5</v>
      </c>
      <c r="P21" s="20">
        <f t="shared" si="69"/>
        <v>74</v>
      </c>
      <c r="Q21" s="26">
        <v>6</v>
      </c>
      <c r="R21" s="115">
        <f t="shared" si="70"/>
        <v>0.92582009977255142</v>
      </c>
      <c r="S21" s="115">
        <f t="shared" si="71"/>
        <v>0.99928545900129484</v>
      </c>
      <c r="T21" s="29">
        <v>13920</v>
      </c>
      <c r="U21" s="29">
        <f t="shared" si="72"/>
        <v>330</v>
      </c>
      <c r="V21" s="29">
        <v>3732</v>
      </c>
      <c r="W21" s="8">
        <f t="shared" si="73"/>
        <v>3.729903536977492</v>
      </c>
      <c r="X21" s="21">
        <v>0</v>
      </c>
      <c r="Y21" s="22">
        <v>4</v>
      </c>
      <c r="Z21" s="21">
        <v>5</v>
      </c>
      <c r="AA21" s="22">
        <v>4</v>
      </c>
      <c r="AB21" s="21">
        <v>7</v>
      </c>
      <c r="AC21" s="22">
        <v>10</v>
      </c>
      <c r="AD21" s="21">
        <v>10</v>
      </c>
      <c r="AE21" s="9">
        <f>3+9+1.5+14+33+8+3</f>
        <v>71.5</v>
      </c>
      <c r="AF21" s="9"/>
      <c r="AG21" s="23">
        <f t="shared" ref="AG21" ca="1" si="86">(AD21+1+(LOG(I21)*4/3)+N21)*(Q21/7)^0.5</f>
        <v>11.541569898538237</v>
      </c>
      <c r="AH21" s="23">
        <f t="shared" ref="AH21" ca="1" si="87">(AD21+1+N21+(LOG(I21)*4/3))*(IF(Q21=7, (Q21/7)^0.5, ((Q21+1)/7)^0.5))</f>
        <v>12.466320294162639</v>
      </c>
      <c r="AI21" s="23">
        <f t="shared" ref="AI21" ca="1" si="88">(Z21+N21+(LOG(I21)*4/3))</f>
        <v>6.4663202941626388</v>
      </c>
      <c r="AJ21" s="120">
        <f t="shared" ref="AJ21" ca="1" si="89">(Z21+N21+(LOG(I21)*4/3))*(Q21/7)^0.5</f>
        <v>5.9866492999029282</v>
      </c>
      <c r="AK21" s="120">
        <f t="shared" ref="AK21" ca="1" si="90">(Z21+N21+(LOG(I21)*4/3))*(IF(Q21=7, (Q21/7)^0.5, ((Q21+1)/7)^0.5))</f>
        <v>6.4663202941626388</v>
      </c>
      <c r="AL21" s="8">
        <f t="shared" ref="AL21" ca="1" si="91">(((Y21+LOG(I21)*4/3+N21)+(AB21+LOG(I21)*4/3+N21)*2)/8)*(Q21/7)^0.5</f>
        <v>2.592176024878305</v>
      </c>
      <c r="AM21" s="8">
        <f t="shared" ref="AM21" ca="1" si="92">(AD21+LOG(I21)*4/3+N21)*0.7+(AC21+LOG(I21)*4/3+N21)*0.3</f>
        <v>11.466320294162639</v>
      </c>
      <c r="AN21" s="8">
        <f t="shared" ref="AN21" ca="1" si="93">(0.5*(AC21+LOG(I21)*4/3+N21)+ 0.3*(AD21+LOG(I21)*4/3+N21))/10</f>
        <v>0.91730562353301115</v>
      </c>
      <c r="AO21" s="8">
        <f t="shared" ref="AO21" ca="1" si="94">(0.4*(Y21+LOG(I21)*4/3+N21)+0.3*(AD21+LOG(I21)*4/3+N21))/10</f>
        <v>0.56264242059138481</v>
      </c>
      <c r="AP21" s="129">
        <f t="shared" ref="AP21" si="95">IF(AR21=4,IF(AS21=0,0.137+0.0697,0.137+0.02),IF(AR21=3,IF(AS21=0,0.0958+0.0697,0.0958+0.02),IF(AR21=2,IF(AS21=0,0.0415+0.0697,0.0415+0.02),IF(AR21=1,IF(AS21=0,0.0294+0.0697,0.0294+0.02),IF(AR21=0,IF(AS21=0,0.0063+0.0697,0.0063+0.02))))))</f>
        <v>0.157</v>
      </c>
      <c r="AQ21" s="20">
        <v>3</v>
      </c>
      <c r="AR21" s="20">
        <v>4</v>
      </c>
      <c r="AS21" s="20">
        <v>2</v>
      </c>
      <c r="AT21" s="29">
        <v>13590</v>
      </c>
    </row>
    <row r="22" spans="1:46" x14ac:dyDescent="0.25">
      <c r="A22" s="15"/>
      <c r="B22" s="15"/>
      <c r="C22" s="121"/>
      <c r="D22" s="28" t="s">
        <v>182</v>
      </c>
      <c r="E22" s="16"/>
      <c r="F22" s="17"/>
      <c r="G22" s="18"/>
      <c r="H22" s="4"/>
      <c r="I22" s="27"/>
      <c r="J22" s="22"/>
      <c r="K22" s="6"/>
      <c r="L22" s="6"/>
      <c r="M22" s="130"/>
      <c r="N22" s="131"/>
      <c r="O22" s="19"/>
      <c r="P22" s="20"/>
      <c r="Q22" s="20"/>
      <c r="R22" s="115"/>
      <c r="S22" s="115"/>
      <c r="T22" s="29"/>
      <c r="U22" s="29"/>
      <c r="V22" s="29"/>
      <c r="W22" s="8"/>
      <c r="X22" s="21"/>
      <c r="Y22" s="22"/>
      <c r="Z22" s="21"/>
      <c r="AA22" s="22"/>
      <c r="AB22" s="21"/>
      <c r="AC22" s="22"/>
      <c r="AD22" s="21"/>
      <c r="AE22" s="9"/>
      <c r="AF22" s="9"/>
      <c r="AG22" s="23"/>
      <c r="AH22" s="23"/>
      <c r="AI22" s="23"/>
      <c r="AJ22" s="120"/>
      <c r="AK22" s="120"/>
      <c r="AL22" s="8"/>
      <c r="AM22" s="8"/>
      <c r="AN22" s="8"/>
      <c r="AO22" s="8"/>
      <c r="AP22" s="129">
        <f t="shared" si="65"/>
        <v>0.20669999999999999</v>
      </c>
      <c r="AQ22" s="20">
        <v>0</v>
      </c>
      <c r="AR22" s="20">
        <v>4</v>
      </c>
      <c r="AS22" s="20">
        <v>0</v>
      </c>
    </row>
    <row r="23" spans="1:46" x14ac:dyDescent="0.25">
      <c r="V23" s="69"/>
    </row>
    <row r="25" spans="1:46" x14ac:dyDescent="0.25">
      <c r="T25" s="69"/>
      <c r="V25" s="69"/>
    </row>
    <row r="26" spans="1:46" x14ac:dyDescent="0.25">
      <c r="AF26" s="69"/>
    </row>
    <row r="29" spans="1:46" x14ac:dyDescent="0.25">
      <c r="T29" s="69"/>
      <c r="V29" s="69"/>
    </row>
  </sheetData>
  <sortState ref="A5:AT22">
    <sortCondition descending="1" ref="AF5:AF22"/>
  </sortState>
  <conditionalFormatting sqref="U2">
    <cfRule type="dataBar" priority="513">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2">
    <cfRule type="cellIs" dxfId="14" priority="142" operator="lessThan">
      <formula>6</formula>
    </cfRule>
  </conditionalFormatting>
  <conditionalFormatting sqref="N4:N22">
    <cfRule type="cellIs" dxfId="13" priority="141" operator="lessThan">
      <formula>0.75</formula>
    </cfRule>
  </conditionalFormatting>
  <conditionalFormatting sqref="C22">
    <cfRule type="colorScale" priority="5050">
      <colorScale>
        <cfvo type="min"/>
        <cfvo type="max"/>
        <color rgb="FFFFEF9C"/>
        <color rgb="FF63BE7B"/>
      </colorScale>
    </cfRule>
  </conditionalFormatting>
  <conditionalFormatting sqref="W6">
    <cfRule type="dataBar" priority="29">
      <dataBar>
        <cfvo type="min"/>
        <cfvo type="max"/>
        <color rgb="FFFFB628"/>
      </dataBar>
      <extLst>
        <ext xmlns:x14="http://schemas.microsoft.com/office/spreadsheetml/2009/9/main" uri="{B025F937-C7B1-47D3-B67F-A62EFF666E3E}">
          <x14:id>{61B66F88-D82F-4C7B-B844-D73BEB5FAE97}</x14:id>
        </ext>
      </extLst>
    </cfRule>
  </conditionalFormatting>
  <conditionalFormatting sqref="AF6">
    <cfRule type="dataBar" priority="32">
      <dataBar>
        <cfvo type="min"/>
        <cfvo type="max"/>
        <color rgb="FF638EC6"/>
      </dataBar>
      <extLst>
        <ext xmlns:x14="http://schemas.microsoft.com/office/spreadsheetml/2009/9/main" uri="{B025F937-C7B1-47D3-B67F-A62EFF666E3E}">
          <x14:id>{C47240AB-C06C-4E01-8AC1-FE97A718F197}</x14:id>
        </ext>
      </extLst>
    </cfRule>
  </conditionalFormatting>
  <conditionalFormatting sqref="AP21">
    <cfRule type="colorScale" priority="16">
      <colorScale>
        <cfvo type="min"/>
        <cfvo type="percentile" val="50"/>
        <cfvo type="max"/>
        <color rgb="FF63BE7B"/>
        <color rgb="FFFFEB84"/>
        <color rgb="FFF8696B"/>
      </colorScale>
    </cfRule>
  </conditionalFormatting>
  <conditionalFormatting sqref="AP4:AP20">
    <cfRule type="colorScale" priority="5488">
      <colorScale>
        <cfvo type="min"/>
        <cfvo type="percentile" val="50"/>
        <cfvo type="max"/>
        <color rgb="FF63BE7B"/>
        <color rgb="FFFFEB84"/>
        <color rgb="FFF8696B"/>
      </colorScale>
    </cfRule>
  </conditionalFormatting>
  <conditionalFormatting sqref="W7:W21 W4:W5">
    <cfRule type="dataBar" priority="5490">
      <dataBar>
        <cfvo type="min"/>
        <cfvo type="max"/>
        <color rgb="FFFFB628"/>
      </dataBar>
      <extLst>
        <ext xmlns:x14="http://schemas.microsoft.com/office/spreadsheetml/2009/9/main" uri="{B025F937-C7B1-47D3-B67F-A62EFF666E3E}">
          <x14:id>{F0566193-AC02-4D5F-9039-FDC364A68C94}</x14:id>
        </ext>
      </extLst>
    </cfRule>
  </conditionalFormatting>
  <conditionalFormatting sqref="AF7:AF21 AF4:AF5">
    <cfRule type="dataBar" priority="5493">
      <dataBar>
        <cfvo type="min"/>
        <cfvo type="max"/>
        <color rgb="FF638EC6"/>
      </dataBar>
      <extLst>
        <ext xmlns:x14="http://schemas.microsoft.com/office/spreadsheetml/2009/9/main" uri="{B025F937-C7B1-47D3-B67F-A62EFF666E3E}">
          <x14:id>{39454924-5FFD-4BA1-95CE-A7F67257BF61}</x14:id>
        </ext>
      </extLst>
    </cfRule>
  </conditionalFormatting>
  <conditionalFormatting sqref="P4:P22">
    <cfRule type="colorScale" priority="5496">
      <colorScale>
        <cfvo type="min"/>
        <cfvo type="percentile" val="50"/>
        <cfvo type="max"/>
        <color rgb="FFF8696B"/>
        <color rgb="FFFFEB84"/>
        <color rgb="FF63BE7B"/>
      </colorScale>
    </cfRule>
  </conditionalFormatting>
  <conditionalFormatting sqref="C4:C21">
    <cfRule type="colorScale" priority="5498">
      <colorScale>
        <cfvo type="min"/>
        <cfvo type="max"/>
        <color rgb="FFFFEF9C"/>
        <color rgb="FF63BE7B"/>
      </colorScale>
    </cfRule>
  </conditionalFormatting>
  <conditionalFormatting sqref="R4:S21">
    <cfRule type="colorScale" priority="5500">
      <colorScale>
        <cfvo type="min"/>
        <cfvo type="percentile" val="50"/>
        <cfvo type="max"/>
        <color rgb="FFF8696B"/>
        <color rgb="FFFFEB84"/>
        <color rgb="FF63BE7B"/>
      </colorScale>
    </cfRule>
  </conditionalFormatting>
  <conditionalFormatting sqref="T4:T21">
    <cfRule type="dataBar" priority="5502">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1">
    <cfRule type="dataBar" priority="5504">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1">
    <cfRule type="dataBar" priority="5506">
      <dataBar>
        <cfvo type="min"/>
        <cfvo type="max"/>
        <color rgb="FFFF555A"/>
      </dataBar>
      <extLst>
        <ext xmlns:x14="http://schemas.microsoft.com/office/spreadsheetml/2009/9/main" uri="{B025F937-C7B1-47D3-B67F-A62EFF666E3E}">
          <x14:id>{8A701A28-BEE7-4685-A106-1E21A5D50016}</x14:id>
        </ext>
      </extLst>
    </cfRule>
  </conditionalFormatting>
  <conditionalFormatting sqref="AE4:AE21">
    <cfRule type="dataBar" priority="5508">
      <dataBar>
        <cfvo type="min"/>
        <cfvo type="max"/>
        <color rgb="FFFFB628"/>
      </dataBar>
      <extLst>
        <ext xmlns:x14="http://schemas.microsoft.com/office/spreadsheetml/2009/9/main" uri="{B025F937-C7B1-47D3-B67F-A62EFF666E3E}">
          <x14:id>{4A4E0EAD-1591-4283-BC72-31C016420761}</x14:id>
        </ext>
      </extLst>
    </cfRule>
  </conditionalFormatting>
  <conditionalFormatting sqref="AG4:AH21">
    <cfRule type="colorScale" priority="5510">
      <colorScale>
        <cfvo type="min"/>
        <cfvo type="percentile" val="50"/>
        <cfvo type="max"/>
        <color rgb="FFF8696B"/>
        <color rgb="FFFFEB84"/>
        <color rgb="FF63BE7B"/>
      </colorScale>
    </cfRule>
  </conditionalFormatting>
  <conditionalFormatting sqref="AI4:AK21">
    <cfRule type="colorScale" priority="5512">
      <colorScale>
        <cfvo type="min"/>
        <cfvo type="percentile" val="50"/>
        <cfvo type="max"/>
        <color rgb="FFF8696B"/>
        <color rgb="FFFFEB84"/>
        <color rgb="FF63BE7B"/>
      </colorScale>
    </cfRule>
  </conditionalFormatting>
  <conditionalFormatting sqref="AL4:AL21">
    <cfRule type="colorScale" priority="5514">
      <colorScale>
        <cfvo type="min"/>
        <cfvo type="percentile" val="50"/>
        <cfvo type="max"/>
        <color rgb="FFF8696B"/>
        <color rgb="FFFFEB84"/>
        <color rgb="FF63BE7B"/>
      </colorScale>
    </cfRule>
  </conditionalFormatting>
  <conditionalFormatting sqref="AM4:AM21">
    <cfRule type="colorScale" priority="5516">
      <colorScale>
        <cfvo type="min"/>
        <cfvo type="percentile" val="50"/>
        <cfvo type="max"/>
        <color rgb="FFF8696B"/>
        <color rgb="FFFFEB84"/>
        <color rgb="FF63BE7B"/>
      </colorScale>
    </cfRule>
  </conditionalFormatting>
  <conditionalFormatting sqref="AN4:AO21">
    <cfRule type="colorScale" priority="5518">
      <colorScale>
        <cfvo type="min"/>
        <cfvo type="percentile" val="50"/>
        <cfvo type="max"/>
        <color rgb="FFF8696B"/>
        <color rgb="FFFFEB84"/>
        <color rgb="FF63BE7B"/>
      </colorScale>
    </cfRule>
  </conditionalFormatting>
  <conditionalFormatting sqref="N4:N21">
    <cfRule type="colorScale" priority="5520">
      <colorScale>
        <cfvo type="min"/>
        <cfvo type="percentile" val="50"/>
        <cfvo type="max"/>
        <color rgb="FFF8696B"/>
        <color rgb="FFFFEB84"/>
        <color rgb="FF63BE7B"/>
      </colorScale>
    </cfRule>
  </conditionalFormatting>
  <conditionalFormatting sqref="X4:AD21">
    <cfRule type="colorScale" priority="5522">
      <colorScale>
        <cfvo type="min"/>
        <cfvo type="max"/>
        <color rgb="FFFCFCFF"/>
        <color rgb="FFF8696B"/>
      </colorScale>
    </cfRule>
  </conditionalFormatting>
  <conditionalFormatting sqref="AT4:AT21">
    <cfRule type="dataBar" priority="1">
      <dataBar>
        <cfvo type="min"/>
        <cfvo type="max"/>
        <color rgb="FF63C384"/>
      </dataBar>
      <extLst>
        <ext xmlns:x14="http://schemas.microsoft.com/office/spreadsheetml/2009/9/main" uri="{B025F937-C7B1-47D3-B67F-A62EFF666E3E}">
          <x14:id>{35C025B7-B9E9-44F6-9EE5-C3456C5F6261}</x14:id>
        </ext>
      </extLs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61B66F88-D82F-4C7B-B844-D73BEB5FAE97}">
            <x14:dataBar minLength="0" maxLength="100" border="1" negativeBarBorderColorSameAsPositive="0">
              <x14:cfvo type="autoMin"/>
              <x14:cfvo type="autoMax"/>
              <x14:borderColor rgb="FFFFB628"/>
              <x14:negativeFillColor rgb="FFFF0000"/>
              <x14:negativeBorderColor rgb="FFFF0000"/>
              <x14:axisColor rgb="FF000000"/>
            </x14:dataBar>
          </x14:cfRule>
          <xm:sqref>W6</xm:sqref>
        </x14:conditionalFormatting>
        <x14:conditionalFormatting xmlns:xm="http://schemas.microsoft.com/office/excel/2006/main">
          <x14:cfRule type="dataBar" id="{C47240AB-C06C-4E01-8AC1-FE97A718F197}">
            <x14:dataBar minLength="0" maxLength="100" border="1" negativeBarBorderColorSameAsPositive="0">
              <x14:cfvo type="autoMin"/>
              <x14:cfvo type="autoMax"/>
              <x14:borderColor rgb="FF638EC6"/>
              <x14:negativeFillColor rgb="FFFF0000"/>
              <x14:negativeBorderColor rgb="FFFF0000"/>
              <x14:axisColor rgb="FF000000"/>
            </x14:dataBar>
          </x14:cfRule>
          <xm:sqref>AF6</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W7:W21 W4:W5</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AF7:AF21 AF4:AF5</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T4:T21</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U4:U21</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V4:V21</xm:sqref>
        </x14:conditionalFormatting>
        <x14:conditionalFormatting xmlns:xm="http://schemas.microsoft.com/office/excel/2006/main">
          <x14:cfRule type="dataBar" id="{4A4E0EAD-1591-4283-BC72-31C016420761}">
            <x14:dataBar minLength="0" maxLength="100" border="1" negativeBarBorderColorSameAsPositive="0">
              <x14:cfvo type="autoMin"/>
              <x14:cfvo type="autoMax"/>
              <x14:borderColor rgb="FFFFB628"/>
              <x14:negativeFillColor rgb="FFFF0000"/>
              <x14:negativeBorderColor rgb="FFFF0000"/>
              <x14:axisColor rgb="FF000000"/>
            </x14:dataBar>
          </x14:cfRule>
          <xm:sqref>AE4:AE21</xm:sqref>
        </x14:conditionalFormatting>
        <x14:conditionalFormatting xmlns:xm="http://schemas.microsoft.com/office/excel/2006/main">
          <x14:cfRule type="dataBar" id="{35C025B7-B9E9-44F6-9EE5-C3456C5F6261}">
            <x14:dataBar minLength="0" maxLength="100" border="1" negativeBarBorderColorSameAsPositive="0">
              <x14:cfvo type="autoMin"/>
              <x14:cfvo type="autoMax"/>
              <x14:borderColor rgb="FF63C384"/>
              <x14:negativeFillColor rgb="FFFF0000"/>
              <x14:negativeBorderColor rgb="FFFF0000"/>
              <x14:axisColor rgb="FF000000"/>
            </x14:dataBar>
          </x14:cfRule>
          <xm:sqref>AT4:AT21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Resistencia</vt:lpstr>
      <vt:lpstr>TL_v1</vt:lpstr>
      <vt:lpstr>CA_v1</vt:lpstr>
      <vt:lpstr>CA_v2</vt:lpstr>
      <vt:lpstr>CambioENTRENADOR</vt:lpstr>
      <vt:lpstr>Planning_Entrenador</vt:lpstr>
      <vt:lpstr>Hall_of_Fame</vt:lpstr>
      <vt:lpstr>CA_v3</vt:lpstr>
      <vt:lpstr>PLANTILLA</vt:lpstr>
      <vt:lpstr>CAPITAN</vt:lpstr>
      <vt:lpstr>Evaluacion Jugadores</vt:lpstr>
      <vt:lpstr>Rendimiento_ENTRENAMIENTO</vt:lpstr>
      <vt:lpstr>Calculador de Sueldo</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2019-03-15T17:36:33Z</dcterms:modified>
</cp:coreProperties>
</file>