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 filterPrivacy="1"/>
  <xr:revisionPtr revIDLastSave="0" documentId="13_ncr:1_{8354DF2C-B9D9-45C3-9200-D6F24BAFEFEA}" xr6:coauthVersionLast="33" xr6:coauthVersionMax="33" xr10:uidLastSave="{00000000-0000-0000-0000-000000000000}"/>
  <bookViews>
    <workbookView xWindow="0" yWindow="0" windowWidth="22260" windowHeight="12645" xr2:uid="{00000000-000D-0000-FFFF-FFFF00000000}"/>
  </bookViews>
  <sheets>
    <sheet name="PLANTILLA" sheetId="2" r:id="rId1"/>
    <sheet name="Economia" sheetId="4" r:id="rId2"/>
    <sheet name="EscolaJedi" sheetId="3" r:id="rId3"/>
    <sheet name="Ahch-To" sheetId="1" r:id="rId4"/>
  </sheets>
  <externalReferences>
    <externalReference r:id="rId5"/>
  </externalReferenc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3" l="1"/>
  <c r="E24" i="3"/>
  <c r="E25" i="3"/>
  <c r="E26" i="3"/>
  <c r="E27" i="3"/>
  <c r="E13" i="3"/>
  <c r="A30" i="3"/>
  <c r="A31" i="3" s="1"/>
  <c r="W27" i="3"/>
  <c r="W26" i="3"/>
  <c r="W25" i="3"/>
  <c r="W24" i="3"/>
  <c r="W23" i="3"/>
  <c r="W22" i="3"/>
  <c r="W21" i="3"/>
  <c r="W20" i="3"/>
  <c r="W19" i="3"/>
  <c r="W18" i="3"/>
  <c r="W15" i="3"/>
  <c r="W14" i="3"/>
  <c r="W13" i="3"/>
  <c r="AH8" i="3"/>
  <c r="AH11" i="3" s="1"/>
  <c r="W17" i="3"/>
  <c r="W16" i="3"/>
  <c r="Z5" i="3"/>
  <c r="Z8" i="3" s="1"/>
  <c r="Z11" i="3" s="1"/>
  <c r="X5" i="3"/>
  <c r="X8" i="3" s="1"/>
  <c r="X11" i="3" s="1"/>
  <c r="W5" i="3"/>
  <c r="W8" i="3" s="1"/>
  <c r="W11" i="3" s="1"/>
  <c r="V5" i="3"/>
  <c r="V8" i="3" s="1"/>
  <c r="V11" i="3" s="1"/>
  <c r="U5" i="3"/>
  <c r="U8" i="3" s="1"/>
  <c r="U11" i="3" s="1"/>
  <c r="F5" i="3"/>
  <c r="F8" i="3" s="1"/>
  <c r="F11" i="3" s="1"/>
  <c r="F17" i="4"/>
  <c r="G17" i="4" s="1"/>
  <c r="H17" i="4" s="1"/>
  <c r="I17" i="4" s="1"/>
  <c r="J17" i="4" s="1"/>
  <c r="K17" i="4" s="1"/>
  <c r="L17" i="4" s="1"/>
  <c r="M17" i="4" s="1"/>
  <c r="N17" i="4" s="1"/>
  <c r="O17" i="4" s="1"/>
  <c r="P17" i="4" s="1"/>
  <c r="Q17" i="4" s="1"/>
  <c r="R17" i="4" s="1"/>
  <c r="S17" i="4" s="1"/>
  <c r="F18" i="4"/>
  <c r="G18" i="4"/>
  <c r="H18" i="4" s="1"/>
  <c r="I18" i="4" s="1"/>
  <c r="J18" i="4" s="1"/>
  <c r="K18" i="4" s="1"/>
  <c r="L18" i="4" s="1"/>
  <c r="M18" i="4" s="1"/>
  <c r="N18" i="4" s="1"/>
  <c r="O18" i="4" s="1"/>
  <c r="P18" i="4" s="1"/>
  <c r="Q18" i="4" s="1"/>
  <c r="R18" i="4" s="1"/>
  <c r="S18" i="4" s="1"/>
  <c r="F19" i="4"/>
  <c r="G19" i="4"/>
  <c r="H19" i="4"/>
  <c r="I19" i="4"/>
  <c r="J19" i="4" s="1"/>
  <c r="K19" i="4" s="1"/>
  <c r="L19" i="4" s="1"/>
  <c r="M19" i="4" s="1"/>
  <c r="N19" i="4" s="1"/>
  <c r="O19" i="4" s="1"/>
  <c r="P19" i="4" s="1"/>
  <c r="Q19" i="4" s="1"/>
  <c r="R19" i="4" s="1"/>
  <c r="S19" i="4" s="1"/>
  <c r="F20" i="4"/>
  <c r="G20" i="4"/>
  <c r="H20" i="4" s="1"/>
  <c r="I20" i="4" s="1"/>
  <c r="J20" i="4" s="1"/>
  <c r="K20" i="4" s="1"/>
  <c r="L20" i="4" s="1"/>
  <c r="M20" i="4" s="1"/>
  <c r="N20" i="4" s="1"/>
  <c r="O20" i="4" s="1"/>
  <c r="P20" i="4" s="1"/>
  <c r="Q20" i="4" s="1"/>
  <c r="R20" i="4" s="1"/>
  <c r="S20" i="4" s="1"/>
  <c r="F22" i="4"/>
  <c r="G22" i="4" s="1"/>
  <c r="H22" i="4" s="1"/>
  <c r="I22" i="4" s="1"/>
  <c r="J22" i="4" s="1"/>
  <c r="K22" i="4" s="1"/>
  <c r="L22" i="4" s="1"/>
  <c r="M22" i="4" s="1"/>
  <c r="N22" i="4" s="1"/>
  <c r="O22" i="4" s="1"/>
  <c r="P22" i="4" s="1"/>
  <c r="Q22" i="4" s="1"/>
  <c r="R22" i="4" s="1"/>
  <c r="S22" i="4" s="1"/>
  <c r="S7" i="4"/>
  <c r="F7" i="4"/>
  <c r="F26" i="4" s="1"/>
  <c r="G7" i="4"/>
  <c r="H7" i="4" s="1"/>
  <c r="E7" i="4"/>
  <c r="E13" i="4" s="1"/>
  <c r="S42" i="4"/>
  <c r="R42" i="4"/>
  <c r="Q42" i="4"/>
  <c r="P42" i="4"/>
  <c r="O42" i="4"/>
  <c r="N42" i="4"/>
  <c r="M42" i="4"/>
  <c r="L42" i="4"/>
  <c r="K42" i="4"/>
  <c r="J42" i="4"/>
  <c r="I42" i="4"/>
  <c r="H42" i="4"/>
  <c r="G42" i="4"/>
  <c r="F42" i="4"/>
  <c r="E42" i="4"/>
  <c r="D42" i="4"/>
  <c r="S29" i="4"/>
  <c r="R29" i="4"/>
  <c r="Q29" i="4"/>
  <c r="O29" i="4"/>
  <c r="N29" i="4"/>
  <c r="M29" i="4"/>
  <c r="L29" i="4"/>
  <c r="K29" i="4"/>
  <c r="J29" i="4"/>
  <c r="I29" i="4"/>
  <c r="H29" i="4"/>
  <c r="G29" i="4"/>
  <c r="F29" i="4"/>
  <c r="E29" i="4"/>
  <c r="D29" i="4"/>
  <c r="E26" i="4"/>
  <c r="D26" i="4"/>
  <c r="D22" i="4"/>
  <c r="E22" i="4" s="1"/>
  <c r="B22" i="4"/>
  <c r="C21" i="4"/>
  <c r="D20" i="4"/>
  <c r="E20" i="4" s="1"/>
  <c r="D19" i="4"/>
  <c r="E18" i="4"/>
  <c r="D18" i="4"/>
  <c r="B18" i="4"/>
  <c r="E17" i="4"/>
  <c r="B17" i="4"/>
  <c r="I15" i="4"/>
  <c r="D23" i="4"/>
  <c r="B15" i="4"/>
  <c r="B14" i="4"/>
  <c r="D13" i="4"/>
  <c r="C12" i="4"/>
  <c r="C11" i="4"/>
  <c r="C10" i="4"/>
  <c r="P29" i="4"/>
  <c r="C8" i="4"/>
  <c r="E4" i="4"/>
  <c r="F4" i="4" s="1"/>
  <c r="G4" i="4" s="1"/>
  <c r="H4" i="4" s="1"/>
  <c r="I4" i="4" s="1"/>
  <c r="J4" i="4" s="1"/>
  <c r="K4" i="4" s="1"/>
  <c r="L4" i="4" s="1"/>
  <c r="M4" i="4" s="1"/>
  <c r="N4" i="4" s="1"/>
  <c r="O4" i="4" s="1"/>
  <c r="P4" i="4" s="1"/>
  <c r="Q4" i="4" s="1"/>
  <c r="R4" i="4" s="1"/>
  <c r="S4" i="4" s="1"/>
  <c r="E2" i="4"/>
  <c r="F2" i="4" s="1"/>
  <c r="G2" i="4" s="1"/>
  <c r="H2" i="4" s="1"/>
  <c r="I2" i="4" s="1"/>
  <c r="J2" i="4" s="1"/>
  <c r="K2" i="4" s="1"/>
  <c r="L2" i="4" s="1"/>
  <c r="M2" i="4" s="1"/>
  <c r="N2" i="4" s="1"/>
  <c r="O2" i="4" s="1"/>
  <c r="P2" i="4" s="1"/>
  <c r="Q2" i="4" s="1"/>
  <c r="R2" i="4" s="1"/>
  <c r="S2" i="4" s="1"/>
  <c r="D25" i="4"/>
  <c r="E25" i="4" s="1"/>
  <c r="F25" i="4" s="1"/>
  <c r="G25" i="4" s="1"/>
  <c r="H25" i="4" s="1"/>
  <c r="I25" i="4" s="1"/>
  <c r="J25" i="4" s="1"/>
  <c r="K25" i="4" s="1"/>
  <c r="L25" i="4" s="1"/>
  <c r="M25" i="4" s="1"/>
  <c r="N25" i="4" s="1"/>
  <c r="O25" i="4" s="1"/>
  <c r="P25" i="4" s="1"/>
  <c r="Q25" i="4" s="1"/>
  <c r="R25" i="4" s="1"/>
  <c r="S25" i="4" s="1"/>
  <c r="D1" i="2"/>
  <c r="C27" i="3" l="1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8" i="4"/>
  <c r="H26" i="4"/>
  <c r="I7" i="4"/>
  <c r="H13" i="4"/>
  <c r="F13" i="4"/>
  <c r="G26" i="4"/>
  <c r="G13" i="4"/>
  <c r="H27" i="4"/>
  <c r="H28" i="4" s="1"/>
  <c r="C9" i="4"/>
  <c r="J15" i="4"/>
  <c r="S26" i="4"/>
  <c r="D30" i="4"/>
  <c r="D31" i="4" s="1"/>
  <c r="C14" i="4"/>
  <c r="E19" i="4"/>
  <c r="D5" i="4"/>
  <c r="D24" i="4" s="1"/>
  <c r="E5" i="4" s="1"/>
  <c r="C6" i="4"/>
  <c r="S13" i="4"/>
  <c r="C22" i="4"/>
  <c r="D27" i="4"/>
  <c r="D28" i="4" s="1"/>
  <c r="F15" i="4"/>
  <c r="G15" i="4" s="1"/>
  <c r="I27" i="4" l="1"/>
  <c r="I28" i="4" s="1"/>
  <c r="C17" i="4"/>
  <c r="E27" i="4"/>
  <c r="E28" i="4" s="1"/>
  <c r="J7" i="4"/>
  <c r="I26" i="4"/>
  <c r="I13" i="4"/>
  <c r="E23" i="4"/>
  <c r="E24" i="4" s="1"/>
  <c r="F5" i="4" s="1"/>
  <c r="E30" i="4"/>
  <c r="E31" i="4" s="1"/>
  <c r="C20" i="4"/>
  <c r="G27" i="4"/>
  <c r="G28" i="4" s="1"/>
  <c r="J27" i="4"/>
  <c r="K15" i="4"/>
  <c r="F27" i="4"/>
  <c r="F28" i="4" s="1"/>
  <c r="F23" i="4"/>
  <c r="C29" i="4"/>
  <c r="F24" i="4" l="1"/>
  <c r="G5" i="4" s="1"/>
  <c r="J26" i="4"/>
  <c r="J28" i="4" s="1"/>
  <c r="K7" i="4"/>
  <c r="J13" i="4"/>
  <c r="K27" i="4"/>
  <c r="L15" i="4"/>
  <c r="F30" i="4"/>
  <c r="F31" i="4" s="1"/>
  <c r="L7" i="4" l="1"/>
  <c r="K13" i="4"/>
  <c r="K26" i="4"/>
  <c r="K28" i="4" s="1"/>
  <c r="M15" i="4"/>
  <c r="L27" i="4"/>
  <c r="G30" i="4"/>
  <c r="G31" i="4" s="1"/>
  <c r="G23" i="4"/>
  <c r="L13" i="4" l="1"/>
  <c r="L26" i="4"/>
  <c r="L28" i="4" s="1"/>
  <c r="M7" i="4"/>
  <c r="H30" i="4"/>
  <c r="H31" i="4" s="1"/>
  <c r="H23" i="4"/>
  <c r="G24" i="4"/>
  <c r="H5" i="4" s="1"/>
  <c r="M27" i="4"/>
  <c r="N15" i="4"/>
  <c r="H24" i="4" l="1"/>
  <c r="I5" i="4" s="1"/>
  <c r="M13" i="4"/>
  <c r="N7" i="4"/>
  <c r="M26" i="4"/>
  <c r="M28" i="4" s="1"/>
  <c r="N27" i="4"/>
  <c r="O15" i="4"/>
  <c r="I30" i="4"/>
  <c r="I31" i="4" s="1"/>
  <c r="I23" i="4"/>
  <c r="I24" i="4" s="1"/>
  <c r="J5" i="4" s="1"/>
  <c r="O7" i="4" l="1"/>
  <c r="N13" i="4"/>
  <c r="N26" i="4"/>
  <c r="N28" i="4" s="1"/>
  <c r="J23" i="4"/>
  <c r="J24" i="4" s="1"/>
  <c r="K5" i="4" s="1"/>
  <c r="J30" i="4"/>
  <c r="J31" i="4" s="1"/>
  <c r="O27" i="4"/>
  <c r="P15" i="4"/>
  <c r="O28" i="4" l="1"/>
  <c r="P7" i="4"/>
  <c r="O13" i="4"/>
  <c r="O26" i="4"/>
  <c r="Q15" i="4"/>
  <c r="P27" i="4"/>
  <c r="K23" i="4"/>
  <c r="K24" i="4" s="1"/>
  <c r="L5" i="4" s="1"/>
  <c r="K30" i="4"/>
  <c r="K31" i="4" s="1"/>
  <c r="Q7" i="4" l="1"/>
  <c r="P26" i="4"/>
  <c r="P28" i="4" s="1"/>
  <c r="P13" i="4"/>
  <c r="L23" i="4"/>
  <c r="L24" i="4" s="1"/>
  <c r="M5" i="4" s="1"/>
  <c r="L30" i="4"/>
  <c r="L31" i="4" s="1"/>
  <c r="Q27" i="4"/>
  <c r="R15" i="4"/>
  <c r="R7" i="4" l="1"/>
  <c r="Q13" i="4"/>
  <c r="Q26" i="4"/>
  <c r="Q28" i="4" s="1"/>
  <c r="M23" i="4"/>
  <c r="M24" i="4" s="1"/>
  <c r="N5" i="4" s="1"/>
  <c r="M30" i="4"/>
  <c r="M31" i="4" s="1"/>
  <c r="R27" i="4"/>
  <c r="S15" i="4"/>
  <c r="R13" i="4" l="1"/>
  <c r="C13" i="4" s="1"/>
  <c r="R26" i="4"/>
  <c r="R28" i="4" s="1"/>
  <c r="C7" i="4"/>
  <c r="C16" i="4"/>
  <c r="N30" i="4"/>
  <c r="N31" i="4" s="1"/>
  <c r="N23" i="4"/>
  <c r="N24" i="4" s="1"/>
  <c r="O5" i="4" s="1"/>
  <c r="S27" i="4"/>
  <c r="S28" i="4" s="1"/>
  <c r="C15" i="4"/>
  <c r="Z7" i="4" l="1"/>
  <c r="C26" i="4"/>
  <c r="Z11" i="4"/>
  <c r="Z9" i="4"/>
  <c r="Z10" i="4"/>
  <c r="Z6" i="4"/>
  <c r="Z12" i="4"/>
  <c r="Y14" i="4"/>
  <c r="Z8" i="4"/>
  <c r="O30" i="4"/>
  <c r="O31" i="4" s="1"/>
  <c r="O23" i="4"/>
  <c r="O24" i="4" s="1"/>
  <c r="P5" i="4" s="1"/>
  <c r="C27" i="4"/>
  <c r="C28" i="4" l="1"/>
  <c r="Z13" i="4"/>
  <c r="P23" i="4"/>
  <c r="P24" i="4" s="1"/>
  <c r="Q5" i="4" s="1"/>
  <c r="P30" i="4"/>
  <c r="P31" i="4" s="1"/>
  <c r="Q30" i="4" l="1"/>
  <c r="Q31" i="4" s="1"/>
  <c r="Q23" i="4"/>
  <c r="Q24" i="4" s="1"/>
  <c r="R5" i="4" s="1"/>
  <c r="R23" i="4" l="1"/>
  <c r="R24" i="4" s="1"/>
  <c r="S5" i="4" s="1"/>
  <c r="R30" i="4"/>
  <c r="R31" i="4" s="1"/>
  <c r="C19" i="4" l="1"/>
  <c r="S30" i="4"/>
  <c r="S31" i="4" s="1"/>
  <c r="S23" i="4"/>
  <c r="C23" i="4" s="1"/>
  <c r="Y34" i="4" l="1"/>
  <c r="Z30" i="4"/>
  <c r="Z27" i="4"/>
  <c r="Z26" i="4"/>
  <c r="Z31" i="4"/>
  <c r="Z23" i="4"/>
  <c r="Z29" i="4"/>
  <c r="C24" i="4"/>
  <c r="Z25" i="4"/>
  <c r="Z24" i="4"/>
  <c r="Z28" i="4"/>
  <c r="C30" i="4"/>
  <c r="C31" i="4" s="1"/>
  <c r="S24" i="4"/>
  <c r="Z32" i="4" l="1"/>
  <c r="AY6" i="2" l="1"/>
  <c r="AY7" i="2"/>
  <c r="AY8" i="2"/>
  <c r="AY12" i="2"/>
  <c r="AY10" i="2"/>
  <c r="AY4" i="2"/>
  <c r="AY11" i="2"/>
  <c r="AY9" i="2"/>
  <c r="AY13" i="2"/>
  <c r="AY14" i="2"/>
  <c r="AY15" i="2"/>
  <c r="AY16" i="2"/>
  <c r="AY18" i="2"/>
  <c r="AY17" i="2"/>
  <c r="AY5" i="2"/>
  <c r="X23" i="2"/>
  <c r="V23" i="2"/>
  <c r="AY22" i="2"/>
  <c r="J22" i="2"/>
  <c r="Y22" i="2"/>
  <c r="W22" i="2"/>
  <c r="U22" i="2"/>
  <c r="T22" i="2"/>
  <c r="AG22" i="2"/>
  <c r="Q22" i="2"/>
  <c r="O22" i="2"/>
  <c r="N22" i="2"/>
  <c r="M22" i="2"/>
  <c r="AY21" i="2"/>
  <c r="J21" i="2"/>
  <c r="Y21" i="2"/>
  <c r="W21" i="2"/>
  <c r="U21" i="2"/>
  <c r="T21" i="2"/>
  <c r="AG21" i="2"/>
  <c r="Q21" i="2"/>
  <c r="O21" i="2"/>
  <c r="N21" i="2"/>
  <c r="M21" i="2"/>
  <c r="AY20" i="2"/>
  <c r="J20" i="2"/>
  <c r="Y20" i="2"/>
  <c r="W20" i="2"/>
  <c r="U20" i="2"/>
  <c r="T20" i="2"/>
  <c r="Q20" i="2"/>
  <c r="O20" i="2"/>
  <c r="N20" i="2"/>
  <c r="M20" i="2"/>
  <c r="AY19" i="2"/>
  <c r="J19" i="2"/>
  <c r="Y19" i="2"/>
  <c r="W19" i="2"/>
  <c r="U19" i="2"/>
  <c r="T19" i="2"/>
  <c r="Q19" i="2"/>
  <c r="O19" i="2"/>
  <c r="N19" i="2"/>
  <c r="M19" i="2"/>
  <c r="J17" i="2"/>
  <c r="Y17" i="2"/>
  <c r="W17" i="2"/>
  <c r="U17" i="2"/>
  <c r="T17" i="2"/>
  <c r="Q17" i="2"/>
  <c r="O17" i="2"/>
  <c r="N17" i="2"/>
  <c r="M17" i="2"/>
  <c r="J18" i="2"/>
  <c r="Y18" i="2"/>
  <c r="W18" i="2"/>
  <c r="U18" i="2"/>
  <c r="T18" i="2"/>
  <c r="AG18" i="2"/>
  <c r="Q18" i="2"/>
  <c r="O18" i="2"/>
  <c r="N18" i="2"/>
  <c r="M18" i="2"/>
  <c r="J16" i="2"/>
  <c r="Y16" i="2"/>
  <c r="W16" i="2"/>
  <c r="U16" i="2"/>
  <c r="T16" i="2"/>
  <c r="Q16" i="2"/>
  <c r="O16" i="2"/>
  <c r="N16" i="2"/>
  <c r="M16" i="2"/>
  <c r="J15" i="2"/>
  <c r="Y15" i="2"/>
  <c r="W15" i="2"/>
  <c r="U15" i="2"/>
  <c r="T15" i="2"/>
  <c r="Q15" i="2"/>
  <c r="O15" i="2"/>
  <c r="N15" i="2"/>
  <c r="M15" i="2"/>
  <c r="J14" i="2"/>
  <c r="Y14" i="2"/>
  <c r="W14" i="2"/>
  <c r="U14" i="2"/>
  <c r="T14" i="2"/>
  <c r="Q14" i="2"/>
  <c r="O14" i="2"/>
  <c r="N14" i="2"/>
  <c r="M14" i="2"/>
  <c r="J13" i="2"/>
  <c r="Y13" i="2"/>
  <c r="W13" i="2"/>
  <c r="U13" i="2"/>
  <c r="T13" i="2"/>
  <c r="AG13" i="2"/>
  <c r="Q13" i="2"/>
  <c r="O13" i="2"/>
  <c r="N13" i="2"/>
  <c r="M13" i="2"/>
  <c r="J9" i="2"/>
  <c r="AG9" i="2"/>
  <c r="Y9" i="2"/>
  <c r="W9" i="2"/>
  <c r="U9" i="2"/>
  <c r="T9" i="2"/>
  <c r="Q9" i="2"/>
  <c r="O9" i="2"/>
  <c r="N9" i="2"/>
  <c r="M9" i="2"/>
  <c r="J11" i="2"/>
  <c r="AH11" i="2"/>
  <c r="AG11" i="2"/>
  <c r="Y11" i="2"/>
  <c r="W11" i="2"/>
  <c r="U11" i="2"/>
  <c r="T11" i="2"/>
  <c r="Q11" i="2"/>
  <c r="O11" i="2"/>
  <c r="N11" i="2"/>
  <c r="M11" i="2"/>
  <c r="AD11" i="2" s="1"/>
  <c r="J4" i="2"/>
  <c r="AH4" i="2"/>
  <c r="AG4" i="2"/>
  <c r="Y4" i="2"/>
  <c r="W4" i="2"/>
  <c r="U4" i="2"/>
  <c r="T4" i="2"/>
  <c r="Q4" i="2"/>
  <c r="O4" i="2"/>
  <c r="N4" i="2"/>
  <c r="M4" i="2"/>
  <c r="AC4" i="2" s="1"/>
  <c r="J10" i="2"/>
  <c r="AG10" i="2"/>
  <c r="Y10" i="2"/>
  <c r="W10" i="2"/>
  <c r="U10" i="2"/>
  <c r="T10" i="2"/>
  <c r="Q10" i="2"/>
  <c r="O10" i="2"/>
  <c r="N10" i="2"/>
  <c r="M10" i="2"/>
  <c r="J12" i="2"/>
  <c r="AH12" i="2"/>
  <c r="AG12" i="2"/>
  <c r="Y12" i="2"/>
  <c r="W12" i="2"/>
  <c r="U12" i="2"/>
  <c r="T12" i="2"/>
  <c r="Q12" i="2"/>
  <c r="O12" i="2"/>
  <c r="N12" i="2"/>
  <c r="M12" i="2"/>
  <c r="AF12" i="2" s="1"/>
  <c r="J8" i="2"/>
  <c r="AH8" i="2"/>
  <c r="AG8" i="2"/>
  <c r="Y8" i="2"/>
  <c r="W8" i="2"/>
  <c r="U8" i="2"/>
  <c r="T8" i="2"/>
  <c r="Q8" i="2"/>
  <c r="O8" i="2"/>
  <c r="N8" i="2"/>
  <c r="M8" i="2"/>
  <c r="Z8" i="2" s="1"/>
  <c r="J7" i="2"/>
  <c r="Y7" i="2"/>
  <c r="W7" i="2"/>
  <c r="U7" i="2"/>
  <c r="T7" i="2"/>
  <c r="Q7" i="2"/>
  <c r="O7" i="2"/>
  <c r="N7" i="2"/>
  <c r="M7" i="2"/>
  <c r="AB7" i="2" s="1"/>
  <c r="J6" i="2"/>
  <c r="AH6" i="2"/>
  <c r="AG6" i="2"/>
  <c r="Y6" i="2"/>
  <c r="W6" i="2"/>
  <c r="U6" i="2"/>
  <c r="T6" i="2"/>
  <c r="Q6" i="2"/>
  <c r="O6" i="2"/>
  <c r="N6" i="2"/>
  <c r="M6" i="2"/>
  <c r="AA6" i="2" s="1"/>
  <c r="J5" i="2"/>
  <c r="Y5" i="2"/>
  <c r="W5" i="2"/>
  <c r="U5" i="2"/>
  <c r="T5" i="2"/>
  <c r="Q5" i="2"/>
  <c r="O5" i="2"/>
  <c r="N5" i="2"/>
  <c r="M5" i="2"/>
  <c r="X2" i="2"/>
  <c r="V2" i="2"/>
  <c r="S2" i="2"/>
  <c r="P2" i="2"/>
  <c r="L2" i="2"/>
  <c r="I11" i="1"/>
  <c r="I12" i="1"/>
  <c r="I13" i="1"/>
  <c r="I10" i="1"/>
  <c r="H9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B21" i="1"/>
  <c r="B25" i="1" s="1"/>
  <c r="B29" i="1" s="1"/>
  <c r="B20" i="1"/>
  <c r="B19" i="1"/>
  <c r="B18" i="1"/>
  <c r="D16" i="1"/>
  <c r="E16" i="1" s="1"/>
  <c r="F16" i="1" s="1"/>
  <c r="G16" i="1" s="1"/>
  <c r="H16" i="1" s="1"/>
  <c r="I16" i="1" s="1"/>
  <c r="J16" i="1" s="1"/>
  <c r="K16" i="1" s="1"/>
  <c r="L16" i="1" s="1"/>
  <c r="M16" i="1" s="1"/>
  <c r="N16" i="1" s="1"/>
  <c r="O16" i="1" s="1"/>
  <c r="P16" i="1" s="1"/>
  <c r="Q16" i="1" s="1"/>
  <c r="R16" i="1" s="1"/>
  <c r="S16" i="1" s="1"/>
  <c r="T16" i="1" s="1"/>
  <c r="U16" i="1" s="1"/>
  <c r="V16" i="1" s="1"/>
  <c r="W16" i="1" s="1"/>
  <c r="X16" i="1" s="1"/>
  <c r="Y16" i="1" s="1"/>
  <c r="Z16" i="1" s="1"/>
  <c r="AA16" i="1" s="1"/>
  <c r="AB16" i="1" s="1"/>
  <c r="AC16" i="1" s="1"/>
  <c r="AD16" i="1" s="1"/>
  <c r="C16" i="1"/>
  <c r="C23" i="1" s="1"/>
  <c r="AJ29" i="1"/>
  <c r="AH29" i="1"/>
  <c r="AF29" i="1"/>
  <c r="AJ28" i="1"/>
  <c r="AH28" i="1"/>
  <c r="AF28" i="1"/>
  <c r="AJ27" i="1"/>
  <c r="AH27" i="1"/>
  <c r="AF27" i="1"/>
  <c r="AJ26" i="1"/>
  <c r="AH26" i="1"/>
  <c r="AF26" i="1"/>
  <c r="B23" i="1"/>
  <c r="B27" i="1" s="1"/>
  <c r="B22" i="1"/>
  <c r="B26" i="1" s="1"/>
  <c r="Q13" i="1"/>
  <c r="L7" i="1" s="1"/>
  <c r="L8" i="1" s="1"/>
  <c r="O13" i="1"/>
  <c r="L5" i="1" s="1"/>
  <c r="N13" i="1"/>
  <c r="P12" i="1"/>
  <c r="E12" i="1"/>
  <c r="P11" i="1"/>
  <c r="E11" i="1"/>
  <c r="P10" i="1"/>
  <c r="E10" i="1"/>
  <c r="P9" i="1"/>
  <c r="E9" i="1"/>
  <c r="P8" i="1"/>
  <c r="P7" i="1"/>
  <c r="K7" i="1"/>
  <c r="K8" i="1" s="1"/>
  <c r="J7" i="1"/>
  <c r="I7" i="1"/>
  <c r="G7" i="1"/>
  <c r="E7" i="1"/>
  <c r="P6" i="1"/>
  <c r="K6" i="1"/>
  <c r="J6" i="1"/>
  <c r="I6" i="1"/>
  <c r="G6" i="1"/>
  <c r="E6" i="1"/>
  <c r="P5" i="1"/>
  <c r="K5" i="1"/>
  <c r="J5" i="1"/>
  <c r="I5" i="1"/>
  <c r="G5" i="1"/>
  <c r="E5" i="1"/>
  <c r="P4" i="1"/>
  <c r="L4" i="1"/>
  <c r="K4" i="1"/>
  <c r="J4" i="1"/>
  <c r="I4" i="1"/>
  <c r="G4" i="1"/>
  <c r="E4" i="1"/>
  <c r="P3" i="1"/>
  <c r="C3" i="1"/>
  <c r="C10" i="1" s="1"/>
  <c r="B3" i="1"/>
  <c r="P2" i="1"/>
  <c r="P13" i="1" s="1"/>
  <c r="L6" i="1" s="1"/>
  <c r="F22" i="2" l="1"/>
  <c r="C22" i="2" s="1"/>
  <c r="F19" i="2"/>
  <c r="C19" i="2" s="1"/>
  <c r="F21" i="2"/>
  <c r="C21" i="2" s="1"/>
  <c r="F20" i="2"/>
  <c r="C20" i="2" s="1"/>
  <c r="F17" i="2"/>
  <c r="C17" i="2" s="1"/>
  <c r="F18" i="2"/>
  <c r="C18" i="2" s="1"/>
  <c r="F16" i="2"/>
  <c r="C16" i="2" s="1"/>
  <c r="F15" i="2"/>
  <c r="C15" i="2" s="1"/>
  <c r="F13" i="2"/>
  <c r="C13" i="2" s="1"/>
  <c r="F14" i="2"/>
  <c r="C14" i="2" s="1"/>
  <c r="F9" i="2"/>
  <c r="C9" i="2" s="1"/>
  <c r="F11" i="2"/>
  <c r="C11" i="2" s="1"/>
  <c r="F4" i="2"/>
  <c r="C4" i="2" s="1"/>
  <c r="F10" i="2"/>
  <c r="C10" i="2" s="1"/>
  <c r="F12" i="2"/>
  <c r="C12" i="2" s="1"/>
  <c r="F8" i="2"/>
  <c r="C8" i="2" s="1"/>
  <c r="F7" i="2"/>
  <c r="C7" i="2" s="1"/>
  <c r="F6" i="2"/>
  <c r="C6" i="2" s="1"/>
  <c r="F5" i="2"/>
  <c r="C5" i="2" s="1"/>
  <c r="AB19" i="2"/>
  <c r="AB9" i="2"/>
  <c r="AB5" i="2"/>
  <c r="Y23" i="2"/>
  <c r="AC12" i="2"/>
  <c r="AF17" i="2"/>
  <c r="Z12" i="2"/>
  <c r="AF9" i="2"/>
  <c r="AC7" i="2"/>
  <c r="AD10" i="2"/>
  <c r="AH10" i="2"/>
  <c r="AA11" i="2"/>
  <c r="AA8" i="2"/>
  <c r="AE11" i="2"/>
  <c r="AH9" i="2"/>
  <c r="AF10" i="2"/>
  <c r="AA10" i="2"/>
  <c r="AF11" i="2"/>
  <c r="AE16" i="2"/>
  <c r="AB20" i="2"/>
  <c r="AD8" i="2"/>
  <c r="AB12" i="2"/>
  <c r="AF15" i="2"/>
  <c r="AC8" i="2"/>
  <c r="W23" i="2"/>
  <c r="AF8" i="2"/>
  <c r="Z10" i="2"/>
  <c r="AB4" i="2"/>
  <c r="U2" i="2"/>
  <c r="T2" i="2"/>
  <c r="AD7" i="2"/>
  <c r="AE12" i="2"/>
  <c r="AB10" i="2"/>
  <c r="AE9" i="2"/>
  <c r="AF14" i="2"/>
  <c r="AC20" i="2"/>
  <c r="AC16" i="2"/>
  <c r="AG14" i="2"/>
  <c r="AE19" i="2"/>
  <c r="AH19" i="2"/>
  <c r="AD13" i="2"/>
  <c r="AD17" i="2"/>
  <c r="AA18" i="2"/>
  <c r="AG16" i="2"/>
  <c r="AE5" i="2"/>
  <c r="Z14" i="2"/>
  <c r="Z21" i="2"/>
  <c r="AF22" i="2"/>
  <c r="AD14" i="2"/>
  <c r="AD21" i="2"/>
  <c r="AD5" i="2"/>
  <c r="AF5" i="2"/>
  <c r="AA17" i="2"/>
  <c r="Z19" i="2"/>
  <c r="AH5" i="2"/>
  <c r="AE17" i="2"/>
  <c r="AH21" i="2"/>
  <c r="AA13" i="2"/>
  <c r="AA14" i="2"/>
  <c r="AG17" i="2"/>
  <c r="AD19" i="2"/>
  <c r="Z20" i="2"/>
  <c r="AG15" i="2"/>
  <c r="Z13" i="2"/>
  <c r="AA15" i="2"/>
  <c r="AG19" i="2"/>
  <c r="Z15" i="2"/>
  <c r="AG5" i="2"/>
  <c r="AH13" i="2"/>
  <c r="AB15" i="2"/>
  <c r="AF16" i="2"/>
  <c r="AC17" i="2"/>
  <c r="AH15" i="2"/>
  <c r="AH16" i="2"/>
  <c r="Z5" i="2"/>
  <c r="AH14" i="2"/>
  <c r="AD15" i="2"/>
  <c r="Z16" i="2"/>
  <c r="AF18" i="2"/>
  <c r="Z17" i="2"/>
  <c r="AA21" i="2"/>
  <c r="Z6" i="2"/>
  <c r="AB6" i="2"/>
  <c r="AE7" i="2"/>
  <c r="AD4" i="2"/>
  <c r="Z9" i="2"/>
  <c r="AB13" i="2"/>
  <c r="AB14" i="2"/>
  <c r="AA16" i="2"/>
  <c r="Z18" i="2"/>
  <c r="AH18" i="2"/>
  <c r="AF19" i="2"/>
  <c r="AD20" i="2"/>
  <c r="AB21" i="2"/>
  <c r="Z22" i="2"/>
  <c r="AH22" i="2"/>
  <c r="AC6" i="2"/>
  <c r="AF7" i="2"/>
  <c r="AB8" i="2"/>
  <c r="AA12" i="2"/>
  <c r="AC10" i="2"/>
  <c r="AE4" i="2"/>
  <c r="Z11" i="2"/>
  <c r="AA9" i="2"/>
  <c r="AC13" i="2"/>
  <c r="AC14" i="2"/>
  <c r="AC15" i="2"/>
  <c r="AB16" i="2"/>
  <c r="AH17" i="2"/>
  <c r="AE20" i="2"/>
  <c r="AC21" i="2"/>
  <c r="AA22" i="2"/>
  <c r="AD6" i="2"/>
  <c r="AG7" i="2"/>
  <c r="AF4" i="2"/>
  <c r="AB18" i="2"/>
  <c r="AF20" i="2"/>
  <c r="AB22" i="2"/>
  <c r="AA5" i="2"/>
  <c r="AE6" i="2"/>
  <c r="Z7" i="2"/>
  <c r="AH7" i="2"/>
  <c r="AE10" i="2"/>
  <c r="AB11" i="2"/>
  <c r="AC9" i="2"/>
  <c r="AE13" i="2"/>
  <c r="AE14" i="2"/>
  <c r="AE15" i="2"/>
  <c r="AD16" i="2"/>
  <c r="AC18" i="2"/>
  <c r="AB17" i="2"/>
  <c r="AA19" i="2"/>
  <c r="AG20" i="2"/>
  <c r="AE21" i="2"/>
  <c r="AC22" i="2"/>
  <c r="AF6" i="2"/>
  <c r="AA7" i="2"/>
  <c r="AE8" i="2"/>
  <c r="AD12" i="2"/>
  <c r="Z4" i="2"/>
  <c r="AC11" i="2"/>
  <c r="AD9" i="2"/>
  <c r="AF13" i="2"/>
  <c r="AD18" i="2"/>
  <c r="AH20" i="2"/>
  <c r="AF21" i="2"/>
  <c r="AD22" i="2"/>
  <c r="AC5" i="2"/>
  <c r="AA4" i="2"/>
  <c r="AE18" i="2"/>
  <c r="AC19" i="2"/>
  <c r="AA20" i="2"/>
  <c r="AE22" i="2"/>
  <c r="C22" i="1"/>
  <c r="C25" i="1"/>
  <c r="J8" i="1"/>
  <c r="B30" i="1"/>
  <c r="C30" i="1" s="1"/>
  <c r="B24" i="1"/>
  <c r="B28" i="1" s="1"/>
  <c r="C24" i="1"/>
  <c r="C11" i="1"/>
  <c r="B17" i="1"/>
  <c r="C8" i="1"/>
  <c r="B12" i="1"/>
  <c r="C9" i="1"/>
  <c r="B31" i="1" l="1"/>
  <c r="B32" i="1" s="1"/>
  <c r="C17" i="1"/>
  <c r="B13" i="1"/>
  <c r="B10" i="1" s="1"/>
  <c r="D30" i="1"/>
  <c r="E30" i="1" s="1"/>
  <c r="C31" i="1"/>
  <c r="D24" i="1"/>
  <c r="D28" i="1" s="1"/>
  <c r="D23" i="1"/>
  <c r="D27" i="1" s="1"/>
  <c r="D25" i="1"/>
  <c r="D29" i="1" s="1"/>
  <c r="D17" i="1" l="1"/>
  <c r="D22" i="1"/>
  <c r="D26" i="1" s="1"/>
  <c r="D31" i="1" s="1"/>
  <c r="E31" i="1"/>
  <c r="F30" i="1"/>
  <c r="G30" i="1" s="1"/>
  <c r="B33" i="1"/>
  <c r="C32" i="1"/>
  <c r="E25" i="1"/>
  <c r="E24" i="1"/>
  <c r="E23" i="1"/>
  <c r="F24" i="1" l="1"/>
  <c r="F28" i="1" s="1"/>
  <c r="F23" i="1"/>
  <c r="F27" i="1" s="1"/>
  <c r="F25" i="1"/>
  <c r="F29" i="1" s="1"/>
  <c r="C33" i="1"/>
  <c r="D32" i="1"/>
  <c r="G31" i="1"/>
  <c r="H30" i="1"/>
  <c r="I30" i="1" s="1"/>
  <c r="E22" i="1"/>
  <c r="E17" i="1"/>
  <c r="J30" i="1" l="1"/>
  <c r="K30" i="1" s="1"/>
  <c r="I31" i="1"/>
  <c r="F17" i="1"/>
  <c r="F22" i="1"/>
  <c r="F26" i="1" s="1"/>
  <c r="F31" i="1" s="1"/>
  <c r="D33" i="1"/>
  <c r="E32" i="1"/>
  <c r="G23" i="1"/>
  <c r="G25" i="1"/>
  <c r="G24" i="1"/>
  <c r="H25" i="1" l="1"/>
  <c r="H29" i="1" s="1"/>
  <c r="H23" i="1"/>
  <c r="H27" i="1" s="1"/>
  <c r="H24" i="1"/>
  <c r="H28" i="1" s="1"/>
  <c r="E33" i="1"/>
  <c r="F32" i="1"/>
  <c r="L30" i="1"/>
  <c r="M30" i="1" s="1"/>
  <c r="K31" i="1"/>
  <c r="G17" i="1"/>
  <c r="G22" i="1"/>
  <c r="H22" i="1" l="1"/>
  <c r="H26" i="1" s="1"/>
  <c r="H31" i="1" s="1"/>
  <c r="H17" i="1"/>
  <c r="I23" i="1"/>
  <c r="I25" i="1"/>
  <c r="I24" i="1"/>
  <c r="M31" i="1"/>
  <c r="N30" i="1"/>
  <c r="O30" i="1" s="1"/>
  <c r="G32" i="1"/>
  <c r="F33" i="1"/>
  <c r="O31" i="1" l="1"/>
  <c r="P30" i="1"/>
  <c r="Q30" i="1" s="1"/>
  <c r="I17" i="1"/>
  <c r="I22" i="1"/>
  <c r="J24" i="1"/>
  <c r="J28" i="1" s="1"/>
  <c r="J25" i="1"/>
  <c r="J29" i="1" s="1"/>
  <c r="J23" i="1"/>
  <c r="J27" i="1" s="1"/>
  <c r="H32" i="1"/>
  <c r="G33" i="1"/>
  <c r="K25" i="1" l="1"/>
  <c r="K24" i="1"/>
  <c r="K23" i="1"/>
  <c r="J22" i="1"/>
  <c r="J26" i="1" s="1"/>
  <c r="J31" i="1" s="1"/>
  <c r="J17" i="1"/>
  <c r="I32" i="1"/>
  <c r="H33" i="1"/>
  <c r="R30" i="1"/>
  <c r="S30" i="1" s="1"/>
  <c r="Q31" i="1"/>
  <c r="K17" i="1" l="1"/>
  <c r="K22" i="1"/>
  <c r="L24" i="1"/>
  <c r="L28" i="1" s="1"/>
  <c r="L25" i="1"/>
  <c r="L29" i="1" s="1"/>
  <c r="L23" i="1"/>
  <c r="L27" i="1" s="1"/>
  <c r="J32" i="1"/>
  <c r="I33" i="1"/>
  <c r="T30" i="1"/>
  <c r="U30" i="1" s="1"/>
  <c r="S31" i="1"/>
  <c r="J33" i="1" l="1"/>
  <c r="K32" i="1"/>
  <c r="M25" i="1"/>
  <c r="M23" i="1"/>
  <c r="M24" i="1"/>
  <c r="L22" i="1"/>
  <c r="L26" i="1" s="1"/>
  <c r="L31" i="1" s="1"/>
  <c r="L17" i="1"/>
  <c r="U31" i="1"/>
  <c r="V30" i="1"/>
  <c r="W30" i="1" s="1"/>
  <c r="M17" i="1" l="1"/>
  <c r="M22" i="1"/>
  <c r="K33" i="1"/>
  <c r="L32" i="1"/>
  <c r="N23" i="1"/>
  <c r="N27" i="1" s="1"/>
  <c r="N24" i="1"/>
  <c r="N28" i="1" s="1"/>
  <c r="N25" i="1"/>
  <c r="N29" i="1" s="1"/>
  <c r="W31" i="1"/>
  <c r="X30" i="1"/>
  <c r="Y30" i="1" s="1"/>
  <c r="L33" i="1" l="1"/>
  <c r="M32" i="1"/>
  <c r="Z30" i="1"/>
  <c r="AA30" i="1" s="1"/>
  <c r="Y31" i="1"/>
  <c r="O23" i="1"/>
  <c r="O25" i="1"/>
  <c r="O24" i="1"/>
  <c r="N22" i="1"/>
  <c r="N26" i="1" s="1"/>
  <c r="N31" i="1" s="1"/>
  <c r="N17" i="1"/>
  <c r="P23" i="1" l="1"/>
  <c r="P27" i="1" s="1"/>
  <c r="P24" i="1"/>
  <c r="P28" i="1" s="1"/>
  <c r="P25" i="1"/>
  <c r="P29" i="1" s="1"/>
  <c r="AB30" i="1"/>
  <c r="AC30" i="1" s="1"/>
  <c r="AA31" i="1"/>
  <c r="M33" i="1"/>
  <c r="N32" i="1"/>
  <c r="O22" i="1"/>
  <c r="O17" i="1"/>
  <c r="O32" i="1" l="1"/>
  <c r="N33" i="1"/>
  <c r="AC31" i="1"/>
  <c r="AD30" i="1"/>
  <c r="P22" i="1"/>
  <c r="P26" i="1" s="1"/>
  <c r="P31" i="1" s="1"/>
  <c r="P17" i="1"/>
  <c r="Q23" i="1"/>
  <c r="Q24" i="1"/>
  <c r="Q25" i="1"/>
  <c r="Q17" i="1" l="1"/>
  <c r="Q22" i="1"/>
  <c r="R24" i="1"/>
  <c r="R28" i="1" s="1"/>
  <c r="R25" i="1"/>
  <c r="R29" i="1" s="1"/>
  <c r="R23" i="1"/>
  <c r="R27" i="1" s="1"/>
  <c r="P32" i="1"/>
  <c r="O33" i="1"/>
  <c r="Q32" i="1" l="1"/>
  <c r="P33" i="1"/>
  <c r="R22" i="1"/>
  <c r="R26" i="1" s="1"/>
  <c r="R31" i="1" s="1"/>
  <c r="R17" i="1"/>
  <c r="S25" i="1"/>
  <c r="S23" i="1"/>
  <c r="S24" i="1"/>
  <c r="T24" i="1" l="1"/>
  <c r="T28" i="1" s="1"/>
  <c r="T25" i="1"/>
  <c r="T29" i="1" s="1"/>
  <c r="T23" i="1"/>
  <c r="T27" i="1" s="1"/>
  <c r="S17" i="1"/>
  <c r="S22" i="1"/>
  <c r="R32" i="1"/>
  <c r="Q33" i="1"/>
  <c r="R33" i="1" l="1"/>
  <c r="S32" i="1"/>
  <c r="U25" i="1"/>
  <c r="U23" i="1"/>
  <c r="U24" i="1"/>
  <c r="T17" i="1"/>
  <c r="T22" i="1"/>
  <c r="T26" i="1" s="1"/>
  <c r="T31" i="1" s="1"/>
  <c r="V23" i="1" l="1"/>
  <c r="V27" i="1" s="1"/>
  <c r="V24" i="1"/>
  <c r="V28" i="1" s="1"/>
  <c r="V25" i="1"/>
  <c r="V29" i="1" s="1"/>
  <c r="S33" i="1"/>
  <c r="T32" i="1"/>
  <c r="U22" i="1"/>
  <c r="U17" i="1"/>
  <c r="V17" i="1" l="1"/>
  <c r="V22" i="1"/>
  <c r="V26" i="1" s="1"/>
  <c r="V31" i="1" s="1"/>
  <c r="T33" i="1"/>
  <c r="U32" i="1"/>
  <c r="W23" i="1"/>
  <c r="W25" i="1"/>
  <c r="W24" i="1"/>
  <c r="X23" i="1" l="1"/>
  <c r="X27" i="1" s="1"/>
  <c r="X25" i="1"/>
  <c r="X29" i="1" s="1"/>
  <c r="X24" i="1"/>
  <c r="X28" i="1" s="1"/>
  <c r="U33" i="1"/>
  <c r="V32" i="1"/>
  <c r="W22" i="1"/>
  <c r="W17" i="1"/>
  <c r="X22" i="1" l="1"/>
  <c r="X26" i="1" s="1"/>
  <c r="X31" i="1" s="1"/>
  <c r="X17" i="1"/>
  <c r="W32" i="1"/>
  <c r="V33" i="1"/>
  <c r="Y23" i="1"/>
  <c r="Y25" i="1"/>
  <c r="Y24" i="1"/>
  <c r="Z24" i="1" l="1"/>
  <c r="Z28" i="1" s="1"/>
  <c r="Z23" i="1"/>
  <c r="Z27" i="1" s="1"/>
  <c r="Z25" i="1"/>
  <c r="Z29" i="1" s="1"/>
  <c r="X32" i="1"/>
  <c r="W33" i="1"/>
  <c r="Y17" i="1"/>
  <c r="Y22" i="1"/>
  <c r="Y32" i="1" l="1"/>
  <c r="X33" i="1"/>
  <c r="Z22" i="1"/>
  <c r="Z26" i="1" s="1"/>
  <c r="Z31" i="1" s="1"/>
  <c r="Z17" i="1"/>
  <c r="AA23" i="1"/>
  <c r="AA24" i="1"/>
  <c r="AA25" i="1"/>
  <c r="AA17" i="1" l="1"/>
  <c r="AA22" i="1"/>
  <c r="Z32" i="1"/>
  <c r="Y33" i="1"/>
  <c r="AB24" i="1"/>
  <c r="AB28" i="1" s="1"/>
  <c r="AB23" i="1"/>
  <c r="AB27" i="1" s="1"/>
  <c r="AB25" i="1"/>
  <c r="AB29" i="1" s="1"/>
  <c r="AA32" i="1" l="1"/>
  <c r="Z33" i="1"/>
  <c r="AB22" i="1"/>
  <c r="AB26" i="1" s="1"/>
  <c r="AB31" i="1" s="1"/>
  <c r="AB17" i="1"/>
  <c r="AC25" i="1"/>
  <c r="AC24" i="1"/>
  <c r="AC23" i="1"/>
  <c r="AD24" i="1" l="1"/>
  <c r="AD28" i="1" s="1"/>
  <c r="AD25" i="1"/>
  <c r="AD29" i="1" s="1"/>
  <c r="AD23" i="1"/>
  <c r="AD27" i="1" s="1"/>
  <c r="AC17" i="1"/>
  <c r="AC22" i="1"/>
  <c r="AA33" i="1"/>
  <c r="AB32" i="1"/>
  <c r="AB33" i="1" l="1"/>
  <c r="AC32" i="1"/>
  <c r="AD17" i="1"/>
  <c r="AD22" i="1"/>
  <c r="AD26" i="1" s="1"/>
  <c r="AD31" i="1" s="1"/>
  <c r="AC33" i="1" l="1"/>
  <c r="AD32" i="1"/>
  <c r="AD33" i="1" s="1"/>
  <c r="E22" i="3" l="1"/>
  <c r="E23" i="3"/>
  <c r="E18" i="3"/>
  <c r="E21" i="3"/>
  <c r="E15" i="3"/>
  <c r="E19" i="3"/>
  <c r="E16" i="3"/>
  <c r="E20" i="3"/>
  <c r="E17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N3" authorId="0" shapeId="0" xr:uid="{2227E763-C96B-4D62-80E1-4AA2AEB534A4}">
      <text>
        <r>
          <rPr>
            <sz val="8"/>
            <color indexed="81"/>
            <rFont val="Tahoma"/>
            <family val="2"/>
          </rPr>
          <t>Lid*Lid*Exp</t>
        </r>
      </text>
    </comment>
  </commentList>
</comments>
</file>

<file path=xl/sharedStrings.xml><?xml version="1.0" encoding="utf-8"?>
<sst xmlns="http://schemas.openxmlformats.org/spreadsheetml/2006/main" count="448" uniqueCount="247">
  <si>
    <t>Estado de ánimo de los aficionados</t>
  </si>
  <si>
    <t>Grada general</t>
  </si>
  <si>
    <t>Preferente</t>
  </si>
  <si>
    <t>Tribuna</t>
  </si>
  <si>
    <t>Palco</t>
  </si>
  <si>
    <t>Multiplicador</t>
  </si>
  <si>
    <t>(asistencia = socios X multiplicador)</t>
  </si>
  <si>
    <t>Tribuna original</t>
  </si>
  <si>
    <t>Nuevo</t>
  </si>
  <si>
    <t>CosteContrucción</t>
  </si>
  <si>
    <t>CosteMantenimiento</t>
  </si>
  <si>
    <t>IngresoVenta</t>
  </si>
  <si>
    <t>Capacidad total:</t>
  </si>
  <si>
    <t>por asiento</t>
  </si>
  <si>
    <t>Coste</t>
  </si>
  <si>
    <t>CosteSemanal</t>
  </si>
  <si>
    <t>1Partido</t>
  </si>
  <si>
    <t>completo</t>
  </si>
  <si>
    <t>Mantenimiento</t>
  </si>
  <si>
    <t>Grada general:</t>
  </si>
  <si>
    <t>Preferentes:</t>
  </si>
  <si>
    <t>Tribunas:</t>
  </si>
  <si>
    <t>Palcos:</t>
  </si>
  <si>
    <t>Coste Inicial</t>
  </si>
  <si>
    <t>Coste de Contrucción</t>
  </si>
  <si>
    <t>TOTAL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</si>
  <si>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</si>
  <si>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</si>
  <si>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</si>
  <si>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</si>
  <si>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</si>
  <si>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</si>
  <si>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</si>
  <si>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</si>
  <si>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</si>
  <si>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</si>
  <si>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</si>
  <si>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</si>
  <si>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</si>
  <si>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</si>
  <si>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</si>
  <si>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</si>
  <si>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Aficionados</t>
  </si>
  <si>
    <t>MaxGrada Llena</t>
  </si>
  <si>
    <t>MaxPreferente Lleno</t>
  </si>
  <si>
    <t>MaxTribuna Lleno</t>
  </si>
  <si>
    <t>MaxPalco Lleno</t>
  </si>
  <si>
    <t>Real Grada</t>
  </si>
  <si>
    <t>Real Preferente</t>
  </si>
  <si>
    <t>Real Tribuna</t>
  </si>
  <si>
    <t>Real Palco</t>
  </si>
  <si>
    <t>Ingresos Extra Grada general:</t>
  </si>
  <si>
    <t>Ingresos Extre Preferentes:</t>
  </si>
  <si>
    <t>Ingresos Extra Tribunas:</t>
  </si>
  <si>
    <t>Ingresos Extra Palcos:</t>
  </si>
  <si>
    <t>Coste de Mantenimiento Extra</t>
  </si>
  <si>
    <t>Beneficio Neto Semanal</t>
  </si>
  <si>
    <t>Beneficio Acumulado</t>
  </si>
  <si>
    <t>Nfin</t>
  </si>
  <si>
    <t>POS</t>
  </si>
  <si>
    <t>Jugador</t>
  </si>
  <si>
    <t>Anys</t>
  </si>
  <si>
    <t>Dias</t>
  </si>
  <si>
    <t>PA</t>
  </si>
  <si>
    <t>Lid</t>
  </si>
  <si>
    <t>Exp</t>
  </si>
  <si>
    <t>HXP</t>
  </si>
  <si>
    <t>CMn</t>
  </si>
  <si>
    <t>CMx</t>
  </si>
  <si>
    <t>Res</t>
  </si>
  <si>
    <t>m90</t>
  </si>
  <si>
    <t>FID</t>
  </si>
  <si>
    <t>For</t>
  </si>
  <si>
    <t>Fmin</t>
  </si>
  <si>
    <t>Fmax</t>
  </si>
  <si>
    <t>TSI</t>
  </si>
  <si>
    <t>Dif</t>
  </si>
  <si>
    <t>Sou</t>
  </si>
  <si>
    <t>Hib</t>
  </si>
  <si>
    <t>Po</t>
  </si>
  <si>
    <t>De</t>
  </si>
  <si>
    <t>Cr</t>
  </si>
  <si>
    <t>Ex</t>
  </si>
  <si>
    <t>Ps</t>
  </si>
  <si>
    <t>An</t>
  </si>
  <si>
    <t>JMn</t>
  </si>
  <si>
    <t>JMx</t>
  </si>
  <si>
    <t>CA</t>
  </si>
  <si>
    <t>TL</t>
  </si>
  <si>
    <t>PEN</t>
  </si>
  <si>
    <t>BPiA</t>
  </si>
  <si>
    <t>BPiD</t>
  </si>
  <si>
    <t>BPMin</t>
  </si>
  <si>
    <t>BPMax</t>
  </si>
  <si>
    <t>Ag</t>
  </si>
  <si>
    <t>Ho</t>
  </si>
  <si>
    <t>Ede</t>
  </si>
  <si>
    <t>Eju</t>
  </si>
  <si>
    <t>Ean</t>
  </si>
  <si>
    <t>EBP</t>
  </si>
  <si>
    <t>LastWeek</t>
  </si>
  <si>
    <t>#1</t>
  </si>
  <si>
    <t>POR</t>
  </si>
  <si>
    <t>CAB</t>
  </si>
  <si>
    <t>#2</t>
  </si>
  <si>
    <t>DEF</t>
  </si>
  <si>
    <t>#13</t>
  </si>
  <si>
    <t>#7</t>
  </si>
  <si>
    <t>IMP</t>
  </si>
  <si>
    <t>#6</t>
  </si>
  <si>
    <t>#12</t>
  </si>
  <si>
    <t>#17</t>
  </si>
  <si>
    <t>MED</t>
  </si>
  <si>
    <t>#8</t>
  </si>
  <si>
    <t>RAP</t>
  </si>
  <si>
    <t>#14</t>
  </si>
  <si>
    <t>#3</t>
  </si>
  <si>
    <t>#18</t>
  </si>
  <si>
    <t>#16</t>
  </si>
  <si>
    <t>POT</t>
  </si>
  <si>
    <t>EXT</t>
  </si>
  <si>
    <t>#19</t>
  </si>
  <si>
    <t>#11</t>
  </si>
  <si>
    <t>DAV</t>
  </si>
  <si>
    <t>#10</t>
  </si>
  <si>
    <t>#5</t>
  </si>
  <si>
    <t>#9</t>
  </si>
  <si>
    <t>#15</t>
  </si>
  <si>
    <t>Fascenso</t>
  </si>
  <si>
    <t>Pot</t>
  </si>
  <si>
    <t>Epo</t>
  </si>
  <si>
    <t>Ela</t>
  </si>
  <si>
    <t>Epa</t>
  </si>
  <si>
    <t>Total</t>
  </si>
  <si>
    <t>h36</t>
  </si>
  <si>
    <t>S. Candela</t>
  </si>
  <si>
    <t>J. Poblet</t>
  </si>
  <si>
    <t>Ab</t>
  </si>
  <si>
    <t>%T</t>
  </si>
  <si>
    <t>L. Cortallo</t>
  </si>
  <si>
    <t>Inici</t>
  </si>
  <si>
    <t>LAT</t>
  </si>
  <si>
    <t>H. Grijalva</t>
  </si>
  <si>
    <t>J. Banal</t>
  </si>
  <si>
    <t>CEN</t>
  </si>
  <si>
    <t>J-L. Grellier</t>
  </si>
  <si>
    <t>#4</t>
  </si>
  <si>
    <t>E. Tarrida</t>
  </si>
  <si>
    <t>A. Aluja</t>
  </si>
  <si>
    <t>M. Teixé</t>
  </si>
  <si>
    <t>D. Salat</t>
  </si>
  <si>
    <t>P-P. Cunill</t>
  </si>
  <si>
    <t>I. Escuder</t>
  </si>
  <si>
    <t>A. Guau</t>
  </si>
  <si>
    <t>A. Aguilella</t>
  </si>
  <si>
    <t>M. Tàcias</t>
  </si>
  <si>
    <t>T. Averous</t>
  </si>
  <si>
    <t>L-G. Salares</t>
  </si>
  <si>
    <t>J. Autet</t>
  </si>
  <si>
    <t>A. Manent</t>
  </si>
  <si>
    <t>ECONOMIA HT</t>
  </si>
  <si>
    <t>Socios</t>
  </si>
  <si>
    <t>SALDO INICIAL</t>
  </si>
  <si>
    <t>Taquillas</t>
  </si>
  <si>
    <t>Patrocinadores</t>
  </si>
  <si>
    <t>Venta de jugadores</t>
  </si>
  <si>
    <t>Ventas</t>
  </si>
  <si>
    <t>VentasCantera</t>
  </si>
  <si>
    <t>Comisiones</t>
  </si>
  <si>
    <t>Otros</t>
  </si>
  <si>
    <t>Nuevos Socios</t>
  </si>
  <si>
    <t>Premios</t>
  </si>
  <si>
    <t>TOTAL INGRESOS</t>
  </si>
  <si>
    <t>Sueldos</t>
  </si>
  <si>
    <t xml:space="preserve">Mantenimiento </t>
  </si>
  <si>
    <t>Construcción del estadio</t>
  </si>
  <si>
    <t>Estadio</t>
  </si>
  <si>
    <t>Empleados</t>
  </si>
  <si>
    <t>Juveniles</t>
  </si>
  <si>
    <t>Compra de jugadores*</t>
  </si>
  <si>
    <t>Compra</t>
  </si>
  <si>
    <t>Entrenador</t>
  </si>
  <si>
    <t>Viajes+Venta</t>
  </si>
  <si>
    <t>Intereses</t>
  </si>
  <si>
    <t>TOTAL GASTOS</t>
  </si>
  <si>
    <t>SALDO FINAL</t>
  </si>
  <si>
    <t>Ingresos Fijo</t>
  </si>
  <si>
    <t>Pagos Fijos</t>
  </si>
  <si>
    <t>Total Fijo</t>
  </si>
  <si>
    <t>Ingresos Variables</t>
  </si>
  <si>
    <t>Pagos Variables</t>
  </si>
  <si>
    <t>Total Variables</t>
  </si>
  <si>
    <t>Jugadores</t>
  </si>
  <si>
    <t>Plantilla Medias (mirar antes entreno) (sin entrenador)</t>
  </si>
  <si>
    <t>Sueldo</t>
  </si>
  <si>
    <t>TSI11</t>
  </si>
  <si>
    <t>Sueldo11</t>
  </si>
  <si>
    <t>Edad11</t>
  </si>
  <si>
    <t>Resistencia11</t>
  </si>
  <si>
    <t>Forma11</t>
  </si>
  <si>
    <t>Experiencia11</t>
  </si>
  <si>
    <t>Hibridación</t>
  </si>
  <si>
    <t>IV.11</t>
  </si>
  <si>
    <t>22(62)</t>
  </si>
  <si>
    <t>COMPLETAMENTE ENTRENADOS!</t>
  </si>
  <si>
    <t>Edad</t>
  </si>
  <si>
    <t>Esp</t>
  </si>
  <si>
    <t>Asc</t>
  </si>
  <si>
    <t>Fecha</t>
  </si>
  <si>
    <t>JUG</t>
  </si>
  <si>
    <t>PAS</t>
  </si>
  <si>
    <t>ANO</t>
  </si>
  <si>
    <t>BP</t>
  </si>
  <si>
    <t>u20</t>
  </si>
  <si>
    <t>Cap</t>
  </si>
  <si>
    <t>HTMS</t>
  </si>
  <si>
    <t>Ca</t>
  </si>
  <si>
    <t>PRIMER EQUIPO</t>
  </si>
  <si>
    <t>Info</t>
  </si>
  <si>
    <t>Habilidades</t>
  </si>
  <si>
    <t>no</t>
  </si>
  <si>
    <t>FC-2</t>
  </si>
  <si>
    <t xml:space="preserve">RELEVANTES </t>
  </si>
  <si>
    <t>RELLENOS</t>
  </si>
  <si>
    <t>Actualización</t>
  </si>
  <si>
    <t>Capitan</t>
  </si>
  <si>
    <t>N. Aloy</t>
  </si>
  <si>
    <t>B. Tugores</t>
  </si>
  <si>
    <t>V. Garrell</t>
  </si>
  <si>
    <t>FC-3</t>
  </si>
  <si>
    <t>FC-4</t>
  </si>
  <si>
    <t>V. Fullana</t>
  </si>
  <si>
    <t>V. Valldaura</t>
  </si>
  <si>
    <t>K. Pruneau</t>
  </si>
  <si>
    <t>X. Cornellà</t>
  </si>
  <si>
    <t>J-A. Lari</t>
  </si>
  <si>
    <t>FF</t>
  </si>
  <si>
    <t>FF+3</t>
  </si>
  <si>
    <t>FF+4</t>
  </si>
  <si>
    <t>R. Riart</t>
  </si>
  <si>
    <t>FF-3</t>
  </si>
  <si>
    <t>G. llatcha</t>
  </si>
  <si>
    <t>M-B. Ortega</t>
  </si>
  <si>
    <t>P. Torres</t>
  </si>
  <si>
    <t>A. Capdevila</t>
  </si>
  <si>
    <t>J. Estela</t>
  </si>
  <si>
    <t>A. Majoral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</si>
</sst>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* #,##0\ &quot;€&quot;_-;\-* #,##0\ &quot;€&quot;_-;_-* &quot;-&quot;??\ &quot;€&quot;_-;_-@_-"/>
    <numFmt numFmtId="165" formatCode="0.0%"/>
    <numFmt numFmtId="166" formatCode="_-* #,##0\ [$€-C0A]_-;\-* #,##0\ [$€-C0A]_-;_-* &quot;-&quot;??\ [$€-C0A]_-;_-@_-"/>
    <numFmt numFmtId="167" formatCode="_-* #,##0.00\ [$€-C0A]_-;\-* #,##0.00\ [$€-C0A]_-;_-* &quot;-&quot;??\ [$€-C0A]_-;_-@_-"/>
    <numFmt numFmtId="168" formatCode="0.0"/>
    <numFmt numFmtId="169" formatCode="_-* #,##0\ _€_-;\-* #,##0\ _€_-;_-* &quot;-&quot;??\ _€_-;_-@_-"/>
    <numFmt numFmtId="170" formatCode="_-* #,##0.0\ _€_-;\-* #,##0.0\ _€_-;_-* &quot;-&quot;??\ _€_-;_-@_-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7.5"/>
      <color rgb="FFFFFFFF"/>
      <name val="Calibri"/>
      <family val="2"/>
      <scheme val="minor"/>
    </font>
    <font>
      <b/>
      <sz val="7.5"/>
      <color theme="1"/>
      <name val="Calibri"/>
      <family val="2"/>
      <scheme val="minor"/>
    </font>
    <font>
      <sz val="7.5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indexed="8"/>
      <name val="Calibri"/>
      <family val="2"/>
      <charset val="1"/>
    </font>
    <font>
      <b/>
      <sz val="11"/>
      <color indexed="8"/>
      <name val="Calibri"/>
      <family val="2"/>
    </font>
    <font>
      <b/>
      <sz val="11"/>
      <name val="Calibri"/>
      <family val="2"/>
      <charset val="1"/>
    </font>
    <font>
      <b/>
      <sz val="11"/>
      <color theme="0"/>
      <name val="Calibri"/>
      <family val="2"/>
      <charset val="1"/>
    </font>
    <font>
      <sz val="10"/>
      <name val="Calibri"/>
      <family val="2"/>
    </font>
    <font>
      <b/>
      <i/>
      <u/>
      <sz val="11"/>
      <color indexed="8"/>
      <name val="Calibri"/>
      <family val="2"/>
    </font>
    <font>
      <sz val="11"/>
      <color indexed="8"/>
      <name val="Calibri"/>
      <family val="2"/>
    </font>
    <font>
      <b/>
      <sz val="8"/>
      <color theme="0"/>
      <name val="Verdana"/>
      <family val="2"/>
    </font>
    <font>
      <b/>
      <i/>
      <u/>
      <sz val="8"/>
      <color theme="0"/>
      <name val="Verdana"/>
      <family val="2"/>
    </font>
    <font>
      <b/>
      <sz val="8"/>
      <name val="Verdana"/>
      <family val="2"/>
    </font>
    <font>
      <sz val="11"/>
      <name val="Calibri"/>
      <family val="2"/>
      <scheme val="minor"/>
    </font>
    <font>
      <i/>
      <u/>
      <sz val="11"/>
      <name val="Calibri"/>
      <family val="2"/>
      <scheme val="minor"/>
    </font>
    <font>
      <sz val="11"/>
      <name val="Calibri"/>
      <family val="2"/>
    </font>
    <font>
      <sz val="8"/>
      <name val="Verdana"/>
      <family val="2"/>
    </font>
    <font>
      <b/>
      <sz val="8"/>
      <color rgb="FF00B050"/>
      <name val="Verdana"/>
      <family val="2"/>
    </font>
    <font>
      <b/>
      <sz val="8"/>
      <color theme="1"/>
      <name val="Verdana"/>
      <family val="2"/>
    </font>
    <font>
      <sz val="10"/>
      <name val="Calibri"/>
      <family val="2"/>
      <scheme val="minor"/>
    </font>
    <font>
      <sz val="8"/>
      <color theme="9" tint="-0.499984740745262"/>
      <name val="Verdana"/>
      <family val="2"/>
    </font>
    <font>
      <sz val="8"/>
      <color rgb="FF000000"/>
      <name val="Verdana"/>
      <family val="2"/>
    </font>
    <font>
      <b/>
      <i/>
      <u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18"/>
      <color theme="1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 tint="0.499984740745262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6" tint="-0.499984740745262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0"/>
      <color rgb="FF00B05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u/>
      <sz val="11"/>
      <color theme="0"/>
      <name val="Calibri"/>
      <family val="2"/>
      <charset val="1"/>
    </font>
    <font>
      <b/>
      <u/>
      <sz val="10"/>
      <color theme="0"/>
      <name val="Arial"/>
      <family val="2"/>
    </font>
    <font>
      <b/>
      <u/>
      <sz val="11"/>
      <color indexed="8"/>
      <name val="Calibri"/>
      <family val="2"/>
      <charset val="1"/>
    </font>
    <font>
      <b/>
      <sz val="10"/>
      <color theme="0"/>
      <name val="Arial"/>
      <family val="2"/>
    </font>
    <font>
      <b/>
      <i/>
      <sz val="11"/>
      <color indexed="8"/>
      <name val="Calibri"/>
      <family val="2"/>
    </font>
    <font>
      <sz val="12"/>
      <name val="Calibri"/>
      <family val="2"/>
    </font>
    <font>
      <sz val="11"/>
      <name val="Calibri"/>
      <family val="2"/>
      <charset val="1"/>
    </font>
    <font>
      <b/>
      <sz val="11"/>
      <name val="Calibri"/>
      <family val="2"/>
    </font>
    <font>
      <sz val="10"/>
      <color indexed="8"/>
      <name val="Arial"/>
      <family val="2"/>
    </font>
    <font>
      <b/>
      <sz val="11"/>
      <color indexed="8"/>
      <name val="Calibri"/>
      <family val="2"/>
      <charset val="1"/>
    </font>
    <font>
      <sz val="10"/>
      <color indexed="8"/>
      <name val="Calibri"/>
      <family val="2"/>
      <charset val="1"/>
    </font>
    <font>
      <sz val="9"/>
      <color indexed="8"/>
      <name val="Calibri"/>
      <family val="2"/>
      <charset val="1"/>
    </font>
  </fonts>
  <fills count="41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50"/>
        <bgColor indexed="45"/>
      </patternFill>
    </fill>
    <fill>
      <patternFill patternType="solid">
        <fgColor rgb="FF00B050"/>
        <bgColor indexed="46"/>
      </patternFill>
    </fill>
    <fill>
      <patternFill patternType="solid">
        <fgColor rgb="FF00B050"/>
        <bgColor indexed="41"/>
      </patternFill>
    </fill>
    <fill>
      <patternFill patternType="solid">
        <fgColor theme="5" tint="-0.249977111117893"/>
        <bgColor indexed="45"/>
      </patternFill>
    </fill>
    <fill>
      <patternFill patternType="solid">
        <fgColor theme="5" tint="-0.249977111117893"/>
        <bgColor indexed="46"/>
      </patternFill>
    </fill>
    <fill>
      <patternFill patternType="solid">
        <fgColor theme="5" tint="-0.249977111117893"/>
        <bgColor indexed="41"/>
      </patternFill>
    </fill>
    <fill>
      <patternFill patternType="solid">
        <fgColor theme="1"/>
        <bgColor indexed="41"/>
      </patternFill>
    </fill>
    <fill>
      <patternFill patternType="solid">
        <fgColor rgb="FF7030A0"/>
        <bgColor indexed="64"/>
      </patternFill>
    </fill>
    <fill>
      <patternFill patternType="solid">
        <fgColor theme="1"/>
        <bgColor indexed="45"/>
      </patternFill>
    </fill>
    <fill>
      <patternFill patternType="solid">
        <fgColor theme="1"/>
        <bgColor indexed="46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1" fillId="0" borderId="0"/>
  </cellStyleXfs>
  <cellXfs count="290">
    <xf numFmtId="0" fontId="0" fillId="0" borderId="0" xfId="0"/>
    <xf numFmtId="0" fontId="4" fillId="2" borderId="0" xfId="0" applyFont="1" applyFill="1" applyAlignment="1">
      <alignment horizontal="center" wrapText="1"/>
    </xf>
    <xf numFmtId="0" fontId="0" fillId="0" borderId="0" xfId="0" applyFill="1"/>
    <xf numFmtId="0" fontId="0" fillId="3" borderId="1" xfId="0" applyFill="1" applyBorder="1"/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0" borderId="0" xfId="0" applyAlignment="1">
      <alignment horizontal="right"/>
    </xf>
    <xf numFmtId="0" fontId="5" fillId="7" borderId="0" xfId="0" applyFont="1" applyFill="1" applyAlignment="1">
      <alignment horizontal="center" wrapText="1"/>
    </xf>
    <xf numFmtId="0" fontId="6" fillId="0" borderId="0" xfId="0" applyFont="1" applyAlignment="1">
      <alignment horizontal="center" wrapText="1"/>
    </xf>
    <xf numFmtId="2" fontId="6" fillId="0" borderId="0" xfId="0" applyNumberFormat="1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0" fillId="0" borderId="1" xfId="0" applyBorder="1" applyAlignment="1">
      <alignment wrapText="1"/>
    </xf>
    <xf numFmtId="0" fontId="0" fillId="0" borderId="2" xfId="0" applyBorder="1" applyAlignment="1">
      <alignment wrapText="1"/>
    </xf>
    <xf numFmtId="1" fontId="0" fillId="0" borderId="3" xfId="0" applyNumberFormat="1" applyBorder="1"/>
    <xf numFmtId="0" fontId="0" fillId="0" borderId="1" xfId="0" applyBorder="1"/>
    <xf numFmtId="0" fontId="0" fillId="0" borderId="2" xfId="0" applyBorder="1"/>
    <xf numFmtId="0" fontId="0" fillId="0" borderId="1" xfId="0" applyFill="1" applyBorder="1"/>
    <xf numFmtId="0" fontId="6" fillId="8" borderId="0" xfId="0" applyFont="1" applyFill="1" applyAlignment="1">
      <alignment horizontal="center" wrapText="1"/>
    </xf>
    <xf numFmtId="0" fontId="5" fillId="8" borderId="0" xfId="0" applyFont="1" applyFill="1" applyAlignment="1">
      <alignment horizontal="center" wrapText="1"/>
    </xf>
    <xf numFmtId="1" fontId="0" fillId="9" borderId="4" xfId="0" applyNumberFormat="1" applyFill="1" applyBorder="1"/>
    <xf numFmtId="0" fontId="6" fillId="0" borderId="5" xfId="0" applyFont="1" applyBorder="1" applyAlignment="1">
      <alignment horizontal="center" wrapText="1"/>
    </xf>
    <xf numFmtId="164" fontId="0" fillId="0" borderId="1" xfId="2" applyNumberFormat="1" applyFont="1" applyBorder="1"/>
    <xf numFmtId="0" fontId="6" fillId="0" borderId="1" xfId="0" applyFont="1" applyBorder="1" applyAlignment="1">
      <alignment horizontal="center" wrapText="1"/>
    </xf>
    <xf numFmtId="164" fontId="0" fillId="0" borderId="2" xfId="2" applyNumberFormat="1" applyFont="1" applyBorder="1"/>
    <xf numFmtId="2" fontId="0" fillId="0" borderId="0" xfId="0" applyNumberFormat="1"/>
    <xf numFmtId="1" fontId="0" fillId="9" borderId="6" xfId="0" applyNumberFormat="1" applyFill="1" applyBorder="1"/>
    <xf numFmtId="0" fontId="6" fillId="8" borderId="5" xfId="0" applyFont="1" applyFill="1" applyBorder="1" applyAlignment="1">
      <alignment horizontal="center" wrapText="1"/>
    </xf>
    <xf numFmtId="0" fontId="6" fillId="8" borderId="1" xfId="0" applyFont="1" applyFill="1" applyBorder="1" applyAlignment="1">
      <alignment horizontal="center" wrapText="1"/>
    </xf>
    <xf numFmtId="1" fontId="0" fillId="9" borderId="7" xfId="0" applyNumberFormat="1" applyFill="1" applyBorder="1"/>
    <xf numFmtId="165" fontId="0" fillId="4" borderId="8" xfId="3" applyNumberFormat="1" applyFont="1" applyFill="1" applyBorder="1"/>
    <xf numFmtId="165" fontId="0" fillId="4" borderId="1" xfId="3" applyNumberFormat="1" applyFont="1" applyFill="1" applyBorder="1"/>
    <xf numFmtId="1" fontId="0" fillId="0" borderId="0" xfId="0" applyNumberFormat="1"/>
    <xf numFmtId="165" fontId="0" fillId="3" borderId="0" xfId="3" applyNumberFormat="1" applyFont="1" applyFill="1"/>
    <xf numFmtId="0" fontId="0" fillId="0" borderId="0" xfId="0" applyFill="1" applyBorder="1" applyAlignment="1">
      <alignment wrapText="1"/>
    </xf>
    <xf numFmtId="166" fontId="0" fillId="3" borderId="0" xfId="0" applyNumberFormat="1" applyFill="1" applyBorder="1" applyAlignment="1">
      <alignment wrapText="1"/>
    </xf>
    <xf numFmtId="166" fontId="0" fillId="3" borderId="0" xfId="0" applyNumberFormat="1" applyFill="1"/>
    <xf numFmtId="0" fontId="7" fillId="10" borderId="0" xfId="0" applyFont="1" applyFill="1" applyAlignment="1">
      <alignment horizontal="right"/>
    </xf>
    <xf numFmtId="166" fontId="8" fillId="3" borderId="9" xfId="0" applyNumberFormat="1" applyFont="1" applyFill="1" applyBorder="1"/>
    <xf numFmtId="2" fontId="6" fillId="0" borderId="0" xfId="0" applyNumberFormat="1" applyFont="1" applyFill="1" applyAlignment="1">
      <alignment horizontal="center" wrapText="1"/>
    </xf>
    <xf numFmtId="0" fontId="3" fillId="0" borderId="0" xfId="0" applyFont="1" applyAlignment="1">
      <alignment horizontal="center"/>
    </xf>
    <xf numFmtId="0" fontId="3" fillId="11" borderId="0" xfId="0" applyFont="1" applyFill="1" applyAlignment="1">
      <alignment horizontal="center"/>
    </xf>
    <xf numFmtId="0" fontId="0" fillId="6" borderId="0" xfId="0" applyFill="1"/>
    <xf numFmtId="1" fontId="0" fillId="6" borderId="0" xfId="0" applyNumberFormat="1" applyFill="1"/>
    <xf numFmtId="0" fontId="0" fillId="10" borderId="0" xfId="0" applyFill="1" applyAlignment="1">
      <alignment horizontal="right"/>
    </xf>
    <xf numFmtId="1" fontId="0" fillId="10" borderId="0" xfId="0" applyNumberFormat="1" applyFill="1"/>
    <xf numFmtId="0" fontId="3" fillId="0" borderId="0" xfId="0" applyFont="1" applyFill="1" applyAlignment="1">
      <alignment horizontal="center"/>
    </xf>
    <xf numFmtId="0" fontId="0" fillId="12" borderId="0" xfId="0" applyFill="1" applyBorder="1" applyAlignment="1">
      <alignment horizontal="right" wrapText="1"/>
    </xf>
    <xf numFmtId="167" fontId="0" fillId="12" borderId="0" xfId="0" applyNumberFormat="1" applyFill="1" applyBorder="1"/>
    <xf numFmtId="0" fontId="0" fillId="0" borderId="0" xfId="0" applyFill="1" applyBorder="1"/>
    <xf numFmtId="0" fontId="0" fillId="13" borderId="0" xfId="0" applyFill="1" applyBorder="1" applyAlignment="1">
      <alignment horizontal="right" wrapText="1"/>
    </xf>
    <xf numFmtId="167" fontId="0" fillId="13" borderId="0" xfId="0" applyNumberFormat="1" applyFill="1"/>
    <xf numFmtId="0" fontId="9" fillId="6" borderId="0" xfId="0" applyFont="1" applyFill="1" applyBorder="1" applyAlignment="1">
      <alignment horizontal="right" wrapText="1"/>
    </xf>
    <xf numFmtId="167" fontId="10" fillId="6" borderId="0" xfId="0" applyNumberFormat="1" applyFont="1" applyFill="1"/>
    <xf numFmtId="0" fontId="9" fillId="0" borderId="0" xfId="0" applyFont="1" applyFill="1" applyBorder="1"/>
    <xf numFmtId="0" fontId="10" fillId="6" borderId="0" xfId="0" applyFont="1" applyFill="1" applyBorder="1" applyAlignment="1">
      <alignment horizontal="right" wrapText="1"/>
    </xf>
    <xf numFmtId="165" fontId="0" fillId="0" borderId="0" xfId="3" applyNumberFormat="1" applyFont="1"/>
    <xf numFmtId="165" fontId="0" fillId="0" borderId="0" xfId="3" applyNumberFormat="1" applyFont="1" applyFill="1"/>
    <xf numFmtId="0" fontId="12" fillId="0" borderId="0" xfId="4" applyFont="1" applyFill="1"/>
    <xf numFmtId="168" fontId="13" fillId="0" borderId="0" xfId="4" applyNumberFormat="1" applyFon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14" fillId="0" borderId="0" xfId="4" applyFont="1" applyFill="1" applyBorder="1" applyAlignment="1">
      <alignment horizontal="left"/>
    </xf>
    <xf numFmtId="0" fontId="14" fillId="0" borderId="0" xfId="4" applyFont="1" applyFill="1" applyBorder="1" applyAlignment="1">
      <alignment horizontal="center"/>
    </xf>
    <xf numFmtId="0" fontId="15" fillId="0" borderId="0" xfId="4" applyFont="1" applyFill="1" applyBorder="1" applyAlignment="1">
      <alignment horizontal="center"/>
    </xf>
    <xf numFmtId="0" fontId="12" fillId="0" borderId="0" xfId="4" applyFont="1" applyFill="1" applyAlignment="1">
      <alignment horizontal="center"/>
    </xf>
    <xf numFmtId="0" fontId="16" fillId="0" borderId="0" xfId="4" applyFont="1" applyFill="1" applyAlignment="1">
      <alignment horizontal="center"/>
    </xf>
    <xf numFmtId="168" fontId="12" fillId="0" borderId="0" xfId="4" applyNumberFormat="1" applyFont="1" applyFill="1" applyBorder="1" applyAlignment="1"/>
    <xf numFmtId="168" fontId="12" fillId="0" borderId="0" xfId="4" applyNumberFormat="1" applyFont="1" applyFill="1" applyBorder="1" applyAlignment="1">
      <alignment horizontal="center"/>
    </xf>
    <xf numFmtId="168" fontId="12" fillId="0" borderId="1" xfId="4" applyNumberFormat="1" applyFont="1" applyFill="1" applyBorder="1" applyAlignment="1">
      <alignment horizontal="center"/>
    </xf>
    <xf numFmtId="9" fontId="12" fillId="0" borderId="1" xfId="3" applyFont="1" applyFill="1" applyBorder="1" applyAlignment="1">
      <alignment horizontal="center"/>
    </xf>
    <xf numFmtId="169" fontId="12" fillId="0" borderId="1" xfId="1" applyNumberFormat="1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18" fillId="14" borderId="1" xfId="0" applyFont="1" applyFill="1" applyBorder="1" applyAlignment="1">
      <alignment horizontal="center" vertical="center"/>
    </xf>
    <xf numFmtId="0" fontId="19" fillId="14" borderId="1" xfId="0" applyFont="1" applyFill="1" applyBorder="1" applyAlignment="1">
      <alignment horizontal="center" vertical="center"/>
    </xf>
    <xf numFmtId="0" fontId="18" fillId="14" borderId="1" xfId="0" applyFont="1" applyFill="1" applyBorder="1" applyAlignment="1">
      <alignment horizontal="right" vertical="center"/>
    </xf>
    <xf numFmtId="0" fontId="20" fillId="15" borderId="1" xfId="0" applyFont="1" applyFill="1" applyBorder="1" applyAlignment="1">
      <alignment horizontal="center" vertical="center"/>
    </xf>
    <xf numFmtId="0" fontId="2" fillId="9" borderId="0" xfId="0" applyFont="1" applyFill="1" applyAlignment="1">
      <alignment horizontal="center"/>
    </xf>
    <xf numFmtId="0" fontId="20" fillId="16" borderId="1" xfId="0" applyFont="1" applyFill="1" applyBorder="1" applyAlignment="1">
      <alignment horizontal="center" vertical="center"/>
    </xf>
    <xf numFmtId="0" fontId="18" fillId="14" borderId="10" xfId="0" applyFont="1" applyFill="1" applyBorder="1" applyAlignment="1">
      <alignment horizontal="center" vertical="center"/>
    </xf>
    <xf numFmtId="0" fontId="21" fillId="0" borderId="1" xfId="0" applyFont="1" applyBorder="1"/>
    <xf numFmtId="168" fontId="22" fillId="0" borderId="1" xfId="0" applyNumberFormat="1" applyFont="1" applyBorder="1"/>
    <xf numFmtId="0" fontId="24" fillId="17" borderId="1" xfId="0" applyFont="1" applyFill="1" applyBorder="1" applyAlignment="1">
      <alignment horizontal="left" vertical="center"/>
    </xf>
    <xf numFmtId="1" fontId="24" fillId="17" borderId="1" xfId="0" applyNumberFormat="1" applyFont="1" applyFill="1" applyBorder="1" applyAlignment="1">
      <alignment horizontal="left" vertical="center"/>
    </xf>
    <xf numFmtId="0" fontId="24" fillId="18" borderId="1" xfId="0" applyFont="1" applyFill="1" applyBorder="1" applyAlignment="1">
      <alignment horizontal="center" vertical="center"/>
    </xf>
    <xf numFmtId="0" fontId="25" fillId="0" borderId="1" xfId="0" applyFont="1" applyFill="1" applyBorder="1" applyAlignment="1">
      <alignment horizontal="left" vertical="center"/>
    </xf>
    <xf numFmtId="168" fontId="24" fillId="18" borderId="1" xfId="0" applyNumberFormat="1" applyFont="1" applyFill="1" applyBorder="1" applyAlignment="1">
      <alignment horizontal="left" vertical="center"/>
    </xf>
    <xf numFmtId="2" fontId="24" fillId="18" borderId="1" xfId="0" applyNumberFormat="1" applyFont="1" applyFill="1" applyBorder="1" applyAlignment="1">
      <alignment horizontal="left" vertical="center"/>
    </xf>
    <xf numFmtId="1" fontId="24" fillId="19" borderId="1" xfId="0" applyNumberFormat="1" applyFont="1" applyFill="1" applyBorder="1" applyAlignment="1">
      <alignment horizontal="left" vertical="center"/>
    </xf>
    <xf numFmtId="168" fontId="24" fillId="18" borderId="1" xfId="0" applyNumberFormat="1" applyFont="1" applyFill="1" applyBorder="1" applyAlignment="1">
      <alignment horizontal="center" vertical="center"/>
    </xf>
    <xf numFmtId="1" fontId="24" fillId="18" borderId="1" xfId="0" applyNumberFormat="1" applyFont="1" applyFill="1" applyBorder="1" applyAlignment="1">
      <alignment horizontal="center" vertical="center"/>
    </xf>
    <xf numFmtId="14" fontId="24" fillId="18" borderId="1" xfId="0" applyNumberFormat="1" applyFont="1" applyFill="1" applyBorder="1" applyAlignment="1">
      <alignment horizontal="center" vertical="center"/>
    </xf>
    <xf numFmtId="2" fontId="24" fillId="18" borderId="1" xfId="0" applyNumberFormat="1" applyFont="1" applyFill="1" applyBorder="1" applyAlignment="1">
      <alignment horizontal="center" vertical="center"/>
    </xf>
    <xf numFmtId="9" fontId="24" fillId="18" borderId="1" xfId="3" applyFont="1" applyFill="1" applyBorder="1" applyAlignment="1">
      <alignment horizontal="center" vertical="center"/>
    </xf>
    <xf numFmtId="169" fontId="24" fillId="18" borderId="1" xfId="1" applyNumberFormat="1" applyFont="1" applyFill="1" applyBorder="1" applyAlignment="1">
      <alignment horizontal="right" vertical="center"/>
    </xf>
    <xf numFmtId="169" fontId="24" fillId="18" borderId="1" xfId="1" applyNumberFormat="1" applyFont="1" applyFill="1" applyBorder="1" applyAlignment="1">
      <alignment horizontal="left" vertical="center"/>
    </xf>
    <xf numFmtId="170" fontId="24" fillId="18" borderId="1" xfId="1" applyNumberFormat="1" applyFont="1" applyFill="1" applyBorder="1" applyAlignment="1">
      <alignment horizontal="right" vertical="center"/>
    </xf>
    <xf numFmtId="2" fontId="24" fillId="17" borderId="1" xfId="0" applyNumberFormat="1" applyFont="1" applyFill="1" applyBorder="1" applyAlignment="1">
      <alignment horizontal="left" vertical="center"/>
    </xf>
    <xf numFmtId="169" fontId="26" fillId="18" borderId="1" xfId="1" applyNumberFormat="1" applyFont="1" applyFill="1" applyBorder="1" applyAlignment="1">
      <alignment horizontal="right" vertical="center"/>
    </xf>
    <xf numFmtId="168" fontId="0" fillId="0" borderId="1" xfId="0" applyNumberFormat="1" applyBorder="1"/>
    <xf numFmtId="170" fontId="27" fillId="0" borderId="1" xfId="1" applyNumberFormat="1" applyFont="1" applyBorder="1" applyAlignment="1">
      <alignment horizontal="center"/>
    </xf>
    <xf numFmtId="9" fontId="24" fillId="18" borderId="1" xfId="3" applyNumberFormat="1" applyFont="1" applyFill="1" applyBorder="1" applyAlignment="1">
      <alignment horizontal="center" vertical="center"/>
    </xf>
    <xf numFmtId="0" fontId="24" fillId="0" borderId="1" xfId="0" applyFont="1" applyFill="1" applyBorder="1" applyAlignment="1">
      <alignment horizontal="left" vertical="center"/>
    </xf>
    <xf numFmtId="0" fontId="28" fillId="0" borderId="1" xfId="0" applyFont="1" applyFill="1" applyBorder="1" applyAlignment="1">
      <alignment horizontal="left" vertical="center"/>
    </xf>
    <xf numFmtId="0" fontId="0" fillId="0" borderId="1" xfId="0" applyFont="1" applyBorder="1"/>
    <xf numFmtId="0" fontId="29" fillId="17" borderId="1" xfId="0" applyFont="1" applyFill="1" applyBorder="1" applyAlignment="1">
      <alignment horizontal="left" vertical="center"/>
    </xf>
    <xf numFmtId="1" fontId="29" fillId="17" borderId="1" xfId="0" applyNumberFormat="1" applyFont="1" applyFill="1" applyBorder="1" applyAlignment="1">
      <alignment horizontal="left" vertical="center"/>
    </xf>
    <xf numFmtId="0" fontId="29" fillId="18" borderId="1" xfId="0" applyFont="1" applyFill="1" applyBorder="1" applyAlignment="1">
      <alignment horizontal="center" vertical="center"/>
    </xf>
    <xf numFmtId="168" fontId="29" fillId="18" borderId="1" xfId="0" applyNumberFormat="1" applyFont="1" applyFill="1" applyBorder="1" applyAlignment="1">
      <alignment horizontal="left" vertical="center"/>
    </xf>
    <xf numFmtId="168" fontId="29" fillId="18" borderId="1" xfId="0" applyNumberFormat="1" applyFont="1" applyFill="1" applyBorder="1" applyAlignment="1">
      <alignment horizontal="center" vertical="center"/>
    </xf>
    <xf numFmtId="1" fontId="29" fillId="18" borderId="1" xfId="0" applyNumberFormat="1" applyFont="1" applyFill="1" applyBorder="1" applyAlignment="1">
      <alignment horizontal="center" vertical="center"/>
    </xf>
    <xf numFmtId="169" fontId="29" fillId="18" borderId="1" xfId="1" applyNumberFormat="1" applyFont="1" applyFill="1" applyBorder="1" applyAlignment="1">
      <alignment horizontal="right" vertical="center"/>
    </xf>
    <xf numFmtId="0" fontId="17" fillId="0" borderId="1" xfId="4" applyFont="1" applyBorder="1"/>
    <xf numFmtId="0" fontId="23" fillId="0" borderId="1" xfId="4" applyFont="1" applyFill="1" applyBorder="1"/>
    <xf numFmtId="170" fontId="24" fillId="18" borderId="1" xfId="1" applyNumberFormat="1" applyFont="1" applyFill="1" applyBorder="1" applyAlignment="1">
      <alignment horizontal="center" vertical="center"/>
    </xf>
    <xf numFmtId="0" fontId="30" fillId="0" borderId="0" xfId="0" applyFont="1"/>
    <xf numFmtId="0" fontId="3" fillId="0" borderId="0" xfId="0" applyFont="1"/>
    <xf numFmtId="0" fontId="0" fillId="0" borderId="0" xfId="0" applyAlignment="1">
      <alignment horizontal="center"/>
    </xf>
    <xf numFmtId="169" fontId="3" fillId="0" borderId="0" xfId="1" applyNumberFormat="1" applyFont="1"/>
    <xf numFmtId="170" fontId="20" fillId="18" borderId="1" xfId="1" applyNumberFormat="1" applyFont="1" applyFill="1" applyBorder="1" applyAlignment="1">
      <alignment horizontal="right" vertical="center"/>
    </xf>
    <xf numFmtId="169" fontId="31" fillId="0" borderId="0" xfId="0" applyNumberFormat="1" applyFont="1" applyAlignment="1">
      <alignment horizontal="right"/>
    </xf>
    <xf numFmtId="0" fontId="9" fillId="0" borderId="0" xfId="0" applyFont="1"/>
    <xf numFmtId="168" fontId="0" fillId="0" borderId="0" xfId="0" applyNumberFormat="1"/>
    <xf numFmtId="169" fontId="0" fillId="0" borderId="0" xfId="0" applyNumberFormat="1" applyAlignment="1">
      <alignment horizontal="right"/>
    </xf>
    <xf numFmtId="2" fontId="0" fillId="0" borderId="0" xfId="0" applyNumberFormat="1" applyAlignment="1">
      <alignment horizontal="center"/>
    </xf>
    <xf numFmtId="2" fontId="9" fillId="0" borderId="0" xfId="0" applyNumberFormat="1" applyFont="1"/>
    <xf numFmtId="169" fontId="9" fillId="0" borderId="0" xfId="0" applyNumberFormat="1" applyFont="1"/>
    <xf numFmtId="0" fontId="18" fillId="23" borderId="10" xfId="0" applyFont="1" applyFill="1" applyBorder="1" applyAlignment="1">
      <alignment horizontal="center" vertical="center"/>
    </xf>
    <xf numFmtId="0" fontId="23" fillId="20" borderId="1" xfId="4" applyFont="1" applyFill="1" applyBorder="1" applyAlignment="1">
      <alignment horizontal="right"/>
    </xf>
    <xf numFmtId="0" fontId="17" fillId="20" borderId="1" xfId="4" applyFont="1" applyFill="1" applyBorder="1" applyAlignment="1">
      <alignment horizontal="right"/>
    </xf>
    <xf numFmtId="170" fontId="24" fillId="18" borderId="1" xfId="3" applyNumberFormat="1" applyFont="1" applyFill="1" applyBorder="1" applyAlignment="1">
      <alignment horizontal="center" vertical="center"/>
    </xf>
    <xf numFmtId="0" fontId="33" fillId="3" borderId="1" xfId="0" applyFont="1" applyFill="1" applyBorder="1"/>
    <xf numFmtId="0" fontId="3" fillId="0" borderId="0" xfId="0" applyFont="1" applyBorder="1"/>
    <xf numFmtId="0" fontId="34" fillId="0" borderId="0" xfId="0" applyFont="1"/>
    <xf numFmtId="0" fontId="10" fillId="0" borderId="0" xfId="0" applyFont="1" applyFill="1"/>
    <xf numFmtId="0" fontId="10" fillId="0" borderId="0" xfId="0" applyFont="1" applyBorder="1"/>
    <xf numFmtId="14" fontId="10" fillId="0" borderId="0" xfId="0" applyNumberFormat="1" applyFont="1" applyAlignment="1">
      <alignment horizontal="center"/>
    </xf>
    <xf numFmtId="14" fontId="10" fillId="0" borderId="0" xfId="0" applyNumberFormat="1" applyFont="1" applyFill="1"/>
    <xf numFmtId="0" fontId="3" fillId="0" borderId="0" xfId="0" applyFont="1" applyFill="1" applyBorder="1" applyAlignment="1">
      <alignment horizontal="center"/>
    </xf>
    <xf numFmtId="0" fontId="3" fillId="24" borderId="5" xfId="0" applyFont="1" applyFill="1" applyBorder="1" applyAlignment="1">
      <alignment horizontal="center" wrapText="1"/>
    </xf>
    <xf numFmtId="0" fontId="3" fillId="25" borderId="5" xfId="0" applyFont="1" applyFill="1" applyBorder="1" applyAlignment="1">
      <alignment horizontal="center" wrapText="1"/>
    </xf>
    <xf numFmtId="0" fontId="3" fillId="0" borderId="0" xfId="0" applyFont="1" applyFill="1" applyBorder="1"/>
    <xf numFmtId="0" fontId="3" fillId="0" borderId="0" xfId="0" applyFont="1" applyFill="1" applyBorder="1" applyAlignment="1">
      <alignment horizontal="right"/>
    </xf>
    <xf numFmtId="1" fontId="3" fillId="24" borderId="1" xfId="0" applyNumberFormat="1" applyFont="1" applyFill="1" applyBorder="1" applyAlignment="1">
      <alignment horizontal="center" wrapText="1"/>
    </xf>
    <xf numFmtId="1" fontId="3" fillId="25" borderId="1" xfId="0" applyNumberFormat="1" applyFont="1" applyFill="1" applyBorder="1" applyAlignment="1">
      <alignment horizontal="center" wrapText="1"/>
    </xf>
    <xf numFmtId="0" fontId="3" fillId="0" borderId="0" xfId="0" applyFont="1" applyFill="1"/>
    <xf numFmtId="0" fontId="35" fillId="26" borderId="8" xfId="0" applyFont="1" applyFill="1" applyBorder="1"/>
    <xf numFmtId="166" fontId="35" fillId="26" borderId="8" xfId="0" applyNumberFormat="1" applyFont="1" applyFill="1" applyBorder="1"/>
    <xf numFmtId="166" fontId="35" fillId="26" borderId="1" xfId="0" applyNumberFormat="1" applyFont="1" applyFill="1" applyBorder="1"/>
    <xf numFmtId="166" fontId="36" fillId="25" borderId="1" xfId="0" applyNumberFormat="1" applyFont="1" applyFill="1" applyBorder="1"/>
    <xf numFmtId="0" fontId="37" fillId="0" borderId="0" xfId="0" applyFont="1" applyFill="1"/>
    <xf numFmtId="0" fontId="3" fillId="19" borderId="1" xfId="0" applyFont="1" applyFill="1" applyBorder="1" applyAlignment="1">
      <alignment wrapText="1"/>
    </xf>
    <xf numFmtId="166" fontId="3" fillId="27" borderId="1" xfId="0" applyNumberFormat="1" applyFont="1" applyFill="1" applyBorder="1"/>
    <xf numFmtId="166" fontId="0" fillId="19" borderId="1" xfId="0" applyNumberFormat="1" applyFill="1" applyBorder="1"/>
    <xf numFmtId="166" fontId="0" fillId="19" borderId="1" xfId="0" applyNumberFormat="1" applyFont="1" applyFill="1" applyBorder="1"/>
    <xf numFmtId="166" fontId="0" fillId="25" borderId="1" xfId="0" applyNumberFormat="1" applyFill="1" applyBorder="1"/>
    <xf numFmtId="165" fontId="3" fillId="27" borderId="1" xfId="3" applyNumberFormat="1" applyFont="1" applyFill="1" applyBorder="1"/>
    <xf numFmtId="166" fontId="0" fillId="19" borderId="1" xfId="0" applyNumberFormat="1" applyFill="1" applyBorder="1" applyAlignment="1">
      <alignment horizontal="center"/>
    </xf>
    <xf numFmtId="0" fontId="3" fillId="19" borderId="10" xfId="0" applyFont="1" applyFill="1" applyBorder="1" applyAlignment="1">
      <alignment vertical="top" wrapText="1"/>
    </xf>
    <xf numFmtId="0" fontId="3" fillId="19" borderId="8" xfId="0" applyFont="1" applyFill="1" applyBorder="1" applyAlignment="1">
      <alignment vertical="top" wrapText="1"/>
    </xf>
    <xf numFmtId="0" fontId="38" fillId="19" borderId="1" xfId="0" applyFont="1" applyFill="1" applyBorder="1"/>
    <xf numFmtId="0" fontId="38" fillId="19" borderId="1" xfId="0" applyFont="1" applyFill="1" applyBorder="1" applyAlignment="1">
      <alignment wrapText="1"/>
    </xf>
    <xf numFmtId="166" fontId="38" fillId="27" borderId="1" xfId="0" applyNumberFormat="1" applyFont="1" applyFill="1" applyBorder="1"/>
    <xf numFmtId="166" fontId="38" fillId="19" borderId="1" xfId="0" applyNumberFormat="1" applyFont="1" applyFill="1" applyBorder="1"/>
    <xf numFmtId="166" fontId="38" fillId="25" borderId="1" xfId="0" applyNumberFormat="1" applyFont="1" applyFill="1" applyBorder="1"/>
    <xf numFmtId="0" fontId="38" fillId="0" borderId="0" xfId="0" applyFont="1" applyFill="1"/>
    <xf numFmtId="165" fontId="38" fillId="0" borderId="1" xfId="0" applyNumberFormat="1" applyFont="1" applyFill="1" applyBorder="1"/>
    <xf numFmtId="0" fontId="3" fillId="28" borderId="1" xfId="0" applyFont="1" applyFill="1" applyBorder="1" applyAlignment="1">
      <alignment wrapText="1"/>
    </xf>
    <xf numFmtId="0" fontId="3" fillId="28" borderId="1" xfId="0" applyFont="1" applyFill="1" applyBorder="1"/>
    <xf numFmtId="166" fontId="3" fillId="13" borderId="1" xfId="0" applyNumberFormat="1" applyFont="1" applyFill="1" applyBorder="1"/>
    <xf numFmtId="166" fontId="0" fillId="28" borderId="1" xfId="0" applyNumberFormat="1" applyFill="1" applyBorder="1"/>
    <xf numFmtId="166" fontId="38" fillId="27" borderId="2" xfId="0" applyNumberFormat="1" applyFont="1" applyFill="1" applyBorder="1" applyAlignment="1">
      <alignment horizontal="center"/>
    </xf>
    <xf numFmtId="166" fontId="38" fillId="27" borderId="5" xfId="0" applyNumberFormat="1" applyFont="1" applyFill="1" applyBorder="1" applyAlignment="1">
      <alignment horizontal="center"/>
    </xf>
    <xf numFmtId="0" fontId="3" fillId="28" borderId="8" xfId="0" applyFont="1" applyFill="1" applyBorder="1" applyAlignment="1">
      <alignment vertical="top" wrapText="1"/>
    </xf>
    <xf numFmtId="0" fontId="39" fillId="28" borderId="1" xfId="0" applyFont="1" applyFill="1" applyBorder="1" applyAlignment="1">
      <alignment wrapText="1"/>
    </xf>
    <xf numFmtId="0" fontId="39" fillId="28" borderId="1" xfId="0" applyFont="1" applyFill="1" applyBorder="1"/>
    <xf numFmtId="166" fontId="39" fillId="13" borderId="1" xfId="0" applyNumberFormat="1" applyFont="1" applyFill="1" applyBorder="1"/>
    <xf numFmtId="166" fontId="39" fillId="28" borderId="1" xfId="0" applyNumberFormat="1" applyFont="1" applyFill="1" applyBorder="1"/>
    <xf numFmtId="166" fontId="39" fillId="25" borderId="1" xfId="0" applyNumberFormat="1" applyFont="1" applyFill="1" applyBorder="1"/>
    <xf numFmtId="0" fontId="39" fillId="0" borderId="0" xfId="0" applyFont="1" applyFill="1"/>
    <xf numFmtId="165" fontId="3" fillId="13" borderId="1" xfId="3" applyNumberFormat="1" applyFont="1" applyFill="1" applyBorder="1"/>
    <xf numFmtId="0" fontId="35" fillId="26" borderId="1" xfId="0" applyFont="1" applyFill="1" applyBorder="1"/>
    <xf numFmtId="0" fontId="10" fillId="0" borderId="0" xfId="0" applyFont="1" applyAlignment="1">
      <alignment wrapText="1"/>
    </xf>
    <xf numFmtId="14" fontId="10" fillId="0" borderId="0" xfId="0" applyNumberFormat="1" applyFont="1" applyAlignment="1">
      <alignment wrapText="1"/>
    </xf>
    <xf numFmtId="0" fontId="10" fillId="4" borderId="0" xfId="0" applyFont="1" applyFill="1" applyAlignment="1">
      <alignment horizontal="center" wrapText="1"/>
    </xf>
    <xf numFmtId="166" fontId="40" fillId="27" borderId="0" xfId="0" applyNumberFormat="1" applyFont="1" applyFill="1" applyAlignment="1">
      <alignment wrapText="1"/>
    </xf>
    <xf numFmtId="167" fontId="40" fillId="0" borderId="0" xfId="0" applyNumberFormat="1" applyFont="1" applyAlignment="1">
      <alignment wrapText="1"/>
    </xf>
    <xf numFmtId="0" fontId="10" fillId="22" borderId="0" xfId="0" applyFont="1" applyFill="1" applyAlignment="1">
      <alignment horizontal="center" wrapText="1"/>
    </xf>
    <xf numFmtId="166" fontId="41" fillId="21" borderId="0" xfId="0" applyNumberFormat="1" applyFont="1" applyFill="1" applyAlignment="1">
      <alignment wrapText="1"/>
    </xf>
    <xf numFmtId="167" fontId="41" fillId="0" borderId="0" xfId="0" applyNumberFormat="1" applyFont="1" applyAlignment="1">
      <alignment wrapText="1"/>
    </xf>
    <xf numFmtId="0" fontId="3" fillId="16" borderId="0" xfId="0" applyFont="1" applyFill="1" applyAlignment="1">
      <alignment horizontal="center"/>
    </xf>
    <xf numFmtId="166" fontId="3" fillId="0" borderId="0" xfId="0" applyNumberFormat="1" applyFont="1"/>
    <xf numFmtId="167" fontId="3" fillId="0" borderId="0" xfId="0" applyNumberFormat="1" applyFont="1"/>
    <xf numFmtId="165" fontId="39" fillId="0" borderId="1" xfId="3" applyNumberFormat="1" applyFont="1" applyFill="1" applyBorder="1"/>
    <xf numFmtId="167" fontId="3" fillId="0" borderId="0" xfId="0" applyNumberFormat="1" applyFont="1" applyAlignment="1">
      <alignment horizontal="center"/>
    </xf>
    <xf numFmtId="0" fontId="3" fillId="29" borderId="1" xfId="0" applyFont="1" applyFill="1" applyBorder="1" applyAlignment="1">
      <alignment horizontal="center"/>
    </xf>
    <xf numFmtId="169" fontId="3" fillId="29" borderId="1" xfId="1" applyNumberFormat="1" applyFont="1" applyFill="1" applyBorder="1" applyAlignment="1">
      <alignment horizontal="center" wrapText="1"/>
    </xf>
    <xf numFmtId="165" fontId="39" fillId="0" borderId="5" xfId="3" applyNumberFormat="1" applyFont="1" applyFill="1" applyBorder="1" applyAlignment="1">
      <alignment horizontal="center"/>
    </xf>
    <xf numFmtId="0" fontId="3" fillId="29" borderId="11" xfId="0" applyFont="1" applyFill="1" applyBorder="1" applyAlignment="1">
      <alignment horizontal="center" vertical="top" wrapText="1"/>
    </xf>
    <xf numFmtId="0" fontId="3" fillId="29" borderId="1" xfId="0" applyFont="1" applyFill="1" applyBorder="1" applyAlignment="1">
      <alignment horizontal="right"/>
    </xf>
    <xf numFmtId="166" fontId="39" fillId="13" borderId="2" xfId="0" applyNumberFormat="1" applyFont="1" applyFill="1" applyBorder="1" applyAlignment="1">
      <alignment horizontal="center"/>
    </xf>
    <xf numFmtId="166" fontId="39" fillId="13" borderId="5" xfId="0" applyNumberFormat="1" applyFont="1" applyFill="1" applyBorder="1" applyAlignment="1">
      <alignment horizontal="center"/>
    </xf>
    <xf numFmtId="164" fontId="3" fillId="29" borderId="1" xfId="2" applyNumberFormat="1" applyFont="1" applyFill="1" applyBorder="1" applyAlignment="1">
      <alignment horizontal="center" wrapText="1"/>
    </xf>
    <xf numFmtId="43" fontId="3" fillId="29" borderId="1" xfId="1" applyNumberFormat="1" applyFont="1" applyFill="1" applyBorder="1" applyAlignment="1">
      <alignment horizontal="center" wrapText="1"/>
    </xf>
    <xf numFmtId="0" fontId="3" fillId="0" borderId="0" xfId="0" applyFont="1" applyAlignment="1">
      <alignment horizontal="right"/>
    </xf>
    <xf numFmtId="2" fontId="42" fillId="0" borderId="0" xfId="0" applyNumberFormat="1" applyFont="1"/>
    <xf numFmtId="0" fontId="3" fillId="0" borderId="0" xfId="0" applyFont="1" applyAlignment="1">
      <alignment horizontal="center" vertical="center" wrapText="1"/>
    </xf>
    <xf numFmtId="169" fontId="0" fillId="0" borderId="0" xfId="0" applyNumberFormat="1"/>
    <xf numFmtId="165" fontId="0" fillId="0" borderId="0" xfId="3" applyNumberFormat="1" applyFont="1" applyAlignment="1">
      <alignment horizontal="center"/>
    </xf>
    <xf numFmtId="0" fontId="0" fillId="0" borderId="0" xfId="0" applyAlignment="1">
      <alignment wrapText="1"/>
    </xf>
    <xf numFmtId="166" fontId="0" fillId="0" borderId="0" xfId="0" applyNumberFormat="1" applyFill="1"/>
    <xf numFmtId="166" fontId="0" fillId="0" borderId="0" xfId="0" applyNumberFormat="1"/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45" fillId="0" borderId="0" xfId="4" applyFont="1" applyBorder="1" applyAlignment="1">
      <alignment horizontal="left"/>
    </xf>
    <xf numFmtId="0" fontId="12" fillId="0" borderId="0" xfId="4" applyFont="1" applyBorder="1"/>
    <xf numFmtId="0" fontId="43" fillId="30" borderId="0" xfId="4" applyFont="1" applyFill="1" applyBorder="1" applyAlignment="1">
      <alignment horizontal="center"/>
    </xf>
    <xf numFmtId="0" fontId="43" fillId="30" borderId="0" xfId="4" applyFont="1" applyFill="1" applyBorder="1" applyAlignment="1">
      <alignment horizontal="left"/>
    </xf>
    <xf numFmtId="0" fontId="43" fillId="30" borderId="0" xfId="4" applyFont="1" applyFill="1" applyBorder="1" applyAlignment="1">
      <alignment horizontal="center"/>
    </xf>
    <xf numFmtId="0" fontId="44" fillId="30" borderId="0" xfId="4" applyFont="1" applyFill="1" applyBorder="1" applyAlignment="1">
      <alignment horizontal="center"/>
    </xf>
    <xf numFmtId="0" fontId="14" fillId="31" borderId="0" xfId="4" applyFont="1" applyFill="1" applyBorder="1" applyAlignment="1">
      <alignment horizontal="left"/>
    </xf>
    <xf numFmtId="0" fontId="14" fillId="32" borderId="0" xfId="4" applyFont="1" applyFill="1" applyBorder="1" applyAlignment="1">
      <alignment horizontal="left"/>
    </xf>
    <xf numFmtId="0" fontId="14" fillId="32" borderId="0" xfId="4" applyFont="1" applyFill="1" applyBorder="1" applyAlignment="1">
      <alignment horizontal="center"/>
    </xf>
    <xf numFmtId="0" fontId="46" fillId="33" borderId="0" xfId="4" applyFont="1" applyFill="1" applyBorder="1" applyAlignment="1">
      <alignment horizontal="center"/>
    </xf>
    <xf numFmtId="0" fontId="11" fillId="0" borderId="0" xfId="4" applyBorder="1" applyAlignment="1">
      <alignment horizontal="left"/>
    </xf>
    <xf numFmtId="0" fontId="14" fillId="30" borderId="0" xfId="4" applyFont="1" applyFill="1" applyBorder="1" applyAlignment="1">
      <alignment horizontal="left"/>
    </xf>
    <xf numFmtId="0" fontId="14" fillId="30" borderId="0" xfId="4" applyFont="1" applyFill="1" applyBorder="1" applyAlignment="1">
      <alignment horizontal="center"/>
    </xf>
    <xf numFmtId="0" fontId="14" fillId="12" borderId="0" xfId="4" applyFont="1" applyFill="1" applyBorder="1" applyAlignment="1">
      <alignment horizontal="left"/>
    </xf>
    <xf numFmtId="0" fontId="46" fillId="30" borderId="0" xfId="4" applyFont="1" applyFill="1" applyBorder="1" applyAlignment="1">
      <alignment horizontal="center"/>
    </xf>
    <xf numFmtId="0" fontId="23" fillId="20" borderId="0" xfId="4" applyFont="1" applyFill="1" applyBorder="1" applyAlignment="1">
      <alignment horizontal="right"/>
    </xf>
    <xf numFmtId="0" fontId="23" fillId="0" borderId="0" xfId="4" applyFont="1" applyBorder="1"/>
    <xf numFmtId="1" fontId="23" fillId="0" borderId="0" xfId="4" applyNumberFormat="1" applyFont="1" applyBorder="1"/>
    <xf numFmtId="0" fontId="12" fillId="0" borderId="0" xfId="4" applyFont="1" applyFill="1" applyBorder="1" applyAlignment="1">
      <alignment horizontal="center"/>
    </xf>
    <xf numFmtId="1" fontId="47" fillId="0" borderId="0" xfId="4" applyNumberFormat="1" applyFont="1" applyBorder="1" applyAlignment="1">
      <alignment horizontal="right"/>
    </xf>
    <xf numFmtId="14" fontId="23" fillId="0" borderId="0" xfId="4" applyNumberFormat="1" applyFont="1" applyBorder="1"/>
    <xf numFmtId="0" fontId="48" fillId="0" borderId="0" xfId="4" applyFont="1" applyBorder="1"/>
    <xf numFmtId="0" fontId="49" fillId="0" borderId="0" xfId="4" applyFont="1" applyBorder="1" applyAlignment="1">
      <alignment horizontal="center"/>
    </xf>
    <xf numFmtId="0" fontId="50" fillId="0" borderId="0" xfId="4" applyFont="1" applyFill="1" applyBorder="1" applyAlignment="1">
      <alignment horizontal="center"/>
    </xf>
    <xf numFmtId="0" fontId="51" fillId="0" borderId="0" xfId="4" applyFont="1" applyFill="1" applyBorder="1" applyAlignment="1">
      <alignment horizontal="center"/>
    </xf>
    <xf numFmtId="0" fontId="11" fillId="0" borderId="0" xfId="4"/>
    <xf numFmtId="0" fontId="11" fillId="0" borderId="0" xfId="4" applyBorder="1"/>
    <xf numFmtId="0" fontId="50" fillId="0" borderId="0" xfId="4" applyFont="1" applyBorder="1" applyAlignment="1">
      <alignment horizontal="center"/>
    </xf>
    <xf numFmtId="0" fontId="43" fillId="23" borderId="0" xfId="4" applyFont="1" applyFill="1" applyBorder="1" applyAlignment="1">
      <alignment horizontal="center"/>
    </xf>
    <xf numFmtId="0" fontId="43" fillId="23" borderId="0" xfId="4" applyFont="1" applyFill="1" applyBorder="1" applyAlignment="1">
      <alignment horizontal="left"/>
    </xf>
    <xf numFmtId="0" fontId="43" fillId="23" borderId="0" xfId="4" applyFont="1" applyFill="1" applyBorder="1" applyAlignment="1">
      <alignment horizontal="center"/>
    </xf>
    <xf numFmtId="0" fontId="44" fillId="23" borderId="0" xfId="4" applyFont="1" applyFill="1" applyBorder="1" applyAlignment="1">
      <alignment horizontal="center"/>
    </xf>
    <xf numFmtId="0" fontId="14" fillId="34" borderId="0" xfId="4" applyFont="1" applyFill="1" applyBorder="1" applyAlignment="1">
      <alignment horizontal="left"/>
    </xf>
    <xf numFmtId="0" fontId="14" fillId="35" borderId="0" xfId="4" applyFont="1" applyFill="1" applyBorder="1" applyAlignment="1">
      <alignment horizontal="left"/>
    </xf>
    <xf numFmtId="0" fontId="14" fillId="35" borderId="0" xfId="4" applyFont="1" applyFill="1" applyBorder="1" applyAlignment="1">
      <alignment horizontal="center"/>
    </xf>
    <xf numFmtId="0" fontId="46" fillId="36" borderId="0" xfId="4" applyFont="1" applyFill="1" applyBorder="1" applyAlignment="1">
      <alignment horizontal="center"/>
    </xf>
    <xf numFmtId="0" fontId="14" fillId="23" borderId="0" xfId="4" applyFont="1" applyFill="1" applyBorder="1" applyAlignment="1">
      <alignment horizontal="left"/>
    </xf>
    <xf numFmtId="0" fontId="14" fillId="23" borderId="0" xfId="4" applyFont="1" applyFill="1" applyBorder="1" applyAlignment="1">
      <alignment horizontal="center"/>
    </xf>
    <xf numFmtId="0" fontId="14" fillId="22" borderId="0" xfId="4" applyFont="1" applyFill="1" applyBorder="1" applyAlignment="1">
      <alignment horizontal="left"/>
    </xf>
    <xf numFmtId="0" fontId="46" fillId="23" borderId="0" xfId="4" applyFont="1" applyFill="1" applyBorder="1" applyAlignment="1">
      <alignment horizontal="center"/>
    </xf>
    <xf numFmtId="0" fontId="49" fillId="0" borderId="0" xfId="4" applyFont="1" applyFill="1" applyBorder="1" applyAlignment="1">
      <alignment horizontal="center"/>
    </xf>
    <xf numFmtId="0" fontId="46" fillId="37" borderId="0" xfId="4" applyFont="1" applyFill="1" applyBorder="1" applyAlignment="1">
      <alignment horizontal="center"/>
    </xf>
    <xf numFmtId="1" fontId="11" fillId="0" borderId="0" xfId="4" applyNumberFormat="1"/>
    <xf numFmtId="0" fontId="17" fillId="20" borderId="0" xfId="4" applyFont="1" applyFill="1" applyBorder="1" applyAlignment="1">
      <alignment horizontal="right"/>
    </xf>
    <xf numFmtId="1" fontId="11" fillId="0" borderId="0" xfId="4" applyNumberFormat="1" applyBorder="1"/>
    <xf numFmtId="0" fontId="11" fillId="0" borderId="0" xfId="4" applyAlignment="1">
      <alignment horizontal="center"/>
    </xf>
    <xf numFmtId="0" fontId="11" fillId="0" borderId="0" xfId="4" applyFill="1" applyAlignment="1">
      <alignment horizontal="center"/>
    </xf>
    <xf numFmtId="0" fontId="16" fillId="20" borderId="0" xfId="4" applyFont="1" applyFill="1" applyBorder="1" applyAlignment="1">
      <alignment horizontal="right"/>
    </xf>
    <xf numFmtId="0" fontId="11" fillId="0" borderId="0" xfId="4" applyBorder="1" applyAlignment="1">
      <alignment horizontal="center"/>
    </xf>
    <xf numFmtId="0" fontId="51" fillId="0" borderId="0" xfId="4" applyFont="1" applyBorder="1" applyAlignment="1">
      <alignment horizontal="center"/>
    </xf>
    <xf numFmtId="0" fontId="52" fillId="0" borderId="12" xfId="4" applyFont="1" applyBorder="1"/>
    <xf numFmtId="0" fontId="51" fillId="0" borderId="0" xfId="4" applyFont="1" applyAlignment="1">
      <alignment horizontal="center"/>
    </xf>
    <xf numFmtId="14" fontId="52" fillId="0" borderId="13" xfId="4" applyNumberFormat="1" applyFont="1" applyBorder="1"/>
    <xf numFmtId="14" fontId="11" fillId="0" borderId="0" xfId="4" applyNumberFormat="1"/>
    <xf numFmtId="0" fontId="12" fillId="0" borderId="0" xfId="4" applyFont="1"/>
    <xf numFmtId="0" fontId="53" fillId="0" borderId="0" xfId="4" applyFont="1" applyAlignment="1">
      <alignment horizontal="center"/>
    </xf>
    <xf numFmtId="1" fontId="54" fillId="0" borderId="0" xfId="4" applyNumberFormat="1" applyFont="1" applyBorder="1"/>
    <xf numFmtId="14" fontId="54" fillId="0" borderId="0" xfId="4" applyNumberFormat="1" applyFont="1" applyBorder="1"/>
    <xf numFmtId="0" fontId="0" fillId="17" borderId="0" xfId="0" applyFill="1" applyBorder="1"/>
    <xf numFmtId="0" fontId="43" fillId="38" borderId="0" xfId="4" applyFont="1" applyFill="1" applyBorder="1" applyAlignment="1">
      <alignment horizontal="center"/>
    </xf>
    <xf numFmtId="0" fontId="43" fillId="38" borderId="0" xfId="4" applyFont="1" applyFill="1" applyBorder="1" applyAlignment="1">
      <alignment horizontal="left"/>
    </xf>
    <xf numFmtId="0" fontId="43" fillId="38" borderId="0" xfId="4" applyFont="1" applyFill="1" applyBorder="1" applyAlignment="1">
      <alignment horizontal="center"/>
    </xf>
    <xf numFmtId="0" fontId="44" fillId="38" borderId="0" xfId="4" applyFont="1" applyFill="1" applyBorder="1" applyAlignment="1">
      <alignment horizontal="center"/>
    </xf>
    <xf numFmtId="0" fontId="14" fillId="38" borderId="0" xfId="4" applyFont="1" applyFill="1" applyBorder="1" applyAlignment="1">
      <alignment horizontal="left"/>
    </xf>
    <xf numFmtId="0" fontId="14" fillId="38" borderId="0" xfId="4" applyFont="1" applyFill="1" applyBorder="1" applyAlignment="1">
      <alignment horizontal="center"/>
    </xf>
    <xf numFmtId="0" fontId="46" fillId="38" borderId="0" xfId="4" applyFont="1" applyFill="1" applyBorder="1" applyAlignment="1">
      <alignment horizontal="center"/>
    </xf>
    <xf numFmtId="0" fontId="43" fillId="26" borderId="0" xfId="4" applyFont="1" applyFill="1" applyBorder="1" applyAlignment="1">
      <alignment horizontal="center"/>
    </xf>
    <xf numFmtId="0" fontId="43" fillId="26" borderId="0" xfId="4" applyFont="1" applyFill="1" applyBorder="1" applyAlignment="1">
      <alignment horizontal="left"/>
    </xf>
    <xf numFmtId="0" fontId="43" fillId="26" borderId="0" xfId="4" applyFont="1" applyFill="1" applyBorder="1" applyAlignment="1">
      <alignment horizontal="center"/>
    </xf>
    <xf numFmtId="0" fontId="14" fillId="39" borderId="0" xfId="4" applyFont="1" applyFill="1" applyBorder="1" applyAlignment="1">
      <alignment horizontal="left"/>
    </xf>
    <xf numFmtId="0" fontId="14" fillId="40" borderId="0" xfId="4" applyFont="1" applyFill="1" applyBorder="1" applyAlignment="1">
      <alignment horizontal="left"/>
    </xf>
    <xf numFmtId="0" fontId="14" fillId="40" borderId="0" xfId="4" applyFont="1" applyFill="1" applyBorder="1" applyAlignment="1">
      <alignment horizontal="center"/>
    </xf>
    <xf numFmtId="0" fontId="14" fillId="26" borderId="0" xfId="4" applyFont="1" applyFill="1" applyBorder="1" applyAlignment="1">
      <alignment horizontal="left"/>
    </xf>
    <xf numFmtId="0" fontId="14" fillId="26" borderId="0" xfId="4" applyFont="1" applyFill="1" applyBorder="1" applyAlignment="1">
      <alignment horizontal="center"/>
    </xf>
    <xf numFmtId="0" fontId="11" fillId="0" borderId="0" xfId="4" applyFont="1" applyFill="1" applyBorder="1" applyAlignment="1">
      <alignment horizontal="center"/>
    </xf>
    <xf numFmtId="0" fontId="11" fillId="0" borderId="0" xfId="4" applyFill="1" applyBorder="1" applyAlignment="1">
      <alignment horizontal="center"/>
    </xf>
  </cellXfs>
  <cellStyles count="5">
    <cellStyle name="Excel Built-in Normal" xfId="4" xr:uid="{FF4DC5AE-A287-481A-9694-3CDB203E2093}"/>
    <cellStyle name="Millares" xfId="1" builtinId="3"/>
    <cellStyle name="Moneda" xfId="2" builtinId="4"/>
    <cellStyle name="Normal" xfId="0" builtinId="0"/>
    <cellStyle name="Porcentaje" xfId="3" builtinId="5"/>
  </cellStyles>
  <dxfs count="20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b/>
        <i val="0"/>
        <color auto="1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[1]EconomiaT50!$B$6</c:f>
              <c:strCache>
                <c:ptCount val="1"/>
                <c:pt idx="0">
                  <c:v>Taquillas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0</c:v>
              </c:pt>
            </c:numLit>
          </c:cat>
          <c:val>
            <c:numRef>
              <c:f>[1]EconomiaT50!$C$6</c:f>
              <c:numCache>
                <c:formatCode>General</c:formatCode>
                <c:ptCount val="1"/>
                <c:pt idx="0">
                  <c:v>6222531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53-4D27-8E0E-DC9E2A439352}"/>
            </c:ext>
          </c:extLst>
        </c:ser>
        <c:ser>
          <c:idx val="1"/>
          <c:order val="1"/>
          <c:tx>
            <c:strRef>
              <c:f>[1]EconomiaT50!$B$7</c:f>
              <c:strCache>
                <c:ptCount val="1"/>
                <c:pt idx="0">
                  <c:v>Patrocinadores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0</c:v>
              </c:pt>
            </c:numLit>
          </c:cat>
          <c:val>
            <c:numRef>
              <c:f>[1]EconomiaT50!$C$7</c:f>
              <c:numCache>
                <c:formatCode>General</c:formatCode>
                <c:ptCount val="1"/>
                <c:pt idx="0">
                  <c:v>3046995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53-4D27-8E0E-DC9E2A439352}"/>
            </c:ext>
          </c:extLst>
        </c:ser>
        <c:ser>
          <c:idx val="2"/>
          <c:order val="2"/>
          <c:tx>
            <c:strRef>
              <c:f>[1]EconomiaT50!$B$8</c:f>
              <c:strCache>
                <c:ptCount val="1"/>
                <c:pt idx="0">
                  <c:v>Ventas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0</c:v>
              </c:pt>
            </c:numLit>
          </c:cat>
          <c:val>
            <c:numRef>
              <c:f>[1]EconomiaT50!$C$8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653-4D27-8E0E-DC9E2A439352}"/>
            </c:ext>
          </c:extLst>
        </c:ser>
        <c:ser>
          <c:idx val="3"/>
          <c:order val="3"/>
          <c:tx>
            <c:strRef>
              <c:f>[1]EconomiaT50!$B$9</c:f>
              <c:strCache>
                <c:ptCount val="1"/>
                <c:pt idx="0">
                  <c:v>VentasCantera</c:v>
                </c:pt>
              </c:strCache>
            </c:strRef>
          </c:tx>
          <c:invertIfNegative val="0"/>
          <c:dLbls>
            <c:numFmt formatCode="#,##0\ &quot;€&quot;" sourceLinked="0"/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0</c:v>
              </c:pt>
            </c:numLit>
          </c:cat>
          <c:val>
            <c:numRef>
              <c:f>[1]EconomiaT50!$C$9</c:f>
              <c:numCache>
                <c:formatCode>General</c:formatCode>
                <c:ptCount val="1"/>
                <c:pt idx="0">
                  <c:v>585827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653-4D27-8E0E-DC9E2A439352}"/>
            </c:ext>
          </c:extLst>
        </c:ser>
        <c:ser>
          <c:idx val="4"/>
          <c:order val="4"/>
          <c:tx>
            <c:strRef>
              <c:f>[1]EconomiaT50!$B$10</c:f>
              <c:strCache>
                <c:ptCount val="1"/>
                <c:pt idx="0">
                  <c:v>Comisiones</c:v>
                </c:pt>
              </c:strCache>
            </c:strRef>
          </c:tx>
          <c:invertIfNegative val="0"/>
          <c:cat>
            <c:numLit>
              <c:formatCode>General</c:formatCode>
              <c:ptCount val="1"/>
              <c:pt idx="0">
                <c:v>0</c:v>
              </c:pt>
            </c:numLit>
          </c:cat>
          <c:val>
            <c:numRef>
              <c:f>[1]EconomiaT50!$C$10</c:f>
              <c:numCache>
                <c:formatCode>General</c:formatCode>
                <c:ptCount val="1"/>
                <c:pt idx="0">
                  <c:v>73830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653-4D27-8E0E-DC9E2A439352}"/>
            </c:ext>
          </c:extLst>
        </c:ser>
        <c:ser>
          <c:idx val="5"/>
          <c:order val="5"/>
          <c:tx>
            <c:strRef>
              <c:f>[1]EconomiaT50!$B$11</c:f>
              <c:strCache>
                <c:ptCount val="1"/>
                <c:pt idx="0">
                  <c:v>Nuevos Socios</c:v>
                </c:pt>
              </c:strCache>
            </c:strRef>
          </c:tx>
          <c:invertIfNegative val="0"/>
          <c:cat>
            <c:numLit>
              <c:formatCode>General</c:formatCode>
              <c:ptCount val="1"/>
              <c:pt idx="0">
                <c:v>0</c:v>
              </c:pt>
            </c:numLit>
          </c:cat>
          <c:val>
            <c:numRef>
              <c:f>[1]EconomiaT50!$C$11</c:f>
              <c:numCache>
                <c:formatCode>General</c:formatCode>
                <c:ptCount val="1"/>
                <c:pt idx="0">
                  <c:v>89520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653-4D27-8E0E-DC9E2A439352}"/>
            </c:ext>
          </c:extLst>
        </c:ser>
        <c:ser>
          <c:idx val="6"/>
          <c:order val="6"/>
          <c:tx>
            <c:strRef>
              <c:f>[1]EconomiaT50!$B$12</c:f>
              <c:strCache>
                <c:ptCount val="1"/>
                <c:pt idx="0">
                  <c:v>Premios</c:v>
                </c:pt>
              </c:strCache>
            </c:strRef>
          </c:tx>
          <c:invertIfNegative val="0"/>
          <c:cat>
            <c:numLit>
              <c:formatCode>General</c:formatCode>
              <c:ptCount val="1"/>
              <c:pt idx="0">
                <c:v>0</c:v>
              </c:pt>
            </c:numLit>
          </c:cat>
          <c:val>
            <c:numRef>
              <c:f>[1]EconomiaT50!$C$12</c:f>
              <c:numCache>
                <c:formatCode>General</c:formatCode>
                <c:ptCount val="1"/>
                <c:pt idx="0">
                  <c:v>925000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653-4D27-8E0E-DC9E2A4393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567572512"/>
        <c:axId val="-567571968"/>
      </c:barChart>
      <c:catAx>
        <c:axId val="-567572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567571968"/>
        <c:crosses val="autoZero"/>
        <c:auto val="1"/>
        <c:lblAlgn val="ctr"/>
        <c:lblOffset val="100"/>
        <c:noMultiLvlLbl val="0"/>
      </c:catAx>
      <c:valAx>
        <c:axId val="-567571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67572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[1]EconomiaT50!$B$14</c:f>
              <c:strCache>
                <c:ptCount val="1"/>
                <c:pt idx="0">
                  <c:v>Sueldos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0</c:v>
              </c:pt>
            </c:numLit>
          </c:cat>
          <c:val>
            <c:numRef>
              <c:f>[1]EconomiaT50!$C$14</c:f>
              <c:numCache>
                <c:formatCode>General</c:formatCode>
                <c:ptCount val="1"/>
                <c:pt idx="0">
                  <c:v>2646284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C3-41AC-AFF7-7FDD79251039}"/>
            </c:ext>
          </c:extLst>
        </c:ser>
        <c:ser>
          <c:idx val="1"/>
          <c:order val="1"/>
          <c:tx>
            <c:strRef>
              <c:f>[1]EconomiaT50!$B$15</c:f>
              <c:strCache>
                <c:ptCount val="1"/>
                <c:pt idx="0">
                  <c:v>Mantenimiento 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0</c:v>
              </c:pt>
            </c:numLit>
          </c:cat>
          <c:val>
            <c:numRef>
              <c:f>[1]EconomiaT50!$C$15</c:f>
              <c:numCache>
                <c:formatCode>General</c:formatCode>
                <c:ptCount val="1"/>
                <c:pt idx="0">
                  <c:v>686244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C3-41AC-AFF7-7FDD79251039}"/>
            </c:ext>
          </c:extLst>
        </c:ser>
        <c:ser>
          <c:idx val="2"/>
          <c:order val="2"/>
          <c:tx>
            <c:strRef>
              <c:f>[1]EconomiaT50!$B$16</c:f>
              <c:strCache>
                <c:ptCount val="1"/>
                <c:pt idx="0">
                  <c:v>Estadio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0</c:v>
              </c:pt>
            </c:numLit>
          </c:cat>
          <c:val>
            <c:numRef>
              <c:f>[1]EconomiaT50!$C$16</c:f>
              <c:numCache>
                <c:formatCode>General</c:formatCode>
                <c:ptCount val="1"/>
                <c:pt idx="0">
                  <c:v>442795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9C3-41AC-AFF7-7FDD79251039}"/>
            </c:ext>
          </c:extLst>
        </c:ser>
        <c:ser>
          <c:idx val="3"/>
          <c:order val="3"/>
          <c:tx>
            <c:strRef>
              <c:f>[1]EconomiaT50!$B$17</c:f>
              <c:strCache>
                <c:ptCount val="1"/>
                <c:pt idx="0">
                  <c:v>Empleados</c:v>
                </c:pt>
              </c:strCache>
            </c:strRef>
          </c:tx>
          <c:invertIfNegative val="0"/>
          <c:dLbls>
            <c:numFmt formatCode="#,##0\ &quot;€&quot;" sourceLinked="0"/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0</c:v>
              </c:pt>
            </c:numLit>
          </c:cat>
          <c:val>
            <c:numRef>
              <c:f>[1]EconomiaT50!$C$17</c:f>
              <c:numCache>
                <c:formatCode>General</c:formatCode>
                <c:ptCount val="1"/>
                <c:pt idx="0">
                  <c:v>1044480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9C3-41AC-AFF7-7FDD79251039}"/>
            </c:ext>
          </c:extLst>
        </c:ser>
        <c:ser>
          <c:idx val="4"/>
          <c:order val="4"/>
          <c:tx>
            <c:strRef>
              <c:f>[1]EconomiaT50!$B$18</c:f>
              <c:strCache>
                <c:ptCount val="1"/>
                <c:pt idx="0">
                  <c:v>Juveniles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0</c:v>
              </c:pt>
            </c:numLit>
          </c:cat>
          <c:val>
            <c:numRef>
              <c:f>[1]EconomiaT50!$C$18</c:f>
              <c:numCache>
                <c:formatCode>General</c:formatCode>
                <c:ptCount val="1"/>
                <c:pt idx="0">
                  <c:v>320000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9C3-41AC-AFF7-7FDD79251039}"/>
            </c:ext>
          </c:extLst>
        </c:ser>
        <c:ser>
          <c:idx val="5"/>
          <c:order val="5"/>
          <c:tx>
            <c:strRef>
              <c:f>[1]EconomiaT50!$B$19</c:f>
              <c:strCache>
                <c:ptCount val="1"/>
                <c:pt idx="0">
                  <c:v>Compra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0</c:v>
              </c:pt>
            </c:numLit>
          </c:cat>
          <c:val>
            <c:numRef>
              <c:f>[1]EconomiaT50!$C$19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9C3-41AC-AFF7-7FDD79251039}"/>
            </c:ext>
          </c:extLst>
        </c:ser>
        <c:ser>
          <c:idx val="6"/>
          <c:order val="6"/>
          <c:tx>
            <c:strRef>
              <c:f>[1]EconomiaT50!$B$20</c:f>
              <c:strCache>
                <c:ptCount val="1"/>
                <c:pt idx="0">
                  <c:v>Entrenador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0</c:v>
              </c:pt>
            </c:numLit>
          </c:cat>
          <c:val>
            <c:numRef>
              <c:f>[1]EconomiaT50!$C$20</c:f>
              <c:numCache>
                <c:formatCode>General</c:formatCode>
                <c:ptCount val="1"/>
                <c:pt idx="0">
                  <c:v>1916372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9C3-41AC-AFF7-7FDD79251039}"/>
            </c:ext>
          </c:extLst>
        </c:ser>
        <c:ser>
          <c:idx val="7"/>
          <c:order val="7"/>
          <c:tx>
            <c:strRef>
              <c:f>[1]EconomiaT50!$B$21</c:f>
              <c:strCache>
                <c:ptCount val="1"/>
                <c:pt idx="0">
                  <c:v>Viajes+Venta</c:v>
                </c:pt>
              </c:strCache>
            </c:strRef>
          </c:tx>
          <c:invertIfNegative val="0"/>
          <c:val>
            <c:numRef>
              <c:f>[1]EconomiaT50!$C$21</c:f>
              <c:numCache>
                <c:formatCode>General</c:formatCode>
                <c:ptCount val="1"/>
                <c:pt idx="0">
                  <c:v>87000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9C3-41AC-AFF7-7FDD79251039}"/>
            </c:ext>
          </c:extLst>
        </c:ser>
        <c:ser>
          <c:idx val="8"/>
          <c:order val="8"/>
          <c:tx>
            <c:strRef>
              <c:f>[1]EconomiaT50!$B$22</c:f>
              <c:strCache>
                <c:ptCount val="1"/>
                <c:pt idx="0">
                  <c:v>Intereses</c:v>
                </c:pt>
              </c:strCache>
            </c:strRef>
          </c:tx>
          <c:invertIfNegative val="0"/>
          <c:val>
            <c:numRef>
              <c:f>[1]EconomiaT50!$C$22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9C3-41AC-AFF7-7FDD792510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567575232"/>
        <c:axId val="-567583936"/>
      </c:barChart>
      <c:catAx>
        <c:axId val="-567575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567583936"/>
        <c:crosses val="autoZero"/>
        <c:auto val="1"/>
        <c:lblAlgn val="ctr"/>
        <c:lblOffset val="100"/>
        <c:noMultiLvlLbl val="0"/>
      </c:catAx>
      <c:valAx>
        <c:axId val="-567583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567575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52916</xdr:colOff>
      <xdr:row>4</xdr:row>
      <xdr:rowOff>74081</xdr:rowOff>
    </xdr:from>
    <xdr:to>
      <xdr:col>23</xdr:col>
      <xdr:colOff>698500</xdr:colOff>
      <xdr:row>21</xdr:row>
      <xdr:rowOff>52917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763FCE10-0F7E-40D2-AECE-7C878E28D9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63499</xdr:colOff>
      <xdr:row>21</xdr:row>
      <xdr:rowOff>148167</xdr:rowOff>
    </xdr:from>
    <xdr:to>
      <xdr:col>23</xdr:col>
      <xdr:colOff>687916</xdr:colOff>
      <xdr:row>39</xdr:row>
      <xdr:rowOff>179916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3F2C2BB1-7736-4F21-9785-B10947BF9F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-ObiW@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istencia"/>
      <sheetName val="CA_Calculator"/>
      <sheetName val="TL_Tactica"/>
      <sheetName val="CAPITAN"/>
      <sheetName val="ENTRENADOR"/>
      <sheetName val="PLANTILLA"/>
      <sheetName val="PLANNING"/>
      <sheetName val="Evaluacion"/>
      <sheetName val="Eva_sinFORMA"/>
      <sheetName val="ENTRENAMIENTO_Rendimiento"/>
      <sheetName val="Resumen_Rend"/>
      <sheetName val="352"/>
      <sheetName val="541"/>
      <sheetName val="DEF"/>
      <sheetName val="JUG"/>
      <sheetName val="PAS"/>
      <sheetName val="LAT"/>
      <sheetName val="Hall_of_Fame"/>
      <sheetName val="Estadio"/>
      <sheetName val="EconomiaT48"/>
      <sheetName val="A-P_T48"/>
      <sheetName val="EconomiaT49"/>
      <sheetName val="A-P_T49"/>
      <sheetName val="EconomiaT50"/>
      <sheetName val="A-P_T50"/>
      <sheetName val="TablasEntreno"/>
      <sheetName val="Entrenamientos"/>
      <sheetName val="NUEVOENTRENADOR"/>
      <sheetName val="RiscLesió"/>
      <sheetName val="EMPLEAD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>
        <row r="15">
          <cell r="S15">
            <v>39537</v>
          </cell>
        </row>
        <row r="18">
          <cell r="S18">
            <v>20000</v>
          </cell>
        </row>
        <row r="19">
          <cell r="S19">
            <v>0</v>
          </cell>
        </row>
        <row r="20">
          <cell r="S20">
            <v>0</v>
          </cell>
        </row>
        <row r="22">
          <cell r="S22">
            <v>0</v>
          </cell>
        </row>
      </sheetData>
      <sheetData sheetId="22" refreshError="1"/>
      <sheetData sheetId="23">
        <row r="6">
          <cell r="B6" t="str">
            <v>Taquillas</v>
          </cell>
          <cell r="C6">
            <v>6222531</v>
          </cell>
        </row>
        <row r="7">
          <cell r="B7" t="str">
            <v>Patrocinadores</v>
          </cell>
          <cell r="C7">
            <v>3046995</v>
          </cell>
        </row>
        <row r="8">
          <cell r="B8" t="str">
            <v>Ventas</v>
          </cell>
          <cell r="C8">
            <v>0</v>
          </cell>
        </row>
        <row r="9">
          <cell r="B9" t="str">
            <v>VentasCantera</v>
          </cell>
          <cell r="C9">
            <v>585827</v>
          </cell>
        </row>
        <row r="10">
          <cell r="B10" t="str">
            <v>Comisiones</v>
          </cell>
          <cell r="C10">
            <v>73830</v>
          </cell>
        </row>
        <row r="11">
          <cell r="B11" t="str">
            <v>Nuevos Socios</v>
          </cell>
          <cell r="C11">
            <v>89520</v>
          </cell>
        </row>
        <row r="12">
          <cell r="B12" t="str">
            <v>Premios</v>
          </cell>
          <cell r="C12">
            <v>925000</v>
          </cell>
        </row>
        <row r="14">
          <cell r="B14" t="str">
            <v>Sueldos</v>
          </cell>
          <cell r="C14">
            <v>2646284</v>
          </cell>
        </row>
        <row r="15">
          <cell r="B15" t="str">
            <v xml:space="preserve">Mantenimiento </v>
          </cell>
          <cell r="C15">
            <v>686244</v>
          </cell>
        </row>
        <row r="16">
          <cell r="B16" t="str">
            <v>Estadio</v>
          </cell>
          <cell r="C16">
            <v>442795</v>
          </cell>
        </row>
        <row r="17">
          <cell r="B17" t="str">
            <v>Empleados</v>
          </cell>
          <cell r="C17">
            <v>1044480</v>
          </cell>
        </row>
        <row r="18">
          <cell r="B18" t="str">
            <v>Juveniles</v>
          </cell>
          <cell r="C18">
            <v>320000</v>
          </cell>
        </row>
        <row r="19">
          <cell r="B19" t="str">
            <v>Compra</v>
          </cell>
          <cell r="C19">
            <v>0</v>
          </cell>
        </row>
        <row r="20">
          <cell r="B20" t="str">
            <v>Entrenador</v>
          </cell>
          <cell r="C20">
            <v>1916372</v>
          </cell>
        </row>
        <row r="21">
          <cell r="B21" t="str">
            <v>Viajes+Venta</v>
          </cell>
          <cell r="C21">
            <v>87000</v>
          </cell>
        </row>
        <row r="22">
          <cell r="B22" t="str">
            <v>Intereses</v>
          </cell>
          <cell r="C22">
            <v>0</v>
          </cell>
        </row>
      </sheetData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C1A21-632F-4D59-95F6-C782BF02F866}">
  <sheetPr>
    <tabColor rgb="FF00B050"/>
  </sheetPr>
  <dimension ref="A1:BA31"/>
  <sheetViews>
    <sheetView tabSelected="1" zoomScaleNormal="100" workbookViewId="0">
      <pane xSplit="7" ySplit="3" topLeftCell="H4" activePane="bottomRight" state="frozen"/>
      <selection pane="topRight" activeCell="H1" sqref="H1"/>
      <selection pane="bottomLeft" activeCell="A4" sqref="A4"/>
      <selection pane="bottomRight" activeCell="E4" sqref="E4"/>
    </sheetView>
  </sheetViews>
  <sheetFormatPr baseColWidth="10" defaultRowHeight="15" x14ac:dyDescent="0.25"/>
  <cols>
    <col min="1" max="1" width="4.7109375" bestFit="1" customWidth="1"/>
    <col min="2" max="2" width="5" bestFit="1" customWidth="1"/>
    <col min="3" max="3" width="5.140625" bestFit="1" customWidth="1"/>
    <col min="4" max="4" width="15.140625" bestFit="1" customWidth="1"/>
    <col min="5" max="5" width="5.5703125" bestFit="1" customWidth="1"/>
    <col min="6" max="6" width="6.140625" bestFit="1" customWidth="1"/>
    <col min="7" max="7" width="4.5703125" bestFit="1" customWidth="1"/>
    <col min="8" max="9" width="3.42578125" bestFit="1" customWidth="1"/>
    <col min="10" max="10" width="4.7109375" bestFit="1" customWidth="1"/>
    <col min="11" max="11" width="3.7109375" bestFit="1" customWidth="1"/>
    <col min="12" max="13" width="4.5703125" bestFit="1" customWidth="1"/>
    <col min="14" max="14" width="4.7109375" bestFit="1" customWidth="1"/>
    <col min="15" max="15" width="5" bestFit="1" customWidth="1"/>
    <col min="16" max="16" width="4.28515625" bestFit="1" customWidth="1"/>
    <col min="17" max="17" width="5" bestFit="1" customWidth="1"/>
    <col min="18" max="18" width="4.5703125" bestFit="1" customWidth="1"/>
    <col min="19" max="19" width="4.140625" bestFit="1" customWidth="1"/>
    <col min="20" max="21" width="5.7109375" bestFit="1" customWidth="1"/>
    <col min="22" max="22" width="10.5703125" bestFit="1" customWidth="1"/>
    <col min="23" max="23" width="8.5703125" bestFit="1" customWidth="1"/>
    <col min="24" max="24" width="9.5703125" bestFit="1" customWidth="1"/>
    <col min="25" max="25" width="7.5703125" bestFit="1" customWidth="1"/>
    <col min="26" max="27" width="4.42578125" bestFit="1" customWidth="1"/>
    <col min="28" max="32" width="6.5703125" bestFit="1" customWidth="1"/>
    <col min="33" max="33" width="6.42578125" bestFit="1" customWidth="1"/>
    <col min="34" max="34" width="7" bestFit="1" customWidth="1"/>
    <col min="35" max="39" width="6.140625" bestFit="1" customWidth="1"/>
    <col min="40" max="40" width="6.5703125" bestFit="1" customWidth="1"/>
    <col min="41" max="41" width="6.140625" bestFit="1" customWidth="1"/>
    <col min="42" max="42" width="7.85546875" bestFit="1" customWidth="1"/>
    <col min="43" max="43" width="9.5703125" customWidth="1"/>
    <col min="44" max="44" width="7.5703125" bestFit="1" customWidth="1"/>
    <col min="45" max="45" width="7.5703125" customWidth="1"/>
    <col min="46" max="46" width="7.5703125" bestFit="1" customWidth="1"/>
    <col min="47" max="48" width="6.7109375" bestFit="1" customWidth="1"/>
    <col min="49" max="49" width="7.5703125" bestFit="1" customWidth="1"/>
    <col min="50" max="50" width="6.7109375" bestFit="1" customWidth="1"/>
    <col min="51" max="51" width="7.5703125" bestFit="1" customWidth="1"/>
    <col min="52" max="52" width="10.5703125" bestFit="1" customWidth="1"/>
    <col min="53" max="53" width="10.42578125" bestFit="1" customWidth="1"/>
  </cols>
  <sheetData>
    <row r="1" spans="1:53" x14ac:dyDescent="0.25">
      <c r="A1" s="58"/>
      <c r="B1" s="58"/>
      <c r="C1" s="59"/>
      <c r="D1" s="60">
        <f ca="1">TODAY()</f>
        <v>43637</v>
      </c>
      <c r="E1" s="61">
        <v>43637</v>
      </c>
      <c r="F1" s="61"/>
      <c r="G1" s="61"/>
      <c r="H1" s="62"/>
      <c r="I1" s="62"/>
      <c r="J1" s="62"/>
      <c r="K1" s="62"/>
      <c r="L1" s="62"/>
      <c r="M1" s="62"/>
      <c r="N1" s="63"/>
      <c r="O1" s="62"/>
      <c r="P1" s="63"/>
      <c r="Q1" s="63"/>
      <c r="R1" s="63"/>
      <c r="S1" s="59"/>
      <c r="T1" s="63"/>
      <c r="U1" s="63"/>
      <c r="V1" s="62"/>
      <c r="W1" s="62"/>
      <c r="X1" s="62"/>
      <c r="Y1" s="62"/>
      <c r="Z1" s="58"/>
      <c r="AA1" s="58"/>
      <c r="AB1" s="64"/>
      <c r="AC1" s="64"/>
      <c r="AD1" s="62"/>
      <c r="AE1" s="64"/>
      <c r="AF1" s="64"/>
      <c r="AG1" s="64"/>
      <c r="AH1" s="64"/>
      <c r="AI1" s="64"/>
      <c r="AJ1" s="62"/>
      <c r="AK1" s="62"/>
      <c r="AL1" s="62"/>
      <c r="AM1" s="62"/>
      <c r="AN1" s="62"/>
      <c r="AO1" s="62"/>
      <c r="AP1" s="64"/>
      <c r="AQ1" s="64"/>
      <c r="AR1" s="62"/>
      <c r="AS1" s="62"/>
      <c r="AT1" s="62"/>
      <c r="AU1" s="62"/>
      <c r="AV1" s="62"/>
      <c r="AW1" s="62"/>
      <c r="AX1" s="62"/>
      <c r="AY1" s="62"/>
      <c r="AZ1" s="58"/>
      <c r="BA1" s="63"/>
    </row>
    <row r="2" spans="1:53" x14ac:dyDescent="0.25">
      <c r="A2" s="40">
        <v>16</v>
      </c>
      <c r="B2" s="65"/>
      <c r="C2" s="66"/>
      <c r="D2" s="67"/>
      <c r="E2" s="68"/>
      <c r="F2" s="68"/>
      <c r="G2" s="40"/>
      <c r="H2" s="40"/>
      <c r="I2" s="40"/>
      <c r="J2" s="40"/>
      <c r="K2" s="40"/>
      <c r="L2" s="69">
        <f>AVERAGE(L5:L22)</f>
        <v>2.5055555555555555</v>
      </c>
      <c r="M2" s="68"/>
      <c r="N2" s="68"/>
      <c r="O2" s="40"/>
      <c r="P2" s="69">
        <f>AVERAGE(P5:P22)</f>
        <v>5.083333333333333</v>
      </c>
      <c r="Q2" s="68"/>
      <c r="R2" s="68"/>
      <c r="S2" s="69">
        <f>AVERAGE(S5:S22)</f>
        <v>4.2777777777777777</v>
      </c>
      <c r="T2" s="70">
        <f>AVERAGE(T5:T22)</f>
        <v>0.77593996377124064</v>
      </c>
      <c r="U2" s="70">
        <f>AVERAGE(U5:U22)</f>
        <v>0.86326770581320178</v>
      </c>
      <c r="V2" s="71">
        <f>AVERAGE(V5:V22)</f>
        <v>1021.6666666666666</v>
      </c>
      <c r="W2" s="71"/>
      <c r="X2" s="71">
        <f>AVERAGE(X5:X22)</f>
        <v>412.22222222222223</v>
      </c>
      <c r="Y2" s="72"/>
      <c r="Z2" s="40"/>
      <c r="AA2" s="40"/>
      <c r="AB2" s="72"/>
      <c r="AC2" s="72"/>
      <c r="AD2" s="72"/>
      <c r="AE2" s="72"/>
      <c r="AF2" s="72"/>
      <c r="AG2" s="72"/>
      <c r="AH2" s="72"/>
      <c r="AI2" s="72"/>
      <c r="AJ2" s="72"/>
      <c r="AK2" s="72"/>
      <c r="AL2" s="72"/>
      <c r="AM2" s="72"/>
      <c r="AN2" s="72"/>
      <c r="AO2" s="72"/>
      <c r="AP2" s="72"/>
      <c r="AQ2" s="72"/>
      <c r="AR2" s="40"/>
      <c r="AS2" s="40"/>
      <c r="AT2" s="40"/>
      <c r="AU2" s="40"/>
      <c r="AV2" s="40"/>
      <c r="AW2" s="40"/>
      <c r="AX2" s="40"/>
      <c r="AY2" s="40"/>
      <c r="AZ2" s="40"/>
      <c r="BA2" s="68"/>
    </row>
    <row r="3" spans="1:53" x14ac:dyDescent="0.25">
      <c r="A3" s="73" t="s">
        <v>58</v>
      </c>
      <c r="B3" s="73" t="s">
        <v>59</v>
      </c>
      <c r="C3" s="74" t="s">
        <v>134</v>
      </c>
      <c r="D3" s="75" t="s">
        <v>60</v>
      </c>
      <c r="E3" s="73" t="s">
        <v>61</v>
      </c>
      <c r="F3" s="73" t="s">
        <v>62</v>
      </c>
      <c r="G3" s="73" t="s">
        <v>63</v>
      </c>
      <c r="H3" s="73" t="s">
        <v>94</v>
      </c>
      <c r="I3" s="73" t="s">
        <v>95</v>
      </c>
      <c r="J3" s="73" t="s">
        <v>138</v>
      </c>
      <c r="K3" s="73" t="s">
        <v>64</v>
      </c>
      <c r="L3" s="73" t="s">
        <v>65</v>
      </c>
      <c r="M3" s="73" t="s">
        <v>66</v>
      </c>
      <c r="N3" s="76" t="s">
        <v>67</v>
      </c>
      <c r="O3" s="76" t="s">
        <v>68</v>
      </c>
      <c r="P3" s="73" t="s">
        <v>69</v>
      </c>
      <c r="Q3" s="73" t="s">
        <v>70</v>
      </c>
      <c r="R3" s="73" t="s">
        <v>71</v>
      </c>
      <c r="S3" s="73" t="s">
        <v>72</v>
      </c>
      <c r="T3" s="77" t="s">
        <v>73</v>
      </c>
      <c r="U3" s="77" t="s">
        <v>74</v>
      </c>
      <c r="V3" s="73" t="s">
        <v>75</v>
      </c>
      <c r="W3" s="73" t="s">
        <v>76</v>
      </c>
      <c r="X3" s="73" t="s">
        <v>77</v>
      </c>
      <c r="Y3" s="73" t="s">
        <v>78</v>
      </c>
      <c r="Z3" s="78" t="s">
        <v>85</v>
      </c>
      <c r="AA3" s="78" t="s">
        <v>86</v>
      </c>
      <c r="AB3" s="78" t="s">
        <v>87</v>
      </c>
      <c r="AC3" s="78" t="s">
        <v>88</v>
      </c>
      <c r="AD3" s="78" t="s">
        <v>89</v>
      </c>
      <c r="AE3" s="78" t="s">
        <v>90</v>
      </c>
      <c r="AF3" s="78" t="s">
        <v>91</v>
      </c>
      <c r="AG3" s="78" t="s">
        <v>92</v>
      </c>
      <c r="AH3" s="78" t="s">
        <v>93</v>
      </c>
      <c r="AI3" s="73" t="s">
        <v>79</v>
      </c>
      <c r="AJ3" s="73" t="s">
        <v>80</v>
      </c>
      <c r="AK3" s="73" t="s">
        <v>81</v>
      </c>
      <c r="AL3" s="73" t="s">
        <v>82</v>
      </c>
      <c r="AM3" s="73" t="s">
        <v>83</v>
      </c>
      <c r="AN3" s="73" t="s">
        <v>84</v>
      </c>
      <c r="AO3" s="73" t="s">
        <v>63</v>
      </c>
      <c r="AP3" s="73" t="s">
        <v>137</v>
      </c>
      <c r="AQ3" s="73" t="s">
        <v>129</v>
      </c>
      <c r="AR3" s="127" t="s">
        <v>130</v>
      </c>
      <c r="AS3" s="127" t="s">
        <v>96</v>
      </c>
      <c r="AT3" s="127" t="s">
        <v>97</v>
      </c>
      <c r="AU3" s="127" t="s">
        <v>131</v>
      </c>
      <c r="AV3" s="127" t="s">
        <v>132</v>
      </c>
      <c r="AW3" s="127" t="s">
        <v>98</v>
      </c>
      <c r="AX3" s="127" t="s">
        <v>99</v>
      </c>
      <c r="AY3" s="127" t="s">
        <v>133</v>
      </c>
      <c r="AZ3" s="79" t="s">
        <v>100</v>
      </c>
      <c r="BA3" s="73" t="s">
        <v>128</v>
      </c>
    </row>
    <row r="4" spans="1:53" x14ac:dyDescent="0.25">
      <c r="A4" s="80" t="s">
        <v>101</v>
      </c>
      <c r="B4" s="104" t="s">
        <v>144</v>
      </c>
      <c r="C4" s="81">
        <f ca="1">((36*112)-(E4*112)-(F4))/112</f>
        <v>17.723214285714285</v>
      </c>
      <c r="D4" s="129" t="s">
        <v>147</v>
      </c>
      <c r="E4" s="105">
        <v>18</v>
      </c>
      <c r="F4" s="106">
        <f ca="1">$D$1-43606</f>
        <v>31</v>
      </c>
      <c r="G4" s="84" t="s">
        <v>114</v>
      </c>
      <c r="H4" s="110">
        <v>0</v>
      </c>
      <c r="I4" s="110">
        <v>0</v>
      </c>
      <c r="J4" s="101">
        <f>IF(H4=4,IF(I4=0,0.137+0.0697,0.137+0.02),IF(H4=3,IF(I4=0,0.0958+0.0697,0.0958+0.02),IF(H4=2,IF(I4=0,0.0415+0.0697,0.0415+0.02),IF(H4=1,IF(I4=0,0.0294+0.0697,0.0294+0.02),IF(H4=0,IF(I4=0,0.0063+0.0697,0.0063+0.02))))))</f>
        <v>7.5999999999999998E-2</v>
      </c>
      <c r="K4" s="102">
        <v>2</v>
      </c>
      <c r="L4" s="108">
        <v>1</v>
      </c>
      <c r="M4" s="87">
        <f>LOG(L4+1)*4/3</f>
        <v>0.40137332755197491</v>
      </c>
      <c r="N4" s="88">
        <f>(K4)*(K4)*(L4)</f>
        <v>4</v>
      </c>
      <c r="O4" s="88">
        <f>(K4+1)*(K4+1)*L4</f>
        <v>9</v>
      </c>
      <c r="P4" s="109">
        <v>5</v>
      </c>
      <c r="Q4" s="90">
        <f>P4*10+19</f>
        <v>69</v>
      </c>
      <c r="R4" s="92">
        <v>1.5</v>
      </c>
      <c r="S4" s="110">
        <v>6</v>
      </c>
      <c r="T4" s="93">
        <f>(S4/7)^0.5</f>
        <v>0.92582009977255142</v>
      </c>
      <c r="U4" s="93">
        <f>IF(S4=7,1,((S4+0.99)/7)^0.5)</f>
        <v>0.99928545900129484</v>
      </c>
      <c r="V4" s="94">
        <v>880</v>
      </c>
      <c r="W4" s="95">
        <f>V4-AZ4</f>
        <v>0</v>
      </c>
      <c r="X4" s="111">
        <v>370</v>
      </c>
      <c r="Y4" s="96">
        <f>V4/X4</f>
        <v>2.3783783783783785</v>
      </c>
      <c r="Z4" s="99">
        <f>(AK4+R4+M4)*(S4/7)^0.5</f>
        <v>3.6119698433641405</v>
      </c>
      <c r="AA4" s="99">
        <f>(AK4+R4+M4)*(IF(S4=7, (S4/7)^0.5, ((S4+1)/7)^0.5))</f>
        <v>3.9013733275519749</v>
      </c>
      <c r="AB4" s="96">
        <f>(((AJ4+R4+M4)+(AM4+R4+M4)*2)/8)*(S4/7)^0.5</f>
        <v>2.048853766090966</v>
      </c>
      <c r="AC4" s="96">
        <f>(1.66*(AN4+M4+R4)+0.55*(AO4+M4+R4)-7.6)*(S4/7)^0.5</f>
        <v>0.42776133969073116</v>
      </c>
      <c r="AD4" s="96">
        <f>((AO4+M4+R4)*0.7+(AN4+M4+R4)*0.3)*(S4/7)^0.5</f>
        <v>4.6303719531139471</v>
      </c>
      <c r="AE4" s="96">
        <f>(0.5*(AN4+R4+M4)+ 0.3*(AO4+R4+M4))/10</f>
        <v>0.32210986620415805</v>
      </c>
      <c r="AF4" s="96">
        <f>(0.4*(AJ4+R4+M4)+0.3*(AO4+R4+M4))/10</f>
        <v>0.4930961329286383</v>
      </c>
      <c r="AG4" s="100">
        <f>(AO4+R4+(LOG(L4)*4/3))*(S4/7)^0.5</f>
        <v>5.092010548749033</v>
      </c>
      <c r="AH4" s="100">
        <f>(AO4+R4+(LOG(L4)*4/3))*(IF(S4=7, (S4/7)^0.5, ((S4+1)/7)^0.5))</f>
        <v>5.5</v>
      </c>
      <c r="AI4" s="97">
        <v>0</v>
      </c>
      <c r="AJ4" s="87">
        <v>6</v>
      </c>
      <c r="AK4" s="97">
        <v>2</v>
      </c>
      <c r="AL4" s="87">
        <v>2</v>
      </c>
      <c r="AM4" s="97">
        <v>3</v>
      </c>
      <c r="AN4" s="87">
        <v>1</v>
      </c>
      <c r="AO4" s="97">
        <v>4</v>
      </c>
      <c r="AP4" s="98">
        <v>319</v>
      </c>
      <c r="AQ4" s="98">
        <v>1757</v>
      </c>
      <c r="AR4" s="114">
        <v>0</v>
      </c>
      <c r="AS4" s="114">
        <v>14</v>
      </c>
      <c r="AT4" s="114">
        <v>0</v>
      </c>
      <c r="AU4" s="114">
        <v>0</v>
      </c>
      <c r="AV4" s="114">
        <v>2</v>
      </c>
      <c r="AW4" s="114">
        <v>0</v>
      </c>
      <c r="AX4" s="114">
        <v>2</v>
      </c>
      <c r="AY4" s="130">
        <f>SUM(AR4:AX4)</f>
        <v>18</v>
      </c>
      <c r="AZ4" s="94">
        <v>880</v>
      </c>
      <c r="BA4" s="91" t="s">
        <v>140</v>
      </c>
    </row>
    <row r="5" spans="1:53" x14ac:dyDescent="0.25">
      <c r="A5" s="80" t="s">
        <v>116</v>
      </c>
      <c r="B5" s="80" t="s">
        <v>102</v>
      </c>
      <c r="C5" s="81">
        <f ca="1">((36*112)-(E5*112)-(F5))/112</f>
        <v>14.803571428571429</v>
      </c>
      <c r="D5" s="128" t="s">
        <v>135</v>
      </c>
      <c r="E5" s="82">
        <v>21</v>
      </c>
      <c r="F5" s="83">
        <f ca="1">$D$1-43615</f>
        <v>22</v>
      </c>
      <c r="G5" s="84" t="s">
        <v>103</v>
      </c>
      <c r="H5" s="90">
        <v>3</v>
      </c>
      <c r="I5" s="90">
        <v>4</v>
      </c>
      <c r="J5" s="101">
        <f>IF(H5=4,IF(I5=0,0.137+0.0697,0.137+0.02),IF(H5=3,IF(I5=0,0.0958+0.0697,0.0958+0.02),IF(H5=2,IF(I5=0,0.0415+0.0697,0.0415+0.02),IF(H5=1,IF(I5=0,0.0294+0.0697,0.0294+0.02),IF(H5=0,IF(I5=0,0.0063+0.0697,0.0063+0.02))))))</f>
        <v>0.1158</v>
      </c>
      <c r="K5" s="85">
        <v>6</v>
      </c>
      <c r="L5" s="86">
        <v>2</v>
      </c>
      <c r="M5" s="87">
        <f>LOG(L5+1)*4/3</f>
        <v>0.63616167295954995</v>
      </c>
      <c r="N5" s="88">
        <f t="shared" ref="N5:N22" si="0">(K5)*(K5)*(L5)</f>
        <v>72</v>
      </c>
      <c r="O5" s="88">
        <f t="shared" ref="O5:O22" si="1">(K5+1)*(K5+1)*L5</f>
        <v>98</v>
      </c>
      <c r="P5" s="89">
        <v>6</v>
      </c>
      <c r="Q5" s="90">
        <f>P5*10+19</f>
        <v>79</v>
      </c>
      <c r="R5" s="92">
        <v>1.5</v>
      </c>
      <c r="S5" s="90">
        <v>3</v>
      </c>
      <c r="T5" s="93">
        <f>(S5/7)^0.5</f>
        <v>0.65465367070797709</v>
      </c>
      <c r="U5" s="93">
        <f>IF(S5=7,1,((S5+0.99)/7)^0.5)</f>
        <v>0.75498344352707503</v>
      </c>
      <c r="V5" s="94">
        <v>1810</v>
      </c>
      <c r="W5" s="95">
        <f>V5-AZ5</f>
        <v>0</v>
      </c>
      <c r="X5" s="94">
        <v>990</v>
      </c>
      <c r="Y5" s="96">
        <f t="shared" ref="Y5:Y23" si="2">V5/X5</f>
        <v>1.8282828282828283</v>
      </c>
      <c r="Z5" s="99">
        <f>(AK5+R5+M5)*(S5/7)^0.5</f>
        <v>1.3984460804286625</v>
      </c>
      <c r="AA5" s="99">
        <f>(AK5+R5+M5)*(IF(S5=7, (S5/7)^0.5, ((S5+1)/7)^0.5))</f>
        <v>1.6147864419653308</v>
      </c>
      <c r="AB5" s="96">
        <f>(((AJ5+R5+M5)+(AM5+R5+M5)*2)/8)*(S5/7)^0.5</f>
        <v>0.68808069783774284</v>
      </c>
      <c r="AC5" s="96">
        <f>(1.66*(AN5+M5+R5)+0.55*(AO5+M5+R5)-7.6)*(S5/7)^0.5</f>
        <v>-0.44456398407573194</v>
      </c>
      <c r="AD5" s="96">
        <f>((AO5+M5+R5)*0.7+(AN5+M5+R5)*0.3)*(S5/7)^0.5</f>
        <v>3.2314763584109985</v>
      </c>
      <c r="AE5" s="96">
        <f>(0.5*(AN5+R5+M5)+ 0.3*(AO5+R5+M5))/10</f>
        <v>0.29089293383676396</v>
      </c>
      <c r="AF5" s="96">
        <f>(0.4*(AJ5+R5+M5)+0.3*(AO5+R5+M5))/10</f>
        <v>0.3495313171071685</v>
      </c>
      <c r="AG5" s="100">
        <f>(AO5+R5+(LOG(L5)*4/3))*(S5/7)^0.5</f>
        <v>3.8633557111000498</v>
      </c>
      <c r="AH5" s="100">
        <f>(AO5+R5+(LOG(L5)*4/3))*(IF(S5=7, (S5/7)^0.5, ((S5+1)/7)^0.5))</f>
        <v>4.4610189195577838</v>
      </c>
      <c r="AI5" s="97">
        <v>5</v>
      </c>
      <c r="AJ5" s="87">
        <v>2</v>
      </c>
      <c r="AK5" s="97">
        <v>0</v>
      </c>
      <c r="AL5" s="87">
        <v>0</v>
      </c>
      <c r="AM5" s="97">
        <v>0</v>
      </c>
      <c r="AN5" s="87">
        <v>0</v>
      </c>
      <c r="AO5" s="97">
        <v>4</v>
      </c>
      <c r="AP5" s="98">
        <v>143</v>
      </c>
      <c r="AQ5" s="98">
        <v>1124</v>
      </c>
      <c r="AR5" s="114">
        <v>5.5</v>
      </c>
      <c r="AS5" s="114">
        <v>0</v>
      </c>
      <c r="AT5" s="114">
        <v>0</v>
      </c>
      <c r="AU5" s="114">
        <v>0</v>
      </c>
      <c r="AV5" s="114">
        <v>0</v>
      </c>
      <c r="AW5" s="114">
        <v>0</v>
      </c>
      <c r="AX5" s="114">
        <v>2</v>
      </c>
      <c r="AY5" s="130">
        <f>SUM(AR5:AX5)</f>
        <v>7.5</v>
      </c>
      <c r="AZ5" s="94">
        <v>1810</v>
      </c>
      <c r="BA5" s="91" t="s">
        <v>140</v>
      </c>
    </row>
    <row r="6" spans="1:53" x14ac:dyDescent="0.25">
      <c r="A6" s="80" t="s">
        <v>104</v>
      </c>
      <c r="B6" s="80" t="s">
        <v>102</v>
      </c>
      <c r="C6" s="81">
        <f t="shared" ref="C6:C22" ca="1" si="3">((36*112)-(E6*112)-(F6))/112</f>
        <v>8.9107142857142865</v>
      </c>
      <c r="D6" s="128" t="s">
        <v>136</v>
      </c>
      <c r="E6" s="82">
        <v>27</v>
      </c>
      <c r="F6" s="83">
        <f ca="1">$D$1-43627</f>
        <v>10</v>
      </c>
      <c r="G6" s="84" t="s">
        <v>103</v>
      </c>
      <c r="H6" s="90">
        <v>2</v>
      </c>
      <c r="I6" s="90">
        <v>1</v>
      </c>
      <c r="J6" s="101">
        <f t="shared" ref="J6:J22" si="4">IF(H6=4,IF(I6=0,0.137+0.0697,0.137+0.02),IF(H6=3,IF(I6=0,0.0958+0.0697,0.0958+0.02),IF(H6=2,IF(I6=0,0.0415+0.0697,0.0415+0.02),IF(H6=1,IF(I6=0,0.0294+0.0697,0.0294+0.02),IF(H6=0,IF(I6=0,0.0063+0.0697,0.0063+0.02))))))</f>
        <v>6.1499999999999999E-2</v>
      </c>
      <c r="K6" s="102">
        <v>1</v>
      </c>
      <c r="L6" s="86">
        <v>3</v>
      </c>
      <c r="M6" s="87">
        <f t="shared" ref="M6:M22" si="5">LOG(L6+1)*4/3</f>
        <v>0.80274665510394982</v>
      </c>
      <c r="N6" s="88">
        <f t="shared" si="0"/>
        <v>3</v>
      </c>
      <c r="O6" s="88">
        <f t="shared" si="1"/>
        <v>12</v>
      </c>
      <c r="P6" s="89">
        <v>5</v>
      </c>
      <c r="Q6" s="90">
        <f t="shared" ref="Q6:Q22" si="6">P6*10+19</f>
        <v>69</v>
      </c>
      <c r="R6" s="92">
        <v>1.5</v>
      </c>
      <c r="S6" s="90">
        <v>5</v>
      </c>
      <c r="T6" s="93">
        <f t="shared" ref="T6:T22" si="7">(S6/7)^0.5</f>
        <v>0.84515425472851657</v>
      </c>
      <c r="U6" s="93">
        <f t="shared" ref="U6:U22" si="8">IF(S6=7,1,((S6+0.99)/7)^0.5)</f>
        <v>0.92504826128926143</v>
      </c>
      <c r="V6" s="94">
        <v>1820</v>
      </c>
      <c r="W6" s="95">
        <f>V6-AZ6</f>
        <v>0</v>
      </c>
      <c r="X6" s="94">
        <v>890</v>
      </c>
      <c r="Y6" s="96">
        <f t="shared" si="2"/>
        <v>2.0449438202247192</v>
      </c>
      <c r="Z6" s="99">
        <f>(AK6+R6+M6)*(S6/7)^0.5</f>
        <v>1.946176133122963</v>
      </c>
      <c r="AA6" s="99">
        <f>(AK6+R6+M6)*(IF(S6=7, (S6/7)^0.5, ((S6+1)/7)^0.5))</f>
        <v>2.131929137979248</v>
      </c>
      <c r="AB6" s="96">
        <f>(((AJ6+R6+M6)+(AM6+R6+M6)*2)/8)*(S6/7)^0.5</f>
        <v>1.4693260228085632</v>
      </c>
      <c r="AC6" s="96">
        <f>(1.66*(AN6+M6+R6)+0.55*(AO6+M6+R6)-7.6)*(S6/7)^0.5</f>
        <v>-1.1924534015336088</v>
      </c>
      <c r="AD6" s="96">
        <f>((AO6+M6+R6)*0.7+(AN6+M6+R6)*0.3)*(S6/7)^0.5</f>
        <v>3.1293920897428857</v>
      </c>
      <c r="AE6" s="96">
        <f>(0.5*(AN6+R6+M6)+ 0.3*(AO6+R6+M6))/10</f>
        <v>0.24421973240831596</v>
      </c>
      <c r="AF6" s="96">
        <f>(0.4*(AJ6+R6+M6)+0.3*(AO6+R6+M6))/10</f>
        <v>0.34119226585727647</v>
      </c>
      <c r="AG6" s="100">
        <f>(AO6+R6+(LOG(L6)*4/3))*(S6/7)^0.5</f>
        <v>3.4956946361467827</v>
      </c>
      <c r="AH6" s="100">
        <f>(AO6+R6+(LOG(L6)*4/3))*(IF(S6=7, (S6/7)^0.5, ((S6+1)/7)^0.5))</f>
        <v>3.8293416127348134</v>
      </c>
      <c r="AI6" s="97">
        <v>5</v>
      </c>
      <c r="AJ6" s="87">
        <v>3</v>
      </c>
      <c r="AK6" s="97">
        <v>0</v>
      </c>
      <c r="AL6" s="87">
        <v>0</v>
      </c>
      <c r="AM6" s="97">
        <v>2</v>
      </c>
      <c r="AN6" s="87">
        <v>0</v>
      </c>
      <c r="AO6" s="97">
        <v>2</v>
      </c>
      <c r="AP6" s="98">
        <v>187</v>
      </c>
      <c r="AQ6" s="98">
        <v>310</v>
      </c>
      <c r="AR6" s="114">
        <v>5.5</v>
      </c>
      <c r="AS6" s="114">
        <v>3</v>
      </c>
      <c r="AT6" s="114">
        <v>0</v>
      </c>
      <c r="AU6" s="114">
        <v>0</v>
      </c>
      <c r="AV6" s="114">
        <v>0</v>
      </c>
      <c r="AW6" s="114">
        <v>0</v>
      </c>
      <c r="AX6" s="114">
        <v>0</v>
      </c>
      <c r="AY6" s="130">
        <f t="shared" ref="AY6:AY22" si="9">SUM(AR6:AX6)</f>
        <v>8.5</v>
      </c>
      <c r="AZ6" s="94">
        <v>1820</v>
      </c>
      <c r="BA6" s="91" t="s">
        <v>140</v>
      </c>
    </row>
    <row r="7" spans="1:53" x14ac:dyDescent="0.25">
      <c r="A7" s="80" t="s">
        <v>121</v>
      </c>
      <c r="B7" s="80" t="s">
        <v>102</v>
      </c>
      <c r="C7" s="81">
        <f t="shared" ca="1" si="3"/>
        <v>17.848214285714285</v>
      </c>
      <c r="D7" s="128" t="s">
        <v>139</v>
      </c>
      <c r="E7" s="82">
        <v>18</v>
      </c>
      <c r="F7" s="83">
        <f ca="1">$D$1-43620</f>
        <v>17</v>
      </c>
      <c r="G7" s="84"/>
      <c r="H7" s="90">
        <v>2</v>
      </c>
      <c r="I7" s="90">
        <v>2</v>
      </c>
      <c r="J7" s="101">
        <f t="shared" si="4"/>
        <v>6.1499999999999999E-2</v>
      </c>
      <c r="K7" s="103">
        <v>3</v>
      </c>
      <c r="L7" s="86">
        <v>0.1</v>
      </c>
      <c r="M7" s="87">
        <f t="shared" si="5"/>
        <v>5.5190246877633437E-2</v>
      </c>
      <c r="N7" s="88">
        <f t="shared" si="0"/>
        <v>0.9</v>
      </c>
      <c r="O7" s="88">
        <f t="shared" si="1"/>
        <v>1.6</v>
      </c>
      <c r="P7" s="89">
        <v>4.5</v>
      </c>
      <c r="Q7" s="90">
        <f t="shared" si="6"/>
        <v>64</v>
      </c>
      <c r="R7" s="92">
        <v>1.5</v>
      </c>
      <c r="S7" s="90">
        <v>5</v>
      </c>
      <c r="T7" s="93">
        <f t="shared" si="7"/>
        <v>0.84515425472851657</v>
      </c>
      <c r="U7" s="93">
        <f t="shared" si="8"/>
        <v>0.92504826128926143</v>
      </c>
      <c r="V7" s="94">
        <v>170</v>
      </c>
      <c r="W7" s="95">
        <f>V7-AZ7</f>
        <v>0</v>
      </c>
      <c r="X7" s="94">
        <v>390</v>
      </c>
      <c r="Y7" s="96">
        <f t="shared" si="2"/>
        <v>0.4358974358974359</v>
      </c>
      <c r="Z7" s="99">
        <f>(AK7+R7+M7)*(S7/7)^0.5</f>
        <v>1.3143756540609242</v>
      </c>
      <c r="AA7" s="99">
        <f>(AK7+R7+M7)*(IF(S7=7, (S7/7)^0.5, ((S7+1)/7)^0.5))</f>
        <v>1.4398263895295496</v>
      </c>
      <c r="AB7" s="96">
        <f>(((AJ7+R7+M7)+(AM7+R7+M7)*2)/8)*(S7/7)^0.5</f>
        <v>0.70417943395497562</v>
      </c>
      <c r="AC7" s="96">
        <f>(1.66*(AN7+M7+R7)+0.55*(AO7+M7+R7)-7.6)*(S7/7)^0.5</f>
        <v>-3.0535673003613995</v>
      </c>
      <c r="AD7" s="96">
        <f>((AO7+M7+R7)*0.7+(AN7+M7+R7)*0.3)*(S7/7)^0.5</f>
        <v>1.9059836323708859</v>
      </c>
      <c r="AE7" s="96">
        <f>(0.5*(AN7+R7+M7)+ 0.3*(AO7+R7+M7))/10</f>
        <v>0.15441521975021066</v>
      </c>
      <c r="AF7" s="96">
        <f>(0.4*(AJ7+R7+M7)+0.3*(AO7+R7+M7))/10</f>
        <v>0.13886331728143433</v>
      </c>
      <c r="AG7" s="100">
        <f>(AO7+R7+(LOG(L7)*4/3))*(S7/7)^0.5</f>
        <v>0.98601329718326935</v>
      </c>
      <c r="AH7" s="100">
        <f>(AO7+R7+(LOG(L7)*4/3))*(IF(S7=7, (S7/7)^0.5, ((S7+1)/7)^0.5))</f>
        <v>1.0801234497346435</v>
      </c>
      <c r="AI7" s="97">
        <v>2</v>
      </c>
      <c r="AJ7" s="87">
        <v>0</v>
      </c>
      <c r="AK7" s="97">
        <v>0</v>
      </c>
      <c r="AL7" s="87">
        <v>0</v>
      </c>
      <c r="AM7" s="97">
        <v>1</v>
      </c>
      <c r="AN7" s="87">
        <v>0</v>
      </c>
      <c r="AO7" s="97">
        <v>1</v>
      </c>
      <c r="AP7" s="98">
        <v>53</v>
      </c>
      <c r="AQ7" s="98">
        <v>1435</v>
      </c>
      <c r="AR7" s="114">
        <v>0</v>
      </c>
      <c r="AS7" s="114">
        <v>0</v>
      </c>
      <c r="AT7" s="114">
        <v>0</v>
      </c>
      <c r="AU7" s="114">
        <v>0</v>
      </c>
      <c r="AV7" s="114">
        <v>0</v>
      </c>
      <c r="AW7" s="114">
        <v>0</v>
      </c>
      <c r="AX7" s="114">
        <v>0</v>
      </c>
      <c r="AY7" s="130">
        <f t="shared" si="9"/>
        <v>0</v>
      </c>
      <c r="AZ7" s="94">
        <v>170</v>
      </c>
      <c r="BA7" s="91">
        <v>43637</v>
      </c>
    </row>
    <row r="8" spans="1:53" x14ac:dyDescent="0.25">
      <c r="A8" s="80" t="s">
        <v>107</v>
      </c>
      <c r="B8" s="104" t="s">
        <v>141</v>
      </c>
      <c r="C8" s="81">
        <f t="shared" ca="1" si="3"/>
        <v>4.0089285714285712</v>
      </c>
      <c r="D8" s="128" t="s">
        <v>142</v>
      </c>
      <c r="E8" s="105">
        <v>31</v>
      </c>
      <c r="F8" s="106">
        <f ca="1">$D$1-43526</f>
        <v>111</v>
      </c>
      <c r="G8" s="107"/>
      <c r="H8" s="110">
        <v>0</v>
      </c>
      <c r="I8" s="110">
        <v>2</v>
      </c>
      <c r="J8" s="101">
        <f t="shared" si="4"/>
        <v>2.63E-2</v>
      </c>
      <c r="K8" s="102">
        <v>3</v>
      </c>
      <c r="L8" s="108">
        <v>4</v>
      </c>
      <c r="M8" s="87">
        <f t="shared" si="5"/>
        <v>0.93196000578135851</v>
      </c>
      <c r="N8" s="88">
        <f t="shared" si="0"/>
        <v>36</v>
      </c>
      <c r="O8" s="88">
        <f t="shared" si="1"/>
        <v>64</v>
      </c>
      <c r="P8" s="109">
        <v>5</v>
      </c>
      <c r="Q8" s="90">
        <f t="shared" si="6"/>
        <v>69</v>
      </c>
      <c r="R8" s="92">
        <v>1.5</v>
      </c>
      <c r="S8" s="110">
        <v>3</v>
      </c>
      <c r="T8" s="93">
        <f t="shared" si="7"/>
        <v>0.65465367070797709</v>
      </c>
      <c r="U8" s="93">
        <f t="shared" si="8"/>
        <v>0.75498344352707503</v>
      </c>
      <c r="V8" s="94">
        <v>630</v>
      </c>
      <c r="W8" s="95">
        <f>V8-AZ8</f>
        <v>0</v>
      </c>
      <c r="X8" s="111">
        <v>310</v>
      </c>
      <c r="Y8" s="96">
        <f t="shared" si="2"/>
        <v>2.032258064516129</v>
      </c>
      <c r="Z8" s="99">
        <f>(AK8+R8+M8)*(S8/7)^0.5</f>
        <v>4.2107062276316682</v>
      </c>
      <c r="AA8" s="99">
        <f>(AK8+R8+M8)*(IF(S8=7, (S8/7)^0.5, ((S8+1)/7)^0.5))</f>
        <v>4.8621047480031541</v>
      </c>
      <c r="AB8" s="96">
        <f>(((AJ8+R8+M8)+(AM8+R8+M8)*2)/8)*(S8/7)^0.5</f>
        <v>1.6608465442003726</v>
      </c>
      <c r="AC8" s="96">
        <f>(1.66*(AN8+M8+R8)+0.55*(AO8+M8+R8)-7.6)*(S8/7)^0.5</f>
        <v>2.5169021978242641</v>
      </c>
      <c r="AD8" s="96">
        <f>((AO8+M8+R8)*0.7+(AN8+M8+R8)*0.3)*(S8/7)^0.5</f>
        <v>4.2761715947024657</v>
      </c>
      <c r="AE8" s="96">
        <f>(0.5*(AN8+R8+M8)+ 0.3*(AO8+R8+M8))/10</f>
        <v>0.44455680046250867</v>
      </c>
      <c r="AF8" s="96">
        <f>(0.4*(AJ8+R8+M8)+0.3*(AO8+R8+M8))/10</f>
        <v>0.52023720040469512</v>
      </c>
      <c r="AG8" s="100">
        <f>(AO8+R8+(LOG(L8)*4/3))*(S8/7)^0.5</f>
        <v>4.7807699040142024</v>
      </c>
      <c r="AH8" s="100">
        <f>(AO8+R8+(LOG(L8)*4/3))*(IF(S8=7, (S8/7)^0.5, ((S8+1)/7)^0.5))</f>
        <v>5.5203575820325224</v>
      </c>
      <c r="AI8" s="97">
        <v>1</v>
      </c>
      <c r="AJ8" s="87">
        <v>5</v>
      </c>
      <c r="AK8" s="97">
        <v>4</v>
      </c>
      <c r="AL8" s="87">
        <v>5</v>
      </c>
      <c r="AM8" s="97">
        <v>4</v>
      </c>
      <c r="AN8" s="87">
        <v>2</v>
      </c>
      <c r="AO8" s="97">
        <v>5</v>
      </c>
      <c r="AP8" s="98">
        <v>443</v>
      </c>
      <c r="AQ8" s="98">
        <v>-53</v>
      </c>
      <c r="AR8" s="114">
        <v>0</v>
      </c>
      <c r="AS8" s="114">
        <v>10</v>
      </c>
      <c r="AT8" s="114">
        <v>6</v>
      </c>
      <c r="AU8" s="114">
        <v>5.5</v>
      </c>
      <c r="AV8" s="114">
        <v>4</v>
      </c>
      <c r="AW8" s="114">
        <v>0</v>
      </c>
      <c r="AX8" s="114">
        <v>3</v>
      </c>
      <c r="AY8" s="130">
        <f t="shared" si="9"/>
        <v>28.5</v>
      </c>
      <c r="AZ8" s="94">
        <v>630</v>
      </c>
      <c r="BA8" s="91" t="s">
        <v>140</v>
      </c>
    </row>
    <row r="9" spans="1:53" x14ac:dyDescent="0.25">
      <c r="A9" s="113" t="s">
        <v>109</v>
      </c>
      <c r="B9" s="104" t="s">
        <v>141</v>
      </c>
      <c r="C9" s="81">
        <f ca="1">((36*112)-(E9*112)-(F9))/112</f>
        <v>9.4642857142857135</v>
      </c>
      <c r="D9" s="129" t="s">
        <v>149</v>
      </c>
      <c r="E9" s="105">
        <v>26</v>
      </c>
      <c r="F9" s="106">
        <f ca="1">$D$1-43577</f>
        <v>60</v>
      </c>
      <c r="G9" s="107"/>
      <c r="H9" s="110">
        <v>2</v>
      </c>
      <c r="I9" s="110">
        <v>4</v>
      </c>
      <c r="J9" s="101">
        <f>IF(H9=4,IF(I9=0,0.137+0.0697,0.137+0.02),IF(H9=3,IF(I9=0,0.0958+0.0697,0.0958+0.02),IF(H9=2,IF(I9=0,0.0415+0.0697,0.0415+0.02),IF(H9=1,IF(I9=0,0.0294+0.0697,0.0294+0.02),IF(H9=0,IF(I9=0,0.0063+0.0697,0.0063+0.02))))))</f>
        <v>6.1499999999999999E-2</v>
      </c>
      <c r="K9" s="102">
        <v>3</v>
      </c>
      <c r="L9" s="108">
        <v>3</v>
      </c>
      <c r="M9" s="87">
        <f>LOG(L9+1)*4/3</f>
        <v>0.80274665510394982</v>
      </c>
      <c r="N9" s="88">
        <f>(K9)*(K9)*(L9)</f>
        <v>27</v>
      </c>
      <c r="O9" s="88">
        <f>(K9+1)*(K9+1)*L9</f>
        <v>48</v>
      </c>
      <c r="P9" s="109">
        <v>4</v>
      </c>
      <c r="Q9" s="90">
        <f>P9*10+19</f>
        <v>59</v>
      </c>
      <c r="R9" s="92">
        <v>1.5</v>
      </c>
      <c r="S9" s="110">
        <v>4</v>
      </c>
      <c r="T9" s="93">
        <f>(S9/7)^0.5</f>
        <v>0.7559289460184544</v>
      </c>
      <c r="U9" s="93">
        <f>IF(S9=7,1,((S9+0.99)/7)^0.5)</f>
        <v>0.84430867747355465</v>
      </c>
      <c r="V9" s="94">
        <v>1050</v>
      </c>
      <c r="W9" s="95">
        <f>V9-AZ9</f>
        <v>0</v>
      </c>
      <c r="X9" s="111">
        <v>390</v>
      </c>
      <c r="Y9" s="96">
        <f>V9/X9</f>
        <v>2.6923076923076925</v>
      </c>
      <c r="Z9" s="99">
        <f>(AK9+R9+M9)*(S9/7)^0.5</f>
        <v>3.252570743977159</v>
      </c>
      <c r="AA9" s="99">
        <f>(AK9+R9+M9)*(IF(S9=7, (S9/7)^0.5, ((S9+1)/7)^0.5))</f>
        <v>3.6364846425799962</v>
      </c>
      <c r="AB9" s="96">
        <f>(((AJ9+R9+M9)+(AM9+R9+M9)*2)/8)*(S9/7)^0.5</f>
        <v>1.7866607385052755</v>
      </c>
      <c r="AC9" s="96">
        <f>(1.66*(AN9+M9+R9)+0.55*(AO9+M9+R9)-7.6)*(S9/7)^0.5</f>
        <v>1.0198011446789335</v>
      </c>
      <c r="AD9" s="96">
        <f>((AO9+M9+R9)*0.7+(AN9+M9+R9)*0.3)*(S9/7)^0.5</f>
        <v>4.0840925845974594</v>
      </c>
      <c r="AE9" s="96">
        <f>(0.5*(AN9+R9+M9)+ 0.3*(AO9+R9+M9))/10</f>
        <v>0.35421973240831595</v>
      </c>
      <c r="AF9" s="96">
        <f>(0.4*(AJ9+R9+M9)+0.3*(AO9+R9+M9))/10</f>
        <v>0.52119226585727652</v>
      </c>
      <c r="AG9" s="100">
        <f>(AO9+R9+(LOG(L9)*4/3))*(S9/7)^0.5</f>
        <v>4.6385022260391482</v>
      </c>
      <c r="AH9" s="100">
        <f>(AO9+R9+(LOG(L9)*4/3))*(IF(S9=7, (S9/7)^0.5, ((S9+1)/7)^0.5))</f>
        <v>5.1860031456038156</v>
      </c>
      <c r="AI9" s="97">
        <v>0</v>
      </c>
      <c r="AJ9" s="87">
        <v>6</v>
      </c>
      <c r="AK9" s="97">
        <v>2</v>
      </c>
      <c r="AL9" s="87">
        <v>5</v>
      </c>
      <c r="AM9" s="97">
        <v>3</v>
      </c>
      <c r="AN9" s="87">
        <v>1</v>
      </c>
      <c r="AO9" s="97">
        <v>4</v>
      </c>
      <c r="AP9" s="98">
        <v>375</v>
      </c>
      <c r="AQ9" s="98">
        <v>575</v>
      </c>
      <c r="AR9" s="114">
        <v>0</v>
      </c>
      <c r="AS9" s="114">
        <v>14</v>
      </c>
      <c r="AT9" s="114">
        <v>0</v>
      </c>
      <c r="AU9" s="114">
        <v>5.5</v>
      </c>
      <c r="AV9" s="114">
        <v>2</v>
      </c>
      <c r="AW9" s="114">
        <v>0</v>
      </c>
      <c r="AX9" s="114">
        <v>2</v>
      </c>
      <c r="AY9" s="130">
        <f>SUM(AR9:AX9)</f>
        <v>23.5</v>
      </c>
      <c r="AZ9" s="94">
        <v>1050</v>
      </c>
      <c r="BA9" s="91" t="s">
        <v>140</v>
      </c>
    </row>
    <row r="10" spans="1:53" x14ac:dyDescent="0.25">
      <c r="A10" s="80" t="s">
        <v>146</v>
      </c>
      <c r="B10" s="80" t="s">
        <v>144</v>
      </c>
      <c r="C10" s="81">
        <f t="shared" ca="1" si="3"/>
        <v>7.4375</v>
      </c>
      <c r="D10" s="128" t="s">
        <v>145</v>
      </c>
      <c r="E10" s="82">
        <v>28</v>
      </c>
      <c r="F10" s="106">
        <f ca="1">$D$1-43574</f>
        <v>63</v>
      </c>
      <c r="G10" s="84"/>
      <c r="H10" s="90">
        <v>0</v>
      </c>
      <c r="I10" s="90">
        <v>4</v>
      </c>
      <c r="J10" s="101">
        <f t="shared" si="4"/>
        <v>2.63E-2</v>
      </c>
      <c r="K10" s="102">
        <v>5</v>
      </c>
      <c r="L10" s="86">
        <v>3</v>
      </c>
      <c r="M10" s="87">
        <f t="shared" si="5"/>
        <v>0.80274665510394982</v>
      </c>
      <c r="N10" s="88">
        <f t="shared" si="0"/>
        <v>75</v>
      </c>
      <c r="O10" s="88">
        <f t="shared" si="1"/>
        <v>108</v>
      </c>
      <c r="P10" s="89">
        <v>6</v>
      </c>
      <c r="Q10" s="90">
        <f t="shared" si="6"/>
        <v>79</v>
      </c>
      <c r="R10" s="92">
        <v>1.5</v>
      </c>
      <c r="S10" s="90">
        <v>6</v>
      </c>
      <c r="T10" s="93">
        <f t="shared" si="7"/>
        <v>0.92582009977255142</v>
      </c>
      <c r="U10" s="93">
        <f t="shared" si="8"/>
        <v>0.99928545900129484</v>
      </c>
      <c r="V10" s="94">
        <v>650</v>
      </c>
      <c r="W10" s="95">
        <f>V10-AZ10</f>
        <v>0</v>
      </c>
      <c r="X10" s="94">
        <v>300</v>
      </c>
      <c r="Y10" s="96">
        <f t="shared" si="2"/>
        <v>2.1666666666666665</v>
      </c>
      <c r="Z10" s="99">
        <f>(AK10+R10+M10)*(S10/7)^0.5</f>
        <v>6.7610296368420046</v>
      </c>
      <c r="AA10" s="99">
        <f>(AK10+R10+M10)*(IF(S10=7, (S10/7)^0.5, ((S10+1)/7)^0.5))</f>
        <v>7.3027466551039497</v>
      </c>
      <c r="AB10" s="96">
        <f>(((AJ10+R10+M10)+(AM10+R10+M10)*2)/8)*(S10/7)^0.5</f>
        <v>1.6095660140432004</v>
      </c>
      <c r="AC10" s="96">
        <f>(1.66*(AN10+M10+R10)+0.55*(AO10+M10+R10)-7.6)*(S10/7)^0.5</f>
        <v>0.73979516690989178</v>
      </c>
      <c r="AD10" s="96">
        <f>((AO10+M10+R10)*0.7+(AN10+M10+R10)*0.3)*(S10/7)^0.5</f>
        <v>4.3538973774333707</v>
      </c>
      <c r="AE10" s="96">
        <f>(0.5*(AN10+R10+M10)+ 0.3*(AO10+R10+M10))/10</f>
        <v>0.32421973240831592</v>
      </c>
      <c r="AF10" s="96">
        <f>(0.4*(AJ10+R10+M10)+0.3*(AO10+R10+M10))/10</f>
        <v>0.45119226585727645</v>
      </c>
      <c r="AG10" s="100">
        <f>(AO10+R10+(LOG(L10)*4/3))*(S10/7)^0.5</f>
        <v>4.7551617125073653</v>
      </c>
      <c r="AH10" s="100">
        <f>(AO10+R10+(LOG(L10)*4/3))*(IF(S10=7, (S10/7)^0.5, ((S10+1)/7)^0.5))</f>
        <v>5.1361616729595498</v>
      </c>
      <c r="AI10" s="97">
        <v>0</v>
      </c>
      <c r="AJ10" s="87">
        <v>5</v>
      </c>
      <c r="AK10" s="97">
        <v>5</v>
      </c>
      <c r="AL10" s="87">
        <v>2</v>
      </c>
      <c r="AM10" s="97">
        <v>1</v>
      </c>
      <c r="AN10" s="87">
        <v>1</v>
      </c>
      <c r="AO10" s="97">
        <v>3</v>
      </c>
      <c r="AP10" s="98">
        <v>315</v>
      </c>
      <c r="AQ10" s="98">
        <v>241</v>
      </c>
      <c r="AR10" s="114">
        <v>0</v>
      </c>
      <c r="AS10" s="114">
        <v>10</v>
      </c>
      <c r="AT10" s="114">
        <v>9</v>
      </c>
      <c r="AU10" s="114">
        <v>0</v>
      </c>
      <c r="AV10" s="114">
        <v>0</v>
      </c>
      <c r="AW10" s="114">
        <v>0</v>
      </c>
      <c r="AX10" s="114">
        <v>1</v>
      </c>
      <c r="AY10" s="130">
        <f t="shared" si="9"/>
        <v>20</v>
      </c>
      <c r="AZ10" s="94">
        <v>650</v>
      </c>
      <c r="BA10" s="91" t="s">
        <v>140</v>
      </c>
    </row>
    <row r="11" spans="1:53" x14ac:dyDescent="0.25">
      <c r="A11" s="80" t="s">
        <v>125</v>
      </c>
      <c r="B11" s="80" t="s">
        <v>144</v>
      </c>
      <c r="C11" s="81">
        <f t="shared" ca="1" si="3"/>
        <v>5.1875</v>
      </c>
      <c r="D11" s="128" t="s">
        <v>148</v>
      </c>
      <c r="E11" s="82">
        <v>30</v>
      </c>
      <c r="F11" s="83">
        <f ca="1">$D$1-43546</f>
        <v>91</v>
      </c>
      <c r="G11" s="84"/>
      <c r="H11" s="90">
        <v>1</v>
      </c>
      <c r="I11" s="90">
        <v>2</v>
      </c>
      <c r="J11" s="101">
        <f t="shared" si="4"/>
        <v>4.9399999999999999E-2</v>
      </c>
      <c r="K11" s="102">
        <v>4</v>
      </c>
      <c r="L11" s="86">
        <v>5</v>
      </c>
      <c r="M11" s="87">
        <f t="shared" si="5"/>
        <v>1.0375350005115249</v>
      </c>
      <c r="N11" s="88">
        <f t="shared" si="0"/>
        <v>80</v>
      </c>
      <c r="O11" s="88">
        <f t="shared" si="1"/>
        <v>125</v>
      </c>
      <c r="P11" s="89">
        <v>6</v>
      </c>
      <c r="Q11" s="90">
        <f t="shared" si="6"/>
        <v>79</v>
      </c>
      <c r="R11" s="92">
        <v>1.5</v>
      </c>
      <c r="S11" s="90">
        <v>6</v>
      </c>
      <c r="T11" s="93">
        <f t="shared" si="7"/>
        <v>0.92582009977255142</v>
      </c>
      <c r="U11" s="93">
        <f t="shared" si="8"/>
        <v>0.99928545900129484</v>
      </c>
      <c r="V11" s="94">
        <v>350</v>
      </c>
      <c r="W11" s="95">
        <f>V11-AZ11</f>
        <v>0</v>
      </c>
      <c r="X11" s="94">
        <v>280</v>
      </c>
      <c r="Y11" s="96">
        <f t="shared" si="2"/>
        <v>1.25</v>
      </c>
      <c r="Z11" s="99">
        <f>(AK11+R11+M11)*(S11/7)^0.5</f>
        <v>6.0525813064401275</v>
      </c>
      <c r="AA11" s="99">
        <f>(AK11+R11+M11)*(IF(S11=7, (S11/7)^0.5, ((S11+1)/7)^0.5))</f>
        <v>6.5375350005115251</v>
      </c>
      <c r="AB11" s="96">
        <f>(((AJ11+R11+M11)+(AM11+R11+M11)*2)/8)*(S11/7)^0.5</f>
        <v>1.9225354525003409</v>
      </c>
      <c r="AC11" s="96">
        <f>(1.66*(AN11+M11+R11)+0.55*(AO11+M11+R11)-7.6)*(S11/7)^0.5</f>
        <v>1.2109285762213573</v>
      </c>
      <c r="AD11" s="96">
        <f>((AO11+M11+R11)*0.7+(AN11+M11+R11)*0.3)*(S11/7)^0.5</f>
        <v>6.237745326394637</v>
      </c>
      <c r="AE11" s="96">
        <f>(0.5*(AN11+R11+M11)+ 0.3*(AO11+R11+M11))/10</f>
        <v>0.38300280004092202</v>
      </c>
      <c r="AF11" s="96">
        <f>(0.4*(AJ11+R11+M11)+0.3*(AO11+R11+M11))/10</f>
        <v>0.55762745003580672</v>
      </c>
      <c r="AG11" s="100">
        <f>(AO11+R11+(LOG(L11)*4/3))*(S11/7)^0.5</f>
        <v>7.8064780538306602</v>
      </c>
      <c r="AH11" s="100">
        <f>(AO11+R11+(LOG(L11)*4/3))*(IF(S11=7, (S11/7)^0.5, ((S11+1)/7)^0.5))</f>
        <v>8.4319600057813577</v>
      </c>
      <c r="AI11" s="97">
        <v>0</v>
      </c>
      <c r="AJ11" s="87">
        <v>5</v>
      </c>
      <c r="AK11" s="97">
        <v>4</v>
      </c>
      <c r="AL11" s="87">
        <v>3</v>
      </c>
      <c r="AM11" s="97">
        <v>2</v>
      </c>
      <c r="AN11" s="87">
        <v>0</v>
      </c>
      <c r="AO11" s="97">
        <v>6</v>
      </c>
      <c r="AP11" s="98">
        <v>324</v>
      </c>
      <c r="AQ11" s="98">
        <v>-33</v>
      </c>
      <c r="AR11" s="114">
        <v>0</v>
      </c>
      <c r="AS11" s="114">
        <v>10</v>
      </c>
      <c r="AT11" s="114">
        <v>6</v>
      </c>
      <c r="AU11" s="114">
        <v>1.5</v>
      </c>
      <c r="AV11" s="114">
        <v>0</v>
      </c>
      <c r="AW11" s="114">
        <v>0</v>
      </c>
      <c r="AX11" s="114">
        <v>4</v>
      </c>
      <c r="AY11" s="130">
        <f t="shared" si="9"/>
        <v>21.5</v>
      </c>
      <c r="AZ11" s="94">
        <v>350</v>
      </c>
      <c r="BA11" s="91" t="s">
        <v>140</v>
      </c>
    </row>
    <row r="12" spans="1:53" x14ac:dyDescent="0.25">
      <c r="A12" s="112" t="s">
        <v>122</v>
      </c>
      <c r="B12" s="104" t="s">
        <v>112</v>
      </c>
      <c r="C12" s="81">
        <f ca="1">((36*112)-(E12*112)-(F12))/112</f>
        <v>10.875</v>
      </c>
      <c r="D12" s="129" t="s">
        <v>143</v>
      </c>
      <c r="E12" s="105">
        <v>25</v>
      </c>
      <c r="F12" s="106">
        <f ca="1">$D$1-43623</f>
        <v>14</v>
      </c>
      <c r="G12" s="107" t="s">
        <v>119</v>
      </c>
      <c r="H12" s="110">
        <v>4</v>
      </c>
      <c r="I12" s="110">
        <v>2</v>
      </c>
      <c r="J12" s="101">
        <f>IF(H12=4,IF(I12=0,0.137+0.0697,0.137+0.02),IF(H12=3,IF(I12=0,0.0958+0.0697,0.0958+0.02),IF(H12=2,IF(I12=0,0.0415+0.0697,0.0415+0.02),IF(H12=1,IF(I12=0,0.0294+0.0697,0.0294+0.02),IF(H12=0,IF(I12=0,0.0063+0.0697,0.0063+0.02))))))</f>
        <v>0.157</v>
      </c>
      <c r="K12" s="103">
        <v>5</v>
      </c>
      <c r="L12" s="108">
        <v>2</v>
      </c>
      <c r="M12" s="87">
        <f>LOG(L12+1)*4/3</f>
        <v>0.63616167295954995</v>
      </c>
      <c r="N12" s="88">
        <f>(K12)*(K12)*(L12)</f>
        <v>50</v>
      </c>
      <c r="O12" s="88">
        <f>(K12+1)*(K12+1)*L12</f>
        <v>72</v>
      </c>
      <c r="P12" s="109">
        <v>6</v>
      </c>
      <c r="Q12" s="90">
        <f>P12*10+19</f>
        <v>79</v>
      </c>
      <c r="R12" s="92">
        <v>1.5</v>
      </c>
      <c r="S12" s="110">
        <v>4</v>
      </c>
      <c r="T12" s="93">
        <f>(S12/7)^0.5</f>
        <v>0.7559289460184544</v>
      </c>
      <c r="U12" s="93">
        <f>IF(S12=7,1,((S12+0.99)/7)^0.5)</f>
        <v>0.84430867747355465</v>
      </c>
      <c r="V12" s="111">
        <v>840</v>
      </c>
      <c r="W12" s="95">
        <f>V12-AZ12</f>
        <v>0</v>
      </c>
      <c r="X12" s="111">
        <v>330</v>
      </c>
      <c r="Y12" s="96">
        <f>V12/X12</f>
        <v>2.5454545454545454</v>
      </c>
      <c r="Z12" s="99">
        <f>(AK12+R12+M12)*(S12/7)^0.5</f>
        <v>5.3944311720576028</v>
      </c>
      <c r="AA12" s="99">
        <f>(AK12+R12+M12)*(IF(S12=7, (S12/7)^0.5, ((S12+1)/7)^0.5))</f>
        <v>6.0311574003323321</v>
      </c>
      <c r="AB12" s="96">
        <f>(((AJ12+R12+M12)+(AM12+R12+M12)*2)/8)*(S12/7)^0.5</f>
        <v>1.7394383347646807</v>
      </c>
      <c r="AC12" s="96">
        <f>(1.66*(AN12+M12+R12)+0.55*(AO12+M12+R12)-7.6)*(S12/7)^0.5</f>
        <v>2.4121067493351451</v>
      </c>
      <c r="AD12" s="96">
        <f>((AO12+M12+R12)*0.7+(AN12+M12+R12)*0.3)*(S12/7)^0.5</f>
        <v>4.7140951206409936</v>
      </c>
      <c r="AE12" s="96">
        <f>(0.5*(AN12+R12+M12)+ 0.3*(AO12+R12+M12))/10</f>
        <v>0.42089293383676391</v>
      </c>
      <c r="AF12" s="96">
        <f>(0.4*(AJ12+R12+M12)+0.3*(AO12+R12+M12))/10</f>
        <v>0.45953131710716849</v>
      </c>
      <c r="AG12" s="100">
        <f>(AO12+R12+(LOG(L12)*4/3))*(S12/7)^0.5</f>
        <v>5.2169478655762385</v>
      </c>
      <c r="AH12" s="100">
        <f>(AO12+R12+(LOG(L12)*4/3))*(IF(S12=7, (S12/7)^0.5, ((S12+1)/7)^0.5))</f>
        <v>5.8327250312504519</v>
      </c>
      <c r="AI12" s="97">
        <v>1</v>
      </c>
      <c r="AJ12" s="87">
        <v>4</v>
      </c>
      <c r="AK12" s="97">
        <v>5</v>
      </c>
      <c r="AL12" s="87">
        <v>2</v>
      </c>
      <c r="AM12" s="97">
        <v>4</v>
      </c>
      <c r="AN12" s="87">
        <v>2</v>
      </c>
      <c r="AO12" s="97">
        <v>5</v>
      </c>
      <c r="AP12" s="98">
        <v>381</v>
      </c>
      <c r="AQ12" s="98">
        <v>779</v>
      </c>
      <c r="AR12" s="114">
        <v>0</v>
      </c>
      <c r="AS12" s="114">
        <v>6</v>
      </c>
      <c r="AT12" s="114">
        <v>9</v>
      </c>
      <c r="AU12" s="114">
        <v>0</v>
      </c>
      <c r="AV12" s="114">
        <v>4</v>
      </c>
      <c r="AW12" s="114">
        <v>0</v>
      </c>
      <c r="AX12" s="114">
        <v>3</v>
      </c>
      <c r="AY12" s="130">
        <f>SUM(AR12:AX12)</f>
        <v>22</v>
      </c>
      <c r="AZ12" s="94">
        <v>840</v>
      </c>
      <c r="BA12" s="91" t="s">
        <v>140</v>
      </c>
    </row>
    <row r="13" spans="1:53" x14ac:dyDescent="0.25">
      <c r="A13" s="80" t="s">
        <v>113</v>
      </c>
      <c r="B13" s="80" t="s">
        <v>112</v>
      </c>
      <c r="C13" s="81">
        <f t="shared" ca="1" si="3"/>
        <v>14.214285714285714</v>
      </c>
      <c r="D13" s="128" t="s">
        <v>150</v>
      </c>
      <c r="E13" s="82">
        <v>21</v>
      </c>
      <c r="F13" s="106">
        <f ca="1">$D$1-43549</f>
        <v>88</v>
      </c>
      <c r="G13" s="84"/>
      <c r="H13" s="90">
        <v>2</v>
      </c>
      <c r="I13" s="90">
        <v>1</v>
      </c>
      <c r="J13" s="101">
        <f t="shared" si="4"/>
        <v>6.1499999999999999E-2</v>
      </c>
      <c r="K13" s="102">
        <v>2</v>
      </c>
      <c r="L13" s="86">
        <v>2</v>
      </c>
      <c r="M13" s="87">
        <f t="shared" si="5"/>
        <v>0.63616167295954995</v>
      </c>
      <c r="N13" s="88">
        <f t="shared" si="0"/>
        <v>8</v>
      </c>
      <c r="O13" s="88">
        <f t="shared" si="1"/>
        <v>18</v>
      </c>
      <c r="P13" s="89">
        <v>5</v>
      </c>
      <c r="Q13" s="90">
        <f t="shared" si="6"/>
        <v>69</v>
      </c>
      <c r="R13" s="92">
        <v>1.5</v>
      </c>
      <c r="S13" s="90">
        <v>6</v>
      </c>
      <c r="T13" s="93">
        <f t="shared" si="7"/>
        <v>0.92582009977255142</v>
      </c>
      <c r="U13" s="93">
        <f t="shared" si="8"/>
        <v>0.99928545900129484</v>
      </c>
      <c r="V13" s="94">
        <v>780</v>
      </c>
      <c r="W13" s="95">
        <f>V13-AZ13</f>
        <v>0</v>
      </c>
      <c r="X13" s="94">
        <v>310</v>
      </c>
      <c r="Y13" s="96">
        <f t="shared" si="2"/>
        <v>2.5161290322580645</v>
      </c>
      <c r="Z13" s="99">
        <f>(AK13+R13+M13)*(S13/7)^0.5</f>
        <v>6.6068019120524681</v>
      </c>
      <c r="AA13" s="99">
        <f>(AK13+R13+M13)*(IF(S13=7, (S13/7)^0.5, ((S13+1)/7)^0.5))</f>
        <v>7.1361616729595498</v>
      </c>
      <c r="AB13" s="96">
        <f>(((AJ13+R13+M13)+(AM13+R13+M13)*2)/8)*(S13/7)^0.5</f>
        <v>1.898913154661831</v>
      </c>
      <c r="AC13" s="96">
        <f>(1.66*(AN13+M13+R13)+0.55*(AO13+M13+R13)-7.6)*(S13/7)^0.5</f>
        <v>0.90815294999991869</v>
      </c>
      <c r="AD13" s="96">
        <f>((AO13+M13+R13)*0.7+(AN13+M13+R13)*0.3)*(S13/7)^0.5</f>
        <v>4.8477437224846209</v>
      </c>
      <c r="AE13" s="96">
        <f>(0.5*(AN13+R13+M13)+ 0.3*(AO13+R13+M13))/10</f>
        <v>0.340892933836764</v>
      </c>
      <c r="AF13" s="96">
        <f>(0.4*(AJ13+R13+M13)+0.3*(AO13+R13+M13))/10</f>
        <v>0.42953131710716852</v>
      </c>
      <c r="AG13" s="100">
        <f>(AO13+R13+(LOG(L13)*4/3))*(S13/7)^0.5</f>
        <v>5.4636100429092433</v>
      </c>
      <c r="AH13" s="100">
        <f>(AO13+R13+(LOG(L13)*4/3))*(IF(S13=7, (S13/7)^0.5, ((S13+1)/7)^0.5))</f>
        <v>5.9013733275519753</v>
      </c>
      <c r="AI13" s="97">
        <v>0</v>
      </c>
      <c r="AJ13" s="87">
        <v>4</v>
      </c>
      <c r="AK13" s="97">
        <v>5</v>
      </c>
      <c r="AL13" s="87">
        <v>3</v>
      </c>
      <c r="AM13" s="97">
        <v>3</v>
      </c>
      <c r="AN13" s="87">
        <v>1</v>
      </c>
      <c r="AO13" s="97">
        <v>4</v>
      </c>
      <c r="AP13" s="98">
        <v>338</v>
      </c>
      <c r="AQ13" s="98">
        <v>1229</v>
      </c>
      <c r="AR13" s="114">
        <v>0</v>
      </c>
      <c r="AS13" s="114">
        <v>6</v>
      </c>
      <c r="AT13" s="114">
        <v>9</v>
      </c>
      <c r="AU13" s="114">
        <v>1.5</v>
      </c>
      <c r="AV13" s="114">
        <v>2</v>
      </c>
      <c r="AW13" s="114">
        <v>0</v>
      </c>
      <c r="AX13" s="114">
        <v>2</v>
      </c>
      <c r="AY13" s="130">
        <f t="shared" si="9"/>
        <v>20.5</v>
      </c>
      <c r="AZ13" s="94">
        <v>780</v>
      </c>
      <c r="BA13" s="91" t="s">
        <v>140</v>
      </c>
    </row>
    <row r="14" spans="1:53" x14ac:dyDescent="0.25">
      <c r="A14" s="80" t="s">
        <v>126</v>
      </c>
      <c r="B14" s="80" t="s">
        <v>112</v>
      </c>
      <c r="C14" s="81">
        <f t="shared" ca="1" si="3"/>
        <v>16.526785714285715</v>
      </c>
      <c r="D14" s="128" t="s">
        <v>151</v>
      </c>
      <c r="E14" s="82">
        <v>19</v>
      </c>
      <c r="F14" s="106">
        <f ca="1">$D$1-43584</f>
        <v>53</v>
      </c>
      <c r="G14" s="84"/>
      <c r="H14" s="90">
        <v>0</v>
      </c>
      <c r="I14" s="90">
        <v>4</v>
      </c>
      <c r="J14" s="101">
        <f t="shared" si="4"/>
        <v>2.63E-2</v>
      </c>
      <c r="K14" s="102">
        <v>2</v>
      </c>
      <c r="L14" s="86">
        <v>1</v>
      </c>
      <c r="M14" s="87">
        <f t="shared" si="5"/>
        <v>0.40137332755197491</v>
      </c>
      <c r="N14" s="88">
        <f t="shared" si="0"/>
        <v>4</v>
      </c>
      <c r="O14" s="88">
        <f t="shared" si="1"/>
        <v>9</v>
      </c>
      <c r="P14" s="89">
        <v>5</v>
      </c>
      <c r="Q14" s="90">
        <f t="shared" si="6"/>
        <v>69</v>
      </c>
      <c r="R14" s="92">
        <v>1.5</v>
      </c>
      <c r="S14" s="90">
        <v>5</v>
      </c>
      <c r="T14" s="93">
        <f t="shared" si="7"/>
        <v>0.84515425472851657</v>
      </c>
      <c r="U14" s="93">
        <f t="shared" si="8"/>
        <v>0.92504826128926143</v>
      </c>
      <c r="V14" s="94">
        <v>960</v>
      </c>
      <c r="W14" s="95">
        <f>V14-AZ14</f>
        <v>0</v>
      </c>
      <c r="X14" s="94">
        <v>330</v>
      </c>
      <c r="Y14" s="96">
        <f t="shared" si="2"/>
        <v>2.9090909090909092</v>
      </c>
      <c r="Z14" s="99">
        <f>(AK14+R14+M14)*(S14/7)^0.5</f>
        <v>5.8327250312504519</v>
      </c>
      <c r="AA14" s="99">
        <f>(AK14+R14+M14)*(IF(S14=7, (S14/7)^0.5, ((S14+1)/7)^0.5))</f>
        <v>6.3894301426817952</v>
      </c>
      <c r="AB14" s="96">
        <f>(((AJ14+R14+M14)+(AM14+R14+M14)*2)/8)*(S14/7)^0.5</f>
        <v>1.9759833230367903</v>
      </c>
      <c r="AC14" s="96">
        <f>(1.66*(AN14+M14+R14)+0.55*(AO14+M14+R14)-7.6)*(S14/7)^0.5</f>
        <v>2.2582817945787612</v>
      </c>
      <c r="AD14" s="96">
        <f>((AO14+M14+R14)*0.7+(AN14+M14+R14)*0.3)*(S14/7)^0.5</f>
        <v>5.0720862019947868</v>
      </c>
      <c r="AE14" s="96">
        <f>(0.5*(AN14+R14+M14)+ 0.3*(AO14+R14+M14))/10</f>
        <v>0.40210986620415801</v>
      </c>
      <c r="AF14" s="96">
        <f>(0.4*(AJ14+R14+M14)+0.3*(AO14+R14+M14))/10</f>
        <v>0.40309613292863827</v>
      </c>
      <c r="AG14" s="100">
        <f>(AO14+R14+(LOG(L14)*4/3))*(S14/7)^0.5</f>
        <v>5.4935026557353579</v>
      </c>
      <c r="AH14" s="100">
        <f>(AO14+R14+(LOG(L14)*4/3))*(IF(S14=7, (S14/7)^0.5, ((S14+1)/7)^0.5))</f>
        <v>6.017830648521584</v>
      </c>
      <c r="AI14" s="97">
        <v>0</v>
      </c>
      <c r="AJ14" s="87">
        <v>3</v>
      </c>
      <c r="AK14" s="97">
        <v>5</v>
      </c>
      <c r="AL14" s="87">
        <v>1</v>
      </c>
      <c r="AM14" s="97">
        <v>5</v>
      </c>
      <c r="AN14" s="87">
        <v>2</v>
      </c>
      <c r="AO14" s="97">
        <v>5</v>
      </c>
      <c r="AP14" s="98">
        <v>354</v>
      </c>
      <c r="AQ14" s="98">
        <v>1602</v>
      </c>
      <c r="AR14" s="114">
        <v>0</v>
      </c>
      <c r="AS14" s="114">
        <v>3</v>
      </c>
      <c r="AT14" s="114">
        <v>9</v>
      </c>
      <c r="AU14" s="114">
        <v>0</v>
      </c>
      <c r="AV14" s="114">
        <v>7</v>
      </c>
      <c r="AW14" s="114">
        <v>0</v>
      </c>
      <c r="AX14" s="114">
        <v>3</v>
      </c>
      <c r="AY14" s="130">
        <f t="shared" si="9"/>
        <v>22</v>
      </c>
      <c r="AZ14" s="94">
        <v>960</v>
      </c>
      <c r="BA14" s="91" t="s">
        <v>140</v>
      </c>
    </row>
    <row r="15" spans="1:53" x14ac:dyDescent="0.25">
      <c r="A15" s="80" t="s">
        <v>124</v>
      </c>
      <c r="B15" s="80" t="s">
        <v>112</v>
      </c>
      <c r="C15" s="81">
        <f t="shared" ca="1" si="3"/>
        <v>12.973214285714286</v>
      </c>
      <c r="D15" s="128" t="s">
        <v>152</v>
      </c>
      <c r="E15" s="82">
        <v>23</v>
      </c>
      <c r="F15" s="106">
        <f ca="1">$D$1-43634</f>
        <v>3</v>
      </c>
      <c r="G15" s="84"/>
      <c r="H15" s="90">
        <v>3</v>
      </c>
      <c r="I15" s="90">
        <v>4</v>
      </c>
      <c r="J15" s="101">
        <f>IF(H15=4,IF(I15=0,0.137+0.0697,0.137+0.02),IF(H15=3,IF(I15=0,0.0958+0.0697,0.0958+0.02),IF(H15=2,IF(I15=0,0.0415+0.0697,0.0415+0.02),IF(H15=1,IF(I15=0,0.0294+0.0697,0.0294+0.02),IF(H15=0,IF(I15=0,0.0063+0.0697,0.0063+0.02))))))</f>
        <v>0.1158</v>
      </c>
      <c r="K15" s="102">
        <v>5</v>
      </c>
      <c r="L15" s="86">
        <v>2</v>
      </c>
      <c r="M15" s="87">
        <f>LOG(L15+1)*4/3</f>
        <v>0.63616167295954995</v>
      </c>
      <c r="N15" s="88">
        <f>(K15)*(K15)*(L15)</f>
        <v>50</v>
      </c>
      <c r="O15" s="88">
        <f>(K15+1)*(K15+1)*L15</f>
        <v>72</v>
      </c>
      <c r="P15" s="89">
        <v>5</v>
      </c>
      <c r="Q15" s="90">
        <f>P15*10+19</f>
        <v>69</v>
      </c>
      <c r="R15" s="92">
        <v>1.5</v>
      </c>
      <c r="S15" s="90">
        <v>4</v>
      </c>
      <c r="T15" s="93">
        <f>(S15/7)^0.5</f>
        <v>0.7559289460184544</v>
      </c>
      <c r="U15" s="93">
        <f>IF(S15=7,1,((S15+0.99)/7)^0.5)</f>
        <v>0.84430867747355465</v>
      </c>
      <c r="V15" s="94">
        <v>1370</v>
      </c>
      <c r="W15" s="95">
        <f>V15-AZ15</f>
        <v>0</v>
      </c>
      <c r="X15" s="94">
        <v>430</v>
      </c>
      <c r="Y15" s="96">
        <f>V15/X15</f>
        <v>3.1860465116279069</v>
      </c>
      <c r="Z15" s="99">
        <f>(AK15+R15+M15)*(S15/7)^0.5</f>
        <v>6.1503601180760574</v>
      </c>
      <c r="AA15" s="99">
        <f>(AK15+R15+M15)*(IF(S15=7, (S15/7)^0.5, ((S15+1)/7)^0.5))</f>
        <v>6.8763116550608494</v>
      </c>
      <c r="AB15" s="96">
        <f>(((AJ15+R15+M15)+(AM15+R15+M15)*2)/8)*(S15/7)^0.5</f>
        <v>1.644947216512374</v>
      </c>
      <c r="AC15" s="96">
        <f>(1.66*(AN15+M15+R15)+0.55*(AO15+M15+R15)-7.6)*(S15/7)^0.5</f>
        <v>0.74150377863436168</v>
      </c>
      <c r="AD15" s="96">
        <f>((AO15+M15+R15)*0.7+(AN15+M15+R15)*0.3)*(S15/7)^0.5</f>
        <v>3.9581661746225398</v>
      </c>
      <c r="AE15" s="96">
        <f>(0.5*(AN15+R15+M15)+ 0.3*(AO15+R15+M15))/10</f>
        <v>0.340892933836764</v>
      </c>
      <c r="AF15" s="96">
        <f>(0.4*(AJ15+R15+M15)+0.3*(AO15+R15+M15))/10</f>
        <v>0.46953131710716856</v>
      </c>
      <c r="AG15" s="100">
        <f>(AO15+R15+(LOG(L15)*4/3))*(S15/7)^0.5</f>
        <v>4.4610189195577838</v>
      </c>
      <c r="AH15" s="100">
        <f>(AO15+R15+(LOG(L15)*4/3))*(IF(S15=7, (S15/7)^0.5, ((S15+1)/7)^0.5))</f>
        <v>4.9875707765219355</v>
      </c>
      <c r="AI15" s="97">
        <v>0</v>
      </c>
      <c r="AJ15" s="87">
        <v>5</v>
      </c>
      <c r="AK15" s="97">
        <v>6</v>
      </c>
      <c r="AL15" s="87">
        <v>2</v>
      </c>
      <c r="AM15" s="97">
        <v>3</v>
      </c>
      <c r="AN15" s="87">
        <v>1</v>
      </c>
      <c r="AO15" s="97">
        <v>4</v>
      </c>
      <c r="AP15" s="98">
        <v>394</v>
      </c>
      <c r="AQ15" s="98">
        <v>1098</v>
      </c>
      <c r="AR15" s="114">
        <v>0</v>
      </c>
      <c r="AS15" s="114">
        <v>10</v>
      </c>
      <c r="AT15" s="114">
        <v>12</v>
      </c>
      <c r="AU15" s="114">
        <v>0</v>
      </c>
      <c r="AV15" s="114">
        <v>2</v>
      </c>
      <c r="AW15" s="114">
        <v>0</v>
      </c>
      <c r="AX15" s="114">
        <v>2</v>
      </c>
      <c r="AY15" s="130">
        <f t="shared" si="9"/>
        <v>26</v>
      </c>
      <c r="AZ15" s="94">
        <v>1370</v>
      </c>
      <c r="BA15" s="91" t="s">
        <v>140</v>
      </c>
    </row>
    <row r="16" spans="1:53" x14ac:dyDescent="0.25">
      <c r="A16" s="80" t="s">
        <v>110</v>
      </c>
      <c r="B16" s="80" t="s">
        <v>112</v>
      </c>
      <c r="C16" s="81">
        <f t="shared" ca="1" si="3"/>
        <v>11.991071428571429</v>
      </c>
      <c r="D16" s="128" t="s">
        <v>153</v>
      </c>
      <c r="E16" s="82">
        <v>24</v>
      </c>
      <c r="F16" s="106">
        <f ca="1">$D$1-43636</f>
        <v>1</v>
      </c>
      <c r="G16" s="84"/>
      <c r="H16" s="90">
        <v>2</v>
      </c>
      <c r="I16" s="90">
        <v>2</v>
      </c>
      <c r="J16" s="101">
        <f>IF(H16=4,IF(I16=0,0.137+0.0697,0.137+0.02),IF(H16=3,IF(I16=0,0.0958+0.0697,0.0958+0.02),IF(H16=2,IF(I16=0,0.0415+0.0697,0.0415+0.02),IF(H16=1,IF(I16=0,0.0294+0.0697,0.0294+0.02),IF(H16=0,IF(I16=0,0.0063+0.0697,0.0063+0.02))))))</f>
        <v>6.1499999999999999E-2</v>
      </c>
      <c r="K16" s="102">
        <v>3</v>
      </c>
      <c r="L16" s="86">
        <v>2</v>
      </c>
      <c r="M16" s="87">
        <f>LOG(L16+1)*4/3</f>
        <v>0.63616167295954995</v>
      </c>
      <c r="N16" s="88">
        <f>(K16)*(K16)*(L16)</f>
        <v>18</v>
      </c>
      <c r="O16" s="88">
        <f>(K16+1)*(K16+1)*L16</f>
        <v>32</v>
      </c>
      <c r="P16" s="89">
        <v>5</v>
      </c>
      <c r="Q16" s="90">
        <f>P16*10+19</f>
        <v>69</v>
      </c>
      <c r="R16" s="92">
        <v>1.5</v>
      </c>
      <c r="S16" s="90">
        <v>4</v>
      </c>
      <c r="T16" s="93">
        <f>(S16/7)^0.5</f>
        <v>0.7559289460184544</v>
      </c>
      <c r="U16" s="93">
        <f>IF(S16=7,1,((S16+0.99)/7)^0.5)</f>
        <v>0.84430867747355465</v>
      </c>
      <c r="V16" s="94">
        <v>950</v>
      </c>
      <c r="W16" s="95">
        <f>V16-AZ16</f>
        <v>0</v>
      </c>
      <c r="X16" s="94">
        <v>410</v>
      </c>
      <c r="Y16" s="96">
        <f>V16/X16</f>
        <v>2.3170731707317072</v>
      </c>
      <c r="Z16" s="99">
        <f>(AK16+R16+M16)*(S16/7)^0.5</f>
        <v>6.1503601180760574</v>
      </c>
      <c r="AA16" s="99">
        <f>(AK16+R16+M16)*(IF(S16=7, (S16/7)^0.5, ((S16+1)/7)^0.5))</f>
        <v>6.8763116550608494</v>
      </c>
      <c r="AB16" s="96">
        <f>(((AJ16+R16+M16)+(AM16+R16+M16)*2)/8)*(S16/7)^0.5</f>
        <v>1.644947216512374</v>
      </c>
      <c r="AC16" s="96">
        <f>(1.66*(AN16+M16+R16)+0.55*(AO16+M16+R16)-7.6)*(S16/7)^0.5</f>
        <v>3.2511878794156304</v>
      </c>
      <c r="AD16" s="96">
        <f>((AO16+M16+R16)*0.7+(AN16+M16+R16)*0.3)*(S16/7)^0.5</f>
        <v>4.4117235422336121</v>
      </c>
      <c r="AE16" s="96">
        <f>(0.5*(AN16+R16+M16)+ 0.3*(AO16+R16+M16))/10</f>
        <v>0.44089293383676403</v>
      </c>
      <c r="AF16" s="96">
        <f>(0.4*(AJ16+R16+M16)+0.3*(AO16+R16+M16))/10</f>
        <v>0.38953131710716848</v>
      </c>
      <c r="AG16" s="100">
        <f>(AO16+R16+(LOG(L16)*4/3))*(S16/7)^0.5</f>
        <v>4.4610189195577838</v>
      </c>
      <c r="AH16" s="100">
        <f>(AO16+R16+(LOG(L16)*4/3))*(IF(S16=7, (S16/7)^0.5, ((S16+1)/7)^0.5))</f>
        <v>4.9875707765219355</v>
      </c>
      <c r="AI16" s="97">
        <v>0</v>
      </c>
      <c r="AJ16" s="87">
        <v>3</v>
      </c>
      <c r="AK16" s="97">
        <v>6</v>
      </c>
      <c r="AL16" s="87">
        <v>2</v>
      </c>
      <c r="AM16" s="97">
        <v>4</v>
      </c>
      <c r="AN16" s="87">
        <v>3</v>
      </c>
      <c r="AO16" s="97">
        <v>4</v>
      </c>
      <c r="AP16" s="98">
        <v>391</v>
      </c>
      <c r="AQ16" s="98">
        <v>950</v>
      </c>
      <c r="AR16" s="114">
        <v>0</v>
      </c>
      <c r="AS16" s="114">
        <v>3</v>
      </c>
      <c r="AT16" s="114">
        <v>12</v>
      </c>
      <c r="AU16" s="114">
        <v>0</v>
      </c>
      <c r="AV16" s="114">
        <v>4</v>
      </c>
      <c r="AW16" s="114">
        <v>2</v>
      </c>
      <c r="AX16" s="114">
        <v>2</v>
      </c>
      <c r="AY16" s="130">
        <f t="shared" si="9"/>
        <v>23</v>
      </c>
      <c r="AZ16" s="94">
        <v>950</v>
      </c>
      <c r="BA16" s="91" t="s">
        <v>140</v>
      </c>
    </row>
    <row r="17" spans="1:53" x14ac:dyDescent="0.25">
      <c r="A17" s="80" t="s">
        <v>115</v>
      </c>
      <c r="B17" s="80" t="s">
        <v>112</v>
      </c>
      <c r="C17" s="81">
        <f ca="1">((36*112)-(E17*112)-(F17))/112</f>
        <v>8.9553571428571423</v>
      </c>
      <c r="D17" s="128" t="s">
        <v>155</v>
      </c>
      <c r="E17" s="82">
        <v>27</v>
      </c>
      <c r="F17" s="106">
        <f ca="1">$D$1-43632</f>
        <v>5</v>
      </c>
      <c r="G17" s="84" t="s">
        <v>108</v>
      </c>
      <c r="H17" s="90">
        <v>3</v>
      </c>
      <c r="I17" s="90">
        <v>4</v>
      </c>
      <c r="J17" s="101">
        <f>IF(H17=4,IF(I17=0,0.137+0.0697,0.137+0.02),IF(H17=3,IF(I17=0,0.0958+0.0697,0.0958+0.02),IF(H17=2,IF(I17=0,0.0415+0.0697,0.0415+0.02),IF(H17=1,IF(I17=0,0.0294+0.0697,0.0294+0.02),IF(H17=0,IF(I17=0,0.0063+0.0697,0.0063+0.02))))))</f>
        <v>0.1158</v>
      </c>
      <c r="K17" s="102">
        <v>0</v>
      </c>
      <c r="L17" s="86">
        <v>4</v>
      </c>
      <c r="M17" s="87">
        <f>LOG(L17+1)*4/3</f>
        <v>0.93196000578135851</v>
      </c>
      <c r="N17" s="88">
        <f>(K17)*(K17)*(L17)</f>
        <v>0</v>
      </c>
      <c r="O17" s="88">
        <f>(K17+1)*(K17+1)*L17</f>
        <v>4</v>
      </c>
      <c r="P17" s="89">
        <v>5</v>
      </c>
      <c r="Q17" s="90">
        <f>P17*10+19</f>
        <v>69</v>
      </c>
      <c r="R17" s="92">
        <v>1.5</v>
      </c>
      <c r="S17" s="90">
        <v>3</v>
      </c>
      <c r="T17" s="93">
        <f>(S17/7)^0.5</f>
        <v>0.65465367070797709</v>
      </c>
      <c r="U17" s="93">
        <f>IF(S17=7,1,((S17+0.99)/7)^0.5)</f>
        <v>0.75498344352707503</v>
      </c>
      <c r="V17" s="94">
        <v>1190</v>
      </c>
      <c r="W17" s="95">
        <f>V17-AZ17</f>
        <v>0</v>
      </c>
      <c r="X17" s="94">
        <v>330</v>
      </c>
      <c r="Y17" s="96">
        <f>V17/X17</f>
        <v>3.606060606060606</v>
      </c>
      <c r="Z17" s="99">
        <f>(AK17+R17+M17)*(S17/7)^0.5</f>
        <v>4.8653598983396451</v>
      </c>
      <c r="AA17" s="99">
        <f>(AK17+R17+M17)*(IF(S17=7, (S17/7)^0.5, ((S17+1)/7)^0.5))</f>
        <v>5.6180336940216087</v>
      </c>
      <c r="AB17" s="96">
        <f>(((AJ17+R17+M17)+(AM17+R17+M17)*2)/8)*(S17/7)^0.5</f>
        <v>1.4971831265233784</v>
      </c>
      <c r="AC17" s="96">
        <f>(1.66*(AN17+M17+R17)+0.55*(AO17+M17+R17)-7.6)*(S17/7)^0.5</f>
        <v>1.4367236411561017</v>
      </c>
      <c r="AD17" s="96">
        <f>((AO17+M17+R17)*0.7+(AN17+M17+R17)*0.3)*(S17/7)^0.5</f>
        <v>2.9013988862157132</v>
      </c>
      <c r="AE17" s="96">
        <f>(0.5*(AN17+R17+M17)+ 0.3*(AO17+R17+M17))/10</f>
        <v>0.3545568004625087</v>
      </c>
      <c r="AF17" s="96">
        <f>(0.4*(AJ17+R17+M17)+0.3*(AO17+R17+M17))/10</f>
        <v>0.43023720040469515</v>
      </c>
      <c r="AG17" s="100">
        <f>(AO17+R17+(LOG(L17)*4/3))*(S17/7)^0.5</f>
        <v>2.8168088918902709</v>
      </c>
      <c r="AH17" s="100">
        <f>(AO17+R17+(LOG(L17)*4/3))*(IF(S17=7, (S17/7)^0.5, ((S17+1)/7)^0.5))</f>
        <v>3.252570743977159</v>
      </c>
      <c r="AI17" s="97">
        <v>0</v>
      </c>
      <c r="AJ17" s="87">
        <v>5</v>
      </c>
      <c r="AK17" s="97">
        <v>5</v>
      </c>
      <c r="AL17" s="87">
        <v>5</v>
      </c>
      <c r="AM17" s="97">
        <v>3</v>
      </c>
      <c r="AN17" s="87">
        <v>2</v>
      </c>
      <c r="AO17" s="97">
        <v>2</v>
      </c>
      <c r="AP17" s="98">
        <v>423</v>
      </c>
      <c r="AQ17" s="98">
        <v>552</v>
      </c>
      <c r="AR17" s="114">
        <v>0</v>
      </c>
      <c r="AS17" s="114">
        <v>10</v>
      </c>
      <c r="AT17" s="114">
        <v>9</v>
      </c>
      <c r="AU17" s="114">
        <v>5.5</v>
      </c>
      <c r="AV17" s="114">
        <v>2</v>
      </c>
      <c r="AW17" s="114">
        <v>0</v>
      </c>
      <c r="AX17" s="114">
        <v>0</v>
      </c>
      <c r="AY17" s="130">
        <f>SUM(AR17:AX17)</f>
        <v>26.5</v>
      </c>
      <c r="AZ17" s="94">
        <v>1190</v>
      </c>
      <c r="BA17" s="91" t="s">
        <v>140</v>
      </c>
    </row>
    <row r="18" spans="1:53" x14ac:dyDescent="0.25">
      <c r="A18" s="80" t="s">
        <v>106</v>
      </c>
      <c r="B18" s="80" t="s">
        <v>120</v>
      </c>
      <c r="C18" s="81">
        <f t="shared" ca="1" si="3"/>
        <v>15.205357142857142</v>
      </c>
      <c r="D18" s="128" t="s">
        <v>154</v>
      </c>
      <c r="E18" s="82">
        <v>20</v>
      </c>
      <c r="F18" s="106">
        <f ca="1">$D$1-43548</f>
        <v>89</v>
      </c>
      <c r="G18" s="84"/>
      <c r="H18" s="90">
        <v>1</v>
      </c>
      <c r="I18" s="90">
        <v>1</v>
      </c>
      <c r="J18" s="101">
        <f>IF(H18=4,IF(I18=0,0.137+0.0697,0.137+0.02),IF(H18=3,IF(I18=0,0.0958+0.0697,0.0958+0.02),IF(H18=2,IF(I18=0,0.0415+0.0697,0.0415+0.02),IF(H18=1,IF(I18=0,0.0294+0.0697,0.0294+0.02),IF(H18=0,IF(I18=0,0.0063+0.0697,0.0063+0.02))))))</f>
        <v>4.9399999999999999E-2</v>
      </c>
      <c r="K18" s="102">
        <v>5</v>
      </c>
      <c r="L18" s="86">
        <v>1</v>
      </c>
      <c r="M18" s="87">
        <f>LOG(L18+1)*4/3</f>
        <v>0.40137332755197491</v>
      </c>
      <c r="N18" s="88">
        <f>(K18)*(K18)*(L18)</f>
        <v>25</v>
      </c>
      <c r="O18" s="88">
        <f>(K18+1)*(K18+1)*L18</f>
        <v>36</v>
      </c>
      <c r="P18" s="89">
        <v>6</v>
      </c>
      <c r="Q18" s="90">
        <f>P18*10+19</f>
        <v>79</v>
      </c>
      <c r="R18" s="92">
        <v>1.5</v>
      </c>
      <c r="S18" s="90">
        <v>3</v>
      </c>
      <c r="T18" s="93">
        <f>(S18/7)^0.5</f>
        <v>0.65465367070797709</v>
      </c>
      <c r="U18" s="93">
        <f>IF(S18=7,1,((S18+0.99)/7)^0.5)</f>
        <v>0.75498344352707503</v>
      </c>
      <c r="V18" s="94">
        <v>1230</v>
      </c>
      <c r="W18" s="95">
        <f>V18-AZ18</f>
        <v>0</v>
      </c>
      <c r="X18" s="94">
        <v>330</v>
      </c>
      <c r="Y18" s="96">
        <f>V18/X18</f>
        <v>3.7272727272727271</v>
      </c>
      <c r="Z18" s="99">
        <f>(AK18+R18+M18)*(S18/7)^0.5</f>
        <v>4.5180093818080271</v>
      </c>
      <c r="AA18" s="99">
        <f>(AK18+R18+M18)*(IF(S18=7, (S18/7)^0.5, ((S18+1)/7)^0.5))</f>
        <v>5.2169478655762385</v>
      </c>
      <c r="AB18" s="96">
        <f>(((AJ18+R18+M18)+(AM18+R18+M18)*2)/8)*(S18/7)^0.5</f>
        <v>1.4487583916625186</v>
      </c>
      <c r="AC18" s="96">
        <f>(1.66*(AN18+M18+R18)+0.55*(AO18+M18+R18)-7.6)*(S18/7)^0.5</f>
        <v>0.30247294402475827</v>
      </c>
      <c r="AD18" s="96">
        <f>((AO18+M18+R18)*0.7+(AN18+M18+R18)*0.3)*(S18/7)^0.5</f>
        <v>3.2741674074628704</v>
      </c>
      <c r="AE18" s="96">
        <f>(0.5*(AN18+R18+M18)+ 0.3*(AO18+R18+M18))/10</f>
        <v>0.32210986620415805</v>
      </c>
      <c r="AF18" s="96">
        <f>(0.4*(AJ18+R18+M18)+0.3*(AO18+R18+M18))/10</f>
        <v>0.41309613292863823</v>
      </c>
      <c r="AG18" s="100">
        <f>(AO18+R18+(LOG(L18)*4/3))*(S18/7)^0.5</f>
        <v>3.6005951888938741</v>
      </c>
      <c r="AH18" s="100">
        <f>(AO18+R18+(LOG(L18)*4/3))*(IF(S18=7, (S18/7)^0.5, ((S18+1)/7)^0.5))</f>
        <v>4.1576092031014991</v>
      </c>
      <c r="AI18" s="97">
        <v>0</v>
      </c>
      <c r="AJ18" s="87">
        <v>4</v>
      </c>
      <c r="AK18" s="97">
        <v>5</v>
      </c>
      <c r="AL18" s="87">
        <v>5</v>
      </c>
      <c r="AM18" s="97">
        <v>4</v>
      </c>
      <c r="AN18" s="87">
        <v>1</v>
      </c>
      <c r="AO18" s="97">
        <v>4</v>
      </c>
      <c r="AP18" s="98">
        <v>402</v>
      </c>
      <c r="AQ18" s="98">
        <v>1445</v>
      </c>
      <c r="AR18" s="114">
        <v>0</v>
      </c>
      <c r="AS18" s="114">
        <v>6</v>
      </c>
      <c r="AT18" s="114">
        <v>9</v>
      </c>
      <c r="AU18" s="114">
        <v>5.5</v>
      </c>
      <c r="AV18" s="114">
        <v>4</v>
      </c>
      <c r="AW18" s="114">
        <v>0</v>
      </c>
      <c r="AX18" s="114">
        <v>2</v>
      </c>
      <c r="AY18" s="130">
        <f t="shared" si="9"/>
        <v>26.5</v>
      </c>
      <c r="AZ18" s="94">
        <v>1230</v>
      </c>
      <c r="BA18" s="91" t="s">
        <v>140</v>
      </c>
    </row>
    <row r="19" spans="1:53" x14ac:dyDescent="0.25">
      <c r="A19" s="80" t="s">
        <v>127</v>
      </c>
      <c r="B19" s="80" t="s">
        <v>120</v>
      </c>
      <c r="C19" s="81">
        <f t="shared" ca="1" si="3"/>
        <v>13.366071428571429</v>
      </c>
      <c r="D19" s="128" t="s">
        <v>156</v>
      </c>
      <c r="E19" s="82">
        <v>22</v>
      </c>
      <c r="F19" s="106">
        <f ca="1">$D$1-43566</f>
        <v>71</v>
      </c>
      <c r="G19" s="84"/>
      <c r="H19" s="90">
        <v>4</v>
      </c>
      <c r="I19" s="90">
        <v>0</v>
      </c>
      <c r="J19" s="101">
        <f t="shared" si="4"/>
        <v>0.20669999999999999</v>
      </c>
      <c r="K19" s="102">
        <v>1</v>
      </c>
      <c r="L19" s="86">
        <v>2</v>
      </c>
      <c r="M19" s="87">
        <f t="shared" si="5"/>
        <v>0.63616167295954995</v>
      </c>
      <c r="N19" s="88">
        <f t="shared" si="0"/>
        <v>2</v>
      </c>
      <c r="O19" s="88">
        <f t="shared" si="1"/>
        <v>8</v>
      </c>
      <c r="P19" s="89">
        <v>4</v>
      </c>
      <c r="Q19" s="90">
        <f t="shared" si="6"/>
        <v>59</v>
      </c>
      <c r="R19" s="92">
        <v>1.5</v>
      </c>
      <c r="S19" s="90">
        <v>4</v>
      </c>
      <c r="T19" s="93">
        <f t="shared" si="7"/>
        <v>0.7559289460184544</v>
      </c>
      <c r="U19" s="93">
        <f t="shared" si="8"/>
        <v>0.84430867747355465</v>
      </c>
      <c r="V19" s="94">
        <v>2310</v>
      </c>
      <c r="W19" s="95">
        <f>V19-AZ19</f>
        <v>0</v>
      </c>
      <c r="X19" s="94">
        <v>370</v>
      </c>
      <c r="Y19" s="96">
        <f t="shared" si="2"/>
        <v>6.243243243243243</v>
      </c>
      <c r="Z19" s="99">
        <f>(AK19+R19+M19)*(S19/7)^0.5</f>
        <v>5.3944311720576028</v>
      </c>
      <c r="AA19" s="99">
        <f>(AK19+R19+M19)*(IF(S19=7, (S19/7)^0.5, ((S19+1)/7)^0.5))</f>
        <v>6.0311574003323321</v>
      </c>
      <c r="AB19" s="96">
        <f>(((AJ19+R19+M19)+(AM19+R19+M19)*2)/8)*(S19/7)^0.5</f>
        <v>1.8339294530169876</v>
      </c>
      <c r="AC19" s="96">
        <f>(1.66*(AN19+M19+R19)+0.55*(AO19+M19+R19)-7.6)*(S19/7)^0.5</f>
        <v>1.996345829024996</v>
      </c>
      <c r="AD19" s="96">
        <f>((AO19+M19+R19)*0.7+(AN19+M19+R19)*0.3)*(S19/7)^0.5</f>
        <v>4.184944858428076</v>
      </c>
      <c r="AE19" s="96">
        <f>(0.5*(AN19+R19+M19)+ 0.3*(AO19+R19+M19))/10</f>
        <v>0.39089293383676399</v>
      </c>
      <c r="AF19" s="96">
        <f>(0.4*(AJ19+R19+M19)+0.3*(AO19+R19+M19))/10</f>
        <v>0.38953131710716848</v>
      </c>
      <c r="AG19" s="100">
        <f>(AO19+R19+(LOG(L19)*4/3))*(S19/7)^0.5</f>
        <v>4.4610189195577838</v>
      </c>
      <c r="AH19" s="100">
        <f>(AO19+R19+(LOG(L19)*4/3))*(IF(S19=7, (S19/7)^0.5, ((S19+1)/7)^0.5))</f>
        <v>4.9875707765219355</v>
      </c>
      <c r="AI19" s="97">
        <v>0</v>
      </c>
      <c r="AJ19" s="87">
        <v>3</v>
      </c>
      <c r="AK19" s="97">
        <v>5</v>
      </c>
      <c r="AL19" s="87">
        <v>6</v>
      </c>
      <c r="AM19" s="97">
        <v>5</v>
      </c>
      <c r="AN19" s="87">
        <v>2</v>
      </c>
      <c r="AO19" s="97">
        <v>4</v>
      </c>
      <c r="AP19" s="98">
        <v>441</v>
      </c>
      <c r="AQ19" s="98">
        <v>1204</v>
      </c>
      <c r="AR19" s="114">
        <v>0</v>
      </c>
      <c r="AS19" s="114">
        <v>3</v>
      </c>
      <c r="AT19" s="114">
        <v>9</v>
      </c>
      <c r="AU19" s="114">
        <v>8.5</v>
      </c>
      <c r="AV19" s="114">
        <v>7</v>
      </c>
      <c r="AW19" s="114">
        <v>0</v>
      </c>
      <c r="AX19" s="114">
        <v>2</v>
      </c>
      <c r="AY19" s="130">
        <f t="shared" si="9"/>
        <v>29.5</v>
      </c>
      <c r="AZ19" s="94">
        <v>2310</v>
      </c>
      <c r="BA19" s="91" t="s">
        <v>140</v>
      </c>
    </row>
    <row r="20" spans="1:53" x14ac:dyDescent="0.25">
      <c r="A20" s="80" t="s">
        <v>118</v>
      </c>
      <c r="B20" s="80" t="s">
        <v>123</v>
      </c>
      <c r="C20" s="81">
        <f t="shared" ca="1" si="3"/>
        <v>17.955357142857142</v>
      </c>
      <c r="D20" s="128" t="s">
        <v>157</v>
      </c>
      <c r="E20" s="82">
        <v>18</v>
      </c>
      <c r="F20" s="106">
        <f ca="1">$D$1-43632</f>
        <v>5</v>
      </c>
      <c r="G20" s="84"/>
      <c r="H20" s="90">
        <v>2</v>
      </c>
      <c r="I20" s="90">
        <v>1</v>
      </c>
      <c r="J20" s="101">
        <f t="shared" si="4"/>
        <v>6.1499999999999999E-2</v>
      </c>
      <c r="K20" s="102">
        <v>2</v>
      </c>
      <c r="L20" s="86">
        <v>1</v>
      </c>
      <c r="M20" s="87">
        <f t="shared" si="5"/>
        <v>0.40137332755197491</v>
      </c>
      <c r="N20" s="88">
        <f t="shared" si="0"/>
        <v>4</v>
      </c>
      <c r="O20" s="88">
        <f t="shared" si="1"/>
        <v>9</v>
      </c>
      <c r="P20" s="89">
        <v>4</v>
      </c>
      <c r="Q20" s="90">
        <f t="shared" si="6"/>
        <v>59</v>
      </c>
      <c r="R20" s="92">
        <v>1.5</v>
      </c>
      <c r="S20" s="90">
        <v>4</v>
      </c>
      <c r="T20" s="93">
        <f t="shared" si="7"/>
        <v>0.7559289460184544</v>
      </c>
      <c r="U20" s="93">
        <f t="shared" si="8"/>
        <v>0.84430867747355465</v>
      </c>
      <c r="V20" s="94">
        <v>1260</v>
      </c>
      <c r="W20" s="95">
        <f>V20-AZ20</f>
        <v>0</v>
      </c>
      <c r="X20" s="94">
        <v>410</v>
      </c>
      <c r="Y20" s="96">
        <f t="shared" si="2"/>
        <v>3.0731707317073171</v>
      </c>
      <c r="Z20" s="99">
        <f>(AK20+R20+M20)*(S20/7)^0.5</f>
        <v>3.7050899735393292</v>
      </c>
      <c r="AA20" s="99">
        <f>(AK20+R20+M20)*(IF(S20=7, (S20/7)^0.5, ((S20+1)/7)^0.5))</f>
        <v>4.142416521793419</v>
      </c>
      <c r="AB20" s="96">
        <f>(((AJ20+R20+M20)+(AM20+R20+M20)*2)/8)*(S20/7)^0.5</f>
        <v>1.2004265035726349</v>
      </c>
      <c r="AC20" s="96">
        <f>(1.66*(AN20+M20+R20)+0.55*(AO20+M20+R20)-7.6)*(S20/7)^0.5</f>
        <v>7.0392368435738684</v>
      </c>
      <c r="AD20" s="96">
        <f>((AO20+M20+R20)*0.7+(AN20+M20+R20)*0.3)*(S20/7)^0.5</f>
        <v>5.4437265493817746</v>
      </c>
      <c r="AE20" s="96">
        <f>(0.5*(AN20+R20+M20)+ 0.3*(AO20+R20+M20))/10</f>
        <v>0.60210986620415796</v>
      </c>
      <c r="AF20" s="96">
        <f>(0.4*(AJ20+R20+M20)+0.3*(AO20+R20+M20))/10</f>
        <v>0.32309613292863826</v>
      </c>
      <c r="AG20" s="100">
        <f>(AO20+R20+(LOG(L20)*4/3))*(S20/7)^0.5</f>
        <v>4.9135381491199537</v>
      </c>
      <c r="AH20" s="100">
        <f>(AO20+R20+(LOG(L20)*4/3))*(IF(S20=7, (S20/7)^0.5, ((S20+1)/7)^0.5))</f>
        <v>5.4935026557353579</v>
      </c>
      <c r="AI20" s="97">
        <v>0</v>
      </c>
      <c r="AJ20" s="87">
        <v>1</v>
      </c>
      <c r="AK20" s="97">
        <v>3</v>
      </c>
      <c r="AL20" s="87">
        <v>5</v>
      </c>
      <c r="AM20" s="97">
        <v>3</v>
      </c>
      <c r="AN20" s="87">
        <v>6</v>
      </c>
      <c r="AO20" s="97">
        <v>5</v>
      </c>
      <c r="AP20" s="98">
        <v>386</v>
      </c>
      <c r="AQ20" s="98">
        <v>1860</v>
      </c>
      <c r="AR20" s="114">
        <v>0</v>
      </c>
      <c r="AS20" s="114">
        <v>0</v>
      </c>
      <c r="AT20" s="114">
        <v>3</v>
      </c>
      <c r="AU20" s="114">
        <v>5.5</v>
      </c>
      <c r="AV20" s="114">
        <v>2</v>
      </c>
      <c r="AW20" s="114">
        <v>12</v>
      </c>
      <c r="AX20" s="114">
        <v>3</v>
      </c>
      <c r="AY20" s="130">
        <f t="shared" si="9"/>
        <v>25.5</v>
      </c>
      <c r="AZ20" s="94">
        <v>1260</v>
      </c>
      <c r="BA20" s="91" t="s">
        <v>140</v>
      </c>
    </row>
    <row r="21" spans="1:53" x14ac:dyDescent="0.25">
      <c r="A21" s="80" t="s">
        <v>111</v>
      </c>
      <c r="B21" s="80" t="s">
        <v>123</v>
      </c>
      <c r="C21" s="81">
        <f t="shared" ca="1" si="3"/>
        <v>3</v>
      </c>
      <c r="D21" s="128" t="s">
        <v>158</v>
      </c>
      <c r="E21" s="82">
        <v>33</v>
      </c>
      <c r="F21" s="106">
        <f ca="1">$D$1-43637</f>
        <v>0</v>
      </c>
      <c r="G21" s="84"/>
      <c r="H21" s="90">
        <v>0</v>
      </c>
      <c r="I21" s="90">
        <v>4</v>
      </c>
      <c r="J21" s="101">
        <f t="shared" si="4"/>
        <v>2.63E-2</v>
      </c>
      <c r="K21" s="102">
        <v>2</v>
      </c>
      <c r="L21" s="86">
        <v>5</v>
      </c>
      <c r="M21" s="87">
        <f t="shared" si="5"/>
        <v>1.0375350005115249</v>
      </c>
      <c r="N21" s="88">
        <f t="shared" si="0"/>
        <v>20</v>
      </c>
      <c r="O21" s="88">
        <f t="shared" si="1"/>
        <v>45</v>
      </c>
      <c r="P21" s="89">
        <v>5</v>
      </c>
      <c r="Q21" s="90">
        <f t="shared" si="6"/>
        <v>69</v>
      </c>
      <c r="R21" s="92">
        <v>1.5</v>
      </c>
      <c r="S21" s="90">
        <v>5</v>
      </c>
      <c r="T21" s="93">
        <f t="shared" si="7"/>
        <v>0.84515425472851657</v>
      </c>
      <c r="U21" s="93">
        <f t="shared" si="8"/>
        <v>0.92504826128926143</v>
      </c>
      <c r="V21" s="94">
        <v>220</v>
      </c>
      <c r="W21" s="95">
        <f>V21-AZ21</f>
        <v>0</v>
      </c>
      <c r="X21" s="94">
        <v>310</v>
      </c>
      <c r="Y21" s="96">
        <f t="shared" si="2"/>
        <v>0.70967741935483875</v>
      </c>
      <c r="Z21" s="99">
        <f>(AK21+R21+M21)*(S21/7)^0.5</f>
        <v>4.6800712663903941</v>
      </c>
      <c r="AA21" s="99">
        <f>(AK21+R21+M21)*(IF(S21=7, (S21/7)^0.5, ((S21+1)/7)^0.5))</f>
        <v>5.1267612066675756</v>
      </c>
      <c r="AB21" s="96">
        <f>(((AJ21+R21+M21)+(AM21+R21+M21)*2)/8)*(S21/7)^0.5</f>
        <v>1.649382443055333</v>
      </c>
      <c r="AC21" s="96">
        <f>(1.66*(AN21+M21+R21)+0.55*(AO21+M21+R21)-7.6)*(S21/7)^0.5</f>
        <v>8.1286533513340569</v>
      </c>
      <c r="AD21" s="96">
        <f>((AO21+M21+R21)*0.7+(AN21+M21+R21)*0.3)*(S21/7)^0.5</f>
        <v>5.4407100956460592</v>
      </c>
      <c r="AE21" s="96">
        <f>(0.5*(AN21+R21+M21)+ 0.3*(AO21+R21+M21))/10</f>
        <v>0.59300280004092198</v>
      </c>
      <c r="AF21" s="96">
        <f>(0.4*(AJ21+R21+M21)+0.3*(AO21+R21+M21))/10</f>
        <v>0.34762745003580681</v>
      </c>
      <c r="AG21" s="100">
        <f>(AO21+R21+(LOG(L21)*4/3))*(S21/7)^0.5</f>
        <v>4.5908441104012523</v>
      </c>
      <c r="AH21" s="100">
        <f>(AO21+R21+(LOG(L21)*4/3))*(IF(S21=7, (S21/7)^0.5, ((S21+1)/7)^0.5))</f>
        <v>5.0290177545130064</v>
      </c>
      <c r="AI21" s="97">
        <v>0</v>
      </c>
      <c r="AJ21" s="87">
        <v>2</v>
      </c>
      <c r="AK21" s="97">
        <v>3</v>
      </c>
      <c r="AL21" s="87">
        <v>2</v>
      </c>
      <c r="AM21" s="97">
        <v>3</v>
      </c>
      <c r="AN21" s="87">
        <v>6</v>
      </c>
      <c r="AO21" s="97">
        <v>3</v>
      </c>
      <c r="AP21" s="98">
        <v>339</v>
      </c>
      <c r="AQ21" s="98">
        <v>-275</v>
      </c>
      <c r="AR21" s="114">
        <v>0</v>
      </c>
      <c r="AS21" s="114">
        <v>0</v>
      </c>
      <c r="AT21" s="114">
        <v>3</v>
      </c>
      <c r="AU21" s="114">
        <v>0</v>
      </c>
      <c r="AV21" s="114">
        <v>2</v>
      </c>
      <c r="AW21" s="114">
        <v>12</v>
      </c>
      <c r="AX21" s="114">
        <v>1</v>
      </c>
      <c r="AY21" s="130">
        <f t="shared" si="9"/>
        <v>18</v>
      </c>
      <c r="AZ21" s="94">
        <v>220</v>
      </c>
      <c r="BA21" s="91" t="s">
        <v>140</v>
      </c>
    </row>
    <row r="22" spans="1:53" x14ac:dyDescent="0.25">
      <c r="A22" s="80" t="s">
        <v>117</v>
      </c>
      <c r="B22" s="80" t="s">
        <v>123</v>
      </c>
      <c r="C22" s="81">
        <f t="shared" ca="1" si="3"/>
        <v>10.053571428571429</v>
      </c>
      <c r="D22" s="128" t="s">
        <v>159</v>
      </c>
      <c r="E22" s="82">
        <v>25</v>
      </c>
      <c r="F22" s="106">
        <f ca="1">$D$1-43531</f>
        <v>106</v>
      </c>
      <c r="G22" s="84"/>
      <c r="H22" s="90">
        <v>3</v>
      </c>
      <c r="I22" s="90">
        <v>3</v>
      </c>
      <c r="J22" s="101">
        <f t="shared" si="4"/>
        <v>0.1158</v>
      </c>
      <c r="K22" s="102">
        <v>4</v>
      </c>
      <c r="L22" s="86">
        <v>3</v>
      </c>
      <c r="M22" s="87">
        <f t="shared" si="5"/>
        <v>0.80274665510394982</v>
      </c>
      <c r="N22" s="88">
        <f t="shared" si="0"/>
        <v>48</v>
      </c>
      <c r="O22" s="88">
        <f t="shared" si="1"/>
        <v>75</v>
      </c>
      <c r="P22" s="89">
        <v>5</v>
      </c>
      <c r="Q22" s="90">
        <f t="shared" si="6"/>
        <v>69</v>
      </c>
      <c r="R22" s="92">
        <v>1.5</v>
      </c>
      <c r="S22" s="90">
        <v>3</v>
      </c>
      <c r="T22" s="93">
        <f t="shared" si="7"/>
        <v>0.65465367070797709</v>
      </c>
      <c r="U22" s="93">
        <f t="shared" si="8"/>
        <v>0.75498344352707503</v>
      </c>
      <c r="V22" s="94">
        <v>800</v>
      </c>
      <c r="W22" s="95">
        <f>V22-AZ22</f>
        <v>0</v>
      </c>
      <c r="X22" s="94">
        <v>310</v>
      </c>
      <c r="Y22" s="96">
        <f t="shared" si="2"/>
        <v>2.5806451612903225</v>
      </c>
      <c r="Z22" s="99">
        <f>(AK22+R22+M22)*(S22/7)^0.5</f>
        <v>3.4714625625982483</v>
      </c>
      <c r="AA22" s="99">
        <f>(AK22+R22+M22)*(IF(S22=7, (S22/7)^0.5, ((S22+1)/7)^0.5))</f>
        <v>4.0084996899956131</v>
      </c>
      <c r="AB22" s="96">
        <f>(((AJ22+R22+M22)+(AM22+R22+M22)*2)/8)*(S22/7)^0.5</f>
        <v>1.5472935874898346</v>
      </c>
      <c r="AC22" s="96">
        <f>(1.66*(AN22+M22+R22)+0.55*(AO22+M22+R22)-7.6)*(S22/7)^0.5</f>
        <v>4.5099550338225987</v>
      </c>
      <c r="AD22" s="96">
        <f>((AO22+M22+R22)*0.7+(AN22+M22+R22)*0.3)*(S22/7)^0.5</f>
        <v>3.4059971955274499</v>
      </c>
      <c r="AE22" s="96">
        <f>(0.5*(AN22+R22+M22)+ 0.3*(AO22+R22+M22))/10</f>
        <v>0.49421973240831596</v>
      </c>
      <c r="AF22" s="96">
        <f>(0.4*(AJ22+R22+M22)+0.3*(AO22+R22+M22))/10</f>
        <v>0.30119226585727649</v>
      </c>
      <c r="AG22" s="100">
        <f>(AO22+R22+(LOG(L22)*4/3))*(S22/7)^0.5</f>
        <v>2.7077534218446169</v>
      </c>
      <c r="AH22" s="100">
        <f>(AO22+R22+(LOG(L22)*4/3))*(IF(S22=7, (S22/7)^0.5, ((S22+1)/7)^0.5))</f>
        <v>3.1266443340022394</v>
      </c>
      <c r="AI22" s="97">
        <v>0</v>
      </c>
      <c r="AJ22" s="87">
        <v>2</v>
      </c>
      <c r="AK22" s="97">
        <v>3</v>
      </c>
      <c r="AL22" s="87">
        <v>2</v>
      </c>
      <c r="AM22" s="97">
        <v>5</v>
      </c>
      <c r="AN22" s="87">
        <v>5</v>
      </c>
      <c r="AO22" s="97">
        <v>2</v>
      </c>
      <c r="AP22" s="98">
        <v>351</v>
      </c>
      <c r="AQ22" s="98">
        <v>633</v>
      </c>
      <c r="AR22" s="114">
        <v>0</v>
      </c>
      <c r="AS22" s="114">
        <v>0</v>
      </c>
      <c r="AT22" s="114">
        <v>3</v>
      </c>
      <c r="AU22" s="114">
        <v>0</v>
      </c>
      <c r="AV22" s="114">
        <v>7</v>
      </c>
      <c r="AW22" s="114">
        <v>8</v>
      </c>
      <c r="AX22" s="114">
        <v>0</v>
      </c>
      <c r="AY22" s="130">
        <f t="shared" si="9"/>
        <v>18</v>
      </c>
      <c r="AZ22" s="94">
        <v>800</v>
      </c>
      <c r="BA22" s="91" t="s">
        <v>140</v>
      </c>
    </row>
    <row r="23" spans="1:53" x14ac:dyDescent="0.25">
      <c r="C23" s="115"/>
      <c r="D23" s="7"/>
      <c r="G23" s="116"/>
      <c r="L23" s="117"/>
      <c r="M23" s="117"/>
      <c r="P23" s="117"/>
      <c r="Q23" s="117"/>
      <c r="R23" s="117"/>
      <c r="S23" s="117"/>
      <c r="T23" s="117"/>
      <c r="U23" s="117"/>
      <c r="V23" s="118">
        <f>SUM(V5:V22)</f>
        <v>18390</v>
      </c>
      <c r="W23" s="118">
        <f>SUM(W5:W22)</f>
        <v>0</v>
      </c>
      <c r="X23" s="118">
        <f>SUM(X5:X22)</f>
        <v>7420</v>
      </c>
      <c r="Y23" s="119">
        <f t="shared" si="2"/>
        <v>2.4784366576819408</v>
      </c>
      <c r="AB23" s="118"/>
      <c r="AC23" s="118"/>
      <c r="AD23" s="118"/>
      <c r="AE23" s="118"/>
      <c r="AF23" s="118"/>
      <c r="AG23" s="118"/>
      <c r="AH23" s="118"/>
      <c r="AO23" s="117"/>
      <c r="AP23" s="118"/>
      <c r="AQ23" s="118"/>
      <c r="BA23" s="117"/>
    </row>
    <row r="24" spans="1:53" x14ac:dyDescent="0.25">
      <c r="C24" s="115"/>
      <c r="D24" s="7"/>
      <c r="G24" s="117"/>
      <c r="K24" s="116"/>
      <c r="N24" s="117"/>
      <c r="P24" s="117"/>
      <c r="Q24" s="117"/>
      <c r="R24" s="117"/>
      <c r="S24" s="117"/>
      <c r="T24" s="117"/>
      <c r="U24" s="117"/>
      <c r="V24" s="120"/>
      <c r="W24" s="120"/>
      <c r="X24" s="120"/>
      <c r="Y24" s="72"/>
      <c r="AB24" s="72"/>
      <c r="AC24" s="72"/>
      <c r="AD24" s="72"/>
      <c r="AE24" s="72"/>
      <c r="AF24" s="72"/>
      <c r="AG24" s="72"/>
      <c r="AH24" s="72"/>
      <c r="AI24" s="121"/>
      <c r="AP24" s="72"/>
      <c r="AQ24" s="72"/>
      <c r="BA24" s="117"/>
    </row>
    <row r="25" spans="1:53" x14ac:dyDescent="0.25">
      <c r="C25" s="115"/>
      <c r="D25" s="7"/>
      <c r="G25" s="117"/>
      <c r="K25" s="116"/>
      <c r="L25" s="122"/>
      <c r="N25" s="117"/>
      <c r="P25" s="117"/>
      <c r="Q25" s="117"/>
      <c r="R25" s="117"/>
      <c r="S25" s="117"/>
      <c r="T25" s="117"/>
      <c r="U25" s="117"/>
      <c r="X25" s="121"/>
      <c r="Y25" s="121"/>
      <c r="AB25" s="121"/>
      <c r="AC25" s="121"/>
      <c r="AE25" s="121"/>
      <c r="AF25" s="121"/>
      <c r="AG25" s="121"/>
      <c r="AH25" s="121"/>
      <c r="AI25" s="121"/>
      <c r="AJ25" s="25"/>
      <c r="AP25" s="121"/>
      <c r="AQ25" s="121"/>
      <c r="BA25" s="117"/>
    </row>
    <row r="26" spans="1:53" x14ac:dyDescent="0.25">
      <c r="C26" s="115"/>
      <c r="D26" s="123"/>
      <c r="G26" s="117"/>
      <c r="K26" s="116"/>
      <c r="L26" s="122"/>
      <c r="N26" s="117"/>
      <c r="P26" s="117"/>
      <c r="Q26" s="117"/>
      <c r="R26" s="124"/>
      <c r="S26" s="117"/>
      <c r="T26" s="117"/>
      <c r="U26" s="117"/>
      <c r="X26" s="121"/>
      <c r="Y26" s="121"/>
      <c r="AB26" s="121"/>
      <c r="AC26" s="121"/>
      <c r="AE26" s="121"/>
      <c r="AF26" s="121"/>
      <c r="AG26" s="121"/>
      <c r="AH26" s="121"/>
      <c r="AI26" s="121"/>
      <c r="AJ26" s="25"/>
      <c r="AP26" s="125"/>
      <c r="AQ26" s="125"/>
      <c r="BA26" s="117"/>
    </row>
    <row r="27" spans="1:53" x14ac:dyDescent="0.25">
      <c r="C27" s="115"/>
      <c r="D27" s="123"/>
      <c r="G27" s="117"/>
      <c r="K27" s="116"/>
      <c r="L27" s="122"/>
      <c r="N27" s="117"/>
      <c r="P27" s="117"/>
      <c r="Q27" s="117"/>
      <c r="R27" s="124"/>
      <c r="S27" s="117"/>
      <c r="T27" s="117"/>
      <c r="U27" s="117"/>
      <c r="X27" s="126"/>
      <c r="Y27" s="121"/>
      <c r="AB27" s="121"/>
      <c r="AC27" s="121"/>
      <c r="AE27" s="121"/>
      <c r="AF27" s="121"/>
      <c r="AG27" s="121"/>
      <c r="AH27" s="121"/>
      <c r="AI27" s="121"/>
      <c r="AJ27" s="25"/>
      <c r="AP27" s="121"/>
      <c r="AQ27" s="121"/>
      <c r="BA27" s="117"/>
    </row>
    <row r="28" spans="1:53" x14ac:dyDescent="0.25">
      <c r="C28" s="115"/>
      <c r="D28" s="117"/>
      <c r="G28" s="117"/>
      <c r="K28" s="116"/>
      <c r="L28" s="122"/>
      <c r="N28" s="117"/>
      <c r="P28" s="117"/>
      <c r="Q28" s="117"/>
      <c r="R28" s="117"/>
      <c r="S28" s="117"/>
      <c r="T28" s="117"/>
      <c r="U28" s="117"/>
      <c r="X28" s="126"/>
      <c r="Y28" s="121"/>
      <c r="AB28" s="121"/>
      <c r="AC28" s="121"/>
      <c r="AE28" s="121"/>
      <c r="AF28" s="121"/>
      <c r="AG28" s="121"/>
      <c r="AH28" s="121"/>
      <c r="AI28" s="121"/>
      <c r="AJ28" s="25"/>
      <c r="AP28" s="121"/>
      <c r="AQ28" s="121"/>
      <c r="BA28" s="117"/>
    </row>
    <row r="29" spans="1:53" x14ac:dyDescent="0.25">
      <c r="C29" s="115"/>
      <c r="D29" s="7"/>
      <c r="G29" s="117"/>
      <c r="K29" s="116"/>
      <c r="L29" s="122"/>
      <c r="N29" s="117"/>
      <c r="P29" s="117"/>
      <c r="Q29" s="117"/>
      <c r="R29" s="117"/>
      <c r="S29" s="117"/>
      <c r="T29" s="117"/>
      <c r="U29" s="117"/>
      <c r="X29" s="121"/>
      <c r="Y29" s="121"/>
      <c r="AB29" s="121"/>
      <c r="AC29" s="121"/>
      <c r="AE29" s="121"/>
      <c r="AF29" s="121"/>
      <c r="AG29" s="121"/>
      <c r="AH29" s="121"/>
      <c r="AI29" s="121"/>
      <c r="AJ29" s="25"/>
      <c r="AP29" s="121"/>
      <c r="AQ29" s="121"/>
      <c r="BA29" s="117"/>
    </row>
    <row r="30" spans="1:53" x14ac:dyDescent="0.25">
      <c r="C30" s="115"/>
      <c r="D30" s="7"/>
      <c r="G30" s="117"/>
      <c r="K30" s="116"/>
      <c r="L30" s="122"/>
      <c r="N30" s="117"/>
      <c r="P30" s="117"/>
      <c r="Q30" s="117"/>
      <c r="R30" s="117"/>
      <c r="S30" s="117"/>
      <c r="T30" s="117"/>
      <c r="U30" s="117"/>
      <c r="X30" s="126"/>
      <c r="Y30" s="121"/>
      <c r="AB30" s="121"/>
      <c r="AC30" s="121"/>
      <c r="AE30" s="121"/>
      <c r="AF30" s="121"/>
      <c r="AG30" s="121"/>
      <c r="AH30" s="121"/>
      <c r="AI30" s="121"/>
      <c r="AJ30" s="25"/>
      <c r="AP30" s="121"/>
      <c r="AQ30" s="121"/>
      <c r="BA30" s="117"/>
    </row>
    <row r="31" spans="1:53" x14ac:dyDescent="0.25">
      <c r="C31" s="115"/>
      <c r="D31" s="7"/>
      <c r="G31" s="117"/>
      <c r="K31" s="116"/>
      <c r="L31" s="122"/>
      <c r="N31" s="117"/>
      <c r="P31" s="117"/>
      <c r="Q31" s="117"/>
      <c r="R31" s="117"/>
      <c r="S31" s="117"/>
      <c r="T31" s="117"/>
      <c r="U31" s="117"/>
      <c r="X31" s="121"/>
      <c r="Y31" s="121"/>
      <c r="AB31" s="121"/>
      <c r="AC31" s="121"/>
      <c r="AE31" s="121"/>
      <c r="AF31" s="121"/>
      <c r="AG31" s="121"/>
      <c r="AH31" s="121"/>
      <c r="AI31" s="121"/>
      <c r="AJ31" s="25"/>
      <c r="AP31" s="121"/>
      <c r="AQ31" s="121"/>
      <c r="BA31" s="117"/>
    </row>
  </sheetData>
  <mergeCells count="1">
    <mergeCell ref="E1:G1"/>
  </mergeCells>
  <conditionalFormatting sqref="Q6:Q22 Q4">
    <cfRule type="cellIs" dxfId="19" priority="14" operator="greaterThan">
      <formula>82</formula>
    </cfRule>
    <cfRule type="cellIs" dxfId="18" priority="15" operator="lessThan">
      <formula>79</formula>
    </cfRule>
  </conditionalFormatting>
  <conditionalFormatting sqref="S6:S22 S4">
    <cfRule type="cellIs" dxfId="17" priority="12" operator="greaterThan">
      <formula>6</formula>
    </cfRule>
    <cfRule type="cellIs" dxfId="16" priority="13" operator="lessThan">
      <formula>5</formula>
    </cfRule>
  </conditionalFormatting>
  <conditionalFormatting sqref="T6:U22 T4:U4">
    <cfRule type="cellIs" dxfId="15" priority="10" operator="greaterThan">
      <formula>0.95</formula>
    </cfRule>
    <cfRule type="cellIs" dxfId="14" priority="11" operator="lessThan">
      <formula>0.85</formula>
    </cfRule>
  </conditionalFormatting>
  <conditionalFormatting sqref="Q5">
    <cfRule type="cellIs" dxfId="13" priority="8" operator="greaterThan">
      <formula>82</formula>
    </cfRule>
    <cfRule type="cellIs" dxfId="12" priority="9" operator="lessThan">
      <formula>79</formula>
    </cfRule>
  </conditionalFormatting>
  <conditionalFormatting sqref="S5">
    <cfRule type="cellIs" dxfId="11" priority="6" operator="greaterThan">
      <formula>6</formula>
    </cfRule>
    <cfRule type="cellIs" dxfId="10" priority="7" operator="lessThan">
      <formula>5</formula>
    </cfRule>
  </conditionalFormatting>
  <conditionalFormatting sqref="T5:U5">
    <cfRule type="cellIs" dxfId="9" priority="4" operator="greaterThan">
      <formula>0.95</formula>
    </cfRule>
    <cfRule type="cellIs" dxfId="8" priority="5" operator="lessThan">
      <formula>0.85</formula>
    </cfRule>
  </conditionalFormatting>
  <conditionalFormatting sqref="J4:J22">
    <cfRule type="cellIs" dxfId="7" priority="2" operator="lessThan">
      <formula>0.07</formula>
    </cfRule>
    <cfRule type="cellIs" dxfId="6" priority="3" operator="greaterThan">
      <formula>0.1</formula>
    </cfRule>
  </conditionalFormatting>
  <conditionalFormatting sqref="X4:X22">
    <cfRule type="dataBar" priority="3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{3085C450-722D-4569-92E4-FADB83C50731}</x14:id>
        </ext>
      </extLst>
    </cfRule>
  </conditionalFormatting>
  <conditionalFormatting sqref="Y4:Y22"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{003E839F-A729-4D16-BD08-0CCE856D27F4}</x14:id>
        </ext>
      </extLst>
    </cfRule>
  </conditionalFormatting>
  <conditionalFormatting sqref="V4:V22">
    <cfRule type="dataBar" priority="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{D3A80DEA-1C33-44C0-B8AA-6439D7506FBE}</x14:id>
        </ext>
      </extLst>
    </cfRule>
  </conditionalFormatting>
  <conditionalFormatting sqref="AQ4:AQ22">
    <cfRule type="dataBar" priority="4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{59848EF8-4D1B-4EE8-AED5-F7DE2E55BE8C}</x14:id>
        </ext>
      </extLst>
    </cfRule>
  </conditionalFormatting>
  <conditionalFormatting sqref="R4:R22">
    <cfRule type="colorScale" priority="42">
      <colorScale>
        <cfvo type="min"/>
        <cfvo type="max"/>
        <color rgb="FFFFEF9C"/>
        <color rgb="FF63BE7B"/>
      </colorScale>
    </cfRule>
  </conditionalFormatting>
  <conditionalFormatting sqref="C4:C22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4:AA22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4:AB22">
    <cfRule type="colorScale" priority="4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C4:AC22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4:AD22">
    <cfRule type="colorScale" priority="4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E4:AF22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4:AH22">
    <cfRule type="colorScale" priority="4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I4:AO22">
    <cfRule type="cellIs" dxfId="5" priority="50" operator="greaterThan">
      <formula>10</formula>
    </cfRule>
    <cfRule type="colorScale" priority="51">
      <colorScale>
        <cfvo type="min"/>
        <cfvo type="max"/>
        <color rgb="FFFCFCFF"/>
        <color rgb="FF63BE7B"/>
      </colorScale>
    </cfRule>
  </conditionalFormatting>
  <conditionalFormatting sqref="L4:L22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4:AX22">
    <cfRule type="colorScale" priority="53">
      <colorScale>
        <cfvo type="min"/>
        <cfvo type="max"/>
        <color rgb="FFFCFCFF"/>
        <color rgb="FFF8696B"/>
      </colorScale>
    </cfRule>
  </conditionalFormatting>
  <conditionalFormatting sqref="AZ4:AZ22">
    <cfRule type="dataBar" priority="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{CC9F4DF5-208E-4F7A-9C86-7019AFAD4DCD}</x14:id>
        </ext>
      </extLst>
    </cfRule>
  </conditionalFormatting>
  <conditionalFormatting sqref="W4:W22">
    <cfRule type="dataBar" priority="5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{0F748A03-F86E-4839-A11A-5F25C12F325E}</x14:id>
        </ext>
      </extLst>
    </cfRule>
  </conditionalFormatting>
  <conditionalFormatting sqref="AY4:AY22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4:AP22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{2D01F3C5-EE1C-4674-9B72-B9668CEE231D}</x14:id>
        </ext>
      </extLst>
    </cfRule>
  </conditionalFormatting>
  <pageMargins left="0.7" right="0.7" top="0.75" bottom="0.75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085C450-722D-4569-92E4-FADB83C5073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X4:X22</xm:sqref>
        </x14:conditionalFormatting>
        <x14:conditionalFormatting xmlns:xm="http://schemas.microsoft.com/office/excel/2006/main">
          <x14:cfRule type="dataBar" id="{003E839F-A729-4D16-BD08-0CCE856D27F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Y4:Y22</xm:sqref>
        </x14:conditionalFormatting>
        <x14:conditionalFormatting xmlns:xm="http://schemas.microsoft.com/office/excel/2006/main">
          <x14:cfRule type="dataBar" id="{D3A80DEA-1C33-44C0-B8AA-6439D7506FB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V4:V22</xm:sqref>
        </x14:conditionalFormatting>
        <x14:conditionalFormatting xmlns:xm="http://schemas.microsoft.com/office/excel/2006/main">
          <x14:cfRule type="dataBar" id="{59848EF8-4D1B-4EE8-AED5-F7DE2E55BE8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AQ4:AQ22</xm:sqref>
        </x14:conditionalFormatting>
        <x14:conditionalFormatting xmlns:xm="http://schemas.microsoft.com/office/excel/2006/main">
          <x14:cfRule type="dataBar" id="{CC9F4DF5-208E-4F7A-9C86-7019AFAD4DC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AZ4:AZ22</xm:sqref>
        </x14:conditionalFormatting>
        <x14:conditionalFormatting xmlns:xm="http://schemas.microsoft.com/office/excel/2006/main">
          <x14:cfRule type="dataBar" id="{0F748A03-F86E-4839-A11A-5F25C12F325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W4:W22</xm:sqref>
        </x14:conditionalFormatting>
        <x14:conditionalFormatting xmlns:xm="http://schemas.microsoft.com/office/excel/2006/main">
          <x14:cfRule type="dataBar" id="{2D01F3C5-EE1C-4674-9B72-B9668CEE231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AP4:AP22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6CAEC-8440-43DE-AD68-F26A50BF749B}">
  <sheetPr>
    <tabColor rgb="FF7030A0"/>
  </sheetPr>
  <dimension ref="A1:AJ85"/>
  <sheetViews>
    <sheetView workbookViewId="0">
      <selection activeCell="C7" sqref="C7"/>
    </sheetView>
  </sheetViews>
  <sheetFormatPr baseColWidth="10" defaultRowHeight="15" x14ac:dyDescent="0.25"/>
  <cols>
    <col min="1" max="1" width="22.5703125" bestFit="1" customWidth="1"/>
    <col min="2" max="2" width="23.42578125" customWidth="1"/>
    <col min="3" max="3" width="18" bestFit="1" customWidth="1"/>
    <col min="4" max="8" width="14.28515625" bestFit="1" customWidth="1"/>
    <col min="9" max="19" width="16.5703125" bestFit="1" customWidth="1"/>
    <col min="25" max="25" width="15.42578125" bestFit="1" customWidth="1"/>
    <col min="26" max="26" width="9.7109375" bestFit="1" customWidth="1"/>
  </cols>
  <sheetData>
    <row r="1" spans="1:36" ht="23.25" x14ac:dyDescent="0.35">
      <c r="A1" s="131" t="s">
        <v>160</v>
      </c>
      <c r="B1" s="132"/>
      <c r="C1" s="132"/>
      <c r="D1" s="117"/>
      <c r="F1" s="133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</row>
    <row r="2" spans="1:36" x14ac:dyDescent="0.25">
      <c r="A2" s="134"/>
      <c r="B2" s="135"/>
      <c r="C2" s="135"/>
      <c r="D2" s="136">
        <v>43637</v>
      </c>
      <c r="E2" s="136">
        <f t="shared" ref="E2:S2" si="0">D2+7</f>
        <v>43644</v>
      </c>
      <c r="F2" s="136">
        <f t="shared" si="0"/>
        <v>43651</v>
      </c>
      <c r="G2" s="136">
        <f t="shared" si="0"/>
        <v>43658</v>
      </c>
      <c r="H2" s="136">
        <f t="shared" si="0"/>
        <v>43665</v>
      </c>
      <c r="I2" s="136">
        <f t="shared" si="0"/>
        <v>43672</v>
      </c>
      <c r="J2" s="136">
        <f t="shared" si="0"/>
        <v>43679</v>
      </c>
      <c r="K2" s="136">
        <f t="shared" si="0"/>
        <v>43686</v>
      </c>
      <c r="L2" s="136">
        <f t="shared" si="0"/>
        <v>43693</v>
      </c>
      <c r="M2" s="136">
        <f t="shared" si="0"/>
        <v>43700</v>
      </c>
      <c r="N2" s="136">
        <f t="shared" si="0"/>
        <v>43707</v>
      </c>
      <c r="O2" s="136">
        <f t="shared" si="0"/>
        <v>43714</v>
      </c>
      <c r="P2" s="136">
        <f t="shared" si="0"/>
        <v>43721</v>
      </c>
      <c r="Q2" s="136">
        <f t="shared" si="0"/>
        <v>43728</v>
      </c>
      <c r="R2" s="136">
        <f t="shared" si="0"/>
        <v>43735</v>
      </c>
      <c r="S2" s="136">
        <f t="shared" si="0"/>
        <v>43742</v>
      </c>
      <c r="T2" s="137"/>
      <c r="U2" s="134"/>
      <c r="V2" s="134"/>
      <c r="W2" s="134"/>
      <c r="X2" s="134"/>
      <c r="Y2" s="134"/>
      <c r="Z2" s="134"/>
      <c r="AA2" s="134"/>
      <c r="AB2" s="134"/>
      <c r="AC2" s="134"/>
      <c r="AD2" s="134"/>
      <c r="AE2" s="134"/>
      <c r="AF2" s="134"/>
      <c r="AG2" s="134"/>
      <c r="AH2" s="134"/>
      <c r="AI2" s="134"/>
      <c r="AJ2" s="134"/>
    </row>
    <row r="3" spans="1:36" x14ac:dyDescent="0.25">
      <c r="A3" s="138"/>
      <c r="B3" s="138"/>
      <c r="C3" s="138" t="s">
        <v>202</v>
      </c>
      <c r="D3" s="139" t="s">
        <v>40</v>
      </c>
      <c r="E3" s="139" t="s">
        <v>41</v>
      </c>
      <c r="F3" s="139" t="s">
        <v>28</v>
      </c>
      <c r="G3" s="139" t="s">
        <v>29</v>
      </c>
      <c r="H3" s="139" t="s">
        <v>30</v>
      </c>
      <c r="I3" s="139" t="s">
        <v>31</v>
      </c>
      <c r="J3" s="139" t="s">
        <v>32</v>
      </c>
      <c r="K3" s="139" t="s">
        <v>33</v>
      </c>
      <c r="L3" s="139" t="s">
        <v>34</v>
      </c>
      <c r="M3" s="139" t="s">
        <v>35</v>
      </c>
      <c r="N3" s="139" t="s">
        <v>36</v>
      </c>
      <c r="O3" s="139" t="s">
        <v>37</v>
      </c>
      <c r="P3" s="139" t="s">
        <v>38</v>
      </c>
      <c r="Q3" s="139" t="s">
        <v>39</v>
      </c>
      <c r="R3" s="139" t="s">
        <v>40</v>
      </c>
      <c r="S3" s="140" t="s">
        <v>41</v>
      </c>
      <c r="T3" s="46"/>
      <c r="U3" s="46"/>
      <c r="V3" s="46"/>
      <c r="W3" s="46"/>
      <c r="X3" s="46"/>
      <c r="Y3" s="46"/>
      <c r="Z3" s="46"/>
      <c r="AA3" s="46"/>
      <c r="AB3" s="46"/>
      <c r="AC3" s="46"/>
      <c r="AD3" s="46"/>
      <c r="AE3" s="46"/>
      <c r="AF3" s="46"/>
      <c r="AG3" s="46"/>
      <c r="AH3" s="46"/>
      <c r="AI3" s="46"/>
      <c r="AJ3" s="46"/>
    </row>
    <row r="4" spans="1:36" x14ac:dyDescent="0.25">
      <c r="A4" s="141"/>
      <c r="B4" s="142"/>
      <c r="C4" s="142" t="s">
        <v>161</v>
      </c>
      <c r="D4" s="143">
        <v>100</v>
      </c>
      <c r="E4" s="143">
        <f t="shared" ref="E4:S4" si="1">D4+(D11/30)</f>
        <v>110</v>
      </c>
      <c r="F4" s="143">
        <f t="shared" si="1"/>
        <v>120</v>
      </c>
      <c r="G4" s="143">
        <f t="shared" si="1"/>
        <v>130</v>
      </c>
      <c r="H4" s="143">
        <f t="shared" si="1"/>
        <v>140</v>
      </c>
      <c r="I4" s="143">
        <f t="shared" si="1"/>
        <v>150</v>
      </c>
      <c r="J4" s="143">
        <f t="shared" si="1"/>
        <v>160</v>
      </c>
      <c r="K4" s="143">
        <f t="shared" si="1"/>
        <v>170</v>
      </c>
      <c r="L4" s="143">
        <f t="shared" si="1"/>
        <v>180</v>
      </c>
      <c r="M4" s="143">
        <f t="shared" si="1"/>
        <v>190</v>
      </c>
      <c r="N4" s="143">
        <f t="shared" si="1"/>
        <v>200</v>
      </c>
      <c r="O4" s="143">
        <f t="shared" si="1"/>
        <v>210</v>
      </c>
      <c r="P4" s="143">
        <f t="shared" si="1"/>
        <v>220</v>
      </c>
      <c r="Q4" s="143">
        <f t="shared" si="1"/>
        <v>230</v>
      </c>
      <c r="R4" s="143">
        <f t="shared" si="1"/>
        <v>240</v>
      </c>
      <c r="S4" s="144">
        <f t="shared" si="1"/>
        <v>250</v>
      </c>
      <c r="T4" s="145"/>
      <c r="U4" s="145"/>
      <c r="V4" s="145"/>
      <c r="W4" s="145"/>
      <c r="X4" s="145"/>
      <c r="Y4" s="145"/>
      <c r="Z4" s="145"/>
      <c r="AA4" s="145"/>
      <c r="AB4" s="145"/>
      <c r="AC4" s="145"/>
      <c r="AD4" s="145"/>
      <c r="AE4" s="145"/>
      <c r="AF4" s="145"/>
      <c r="AG4" s="145"/>
      <c r="AH4" s="145"/>
      <c r="AI4" s="145"/>
      <c r="AJ4" s="145"/>
    </row>
    <row r="5" spans="1:36" ht="18.75" x14ac:dyDescent="0.3">
      <c r="A5" s="146" t="s">
        <v>162</v>
      </c>
      <c r="B5" s="146"/>
      <c r="C5" s="147">
        <v>300000</v>
      </c>
      <c r="D5" s="148">
        <f>C5</f>
        <v>300000</v>
      </c>
      <c r="E5" s="148">
        <f t="shared" ref="E5:Q5" si="2">D24</f>
        <v>163270</v>
      </c>
      <c r="F5" s="148">
        <f t="shared" si="2"/>
        <v>113840</v>
      </c>
      <c r="G5" s="148">
        <f t="shared" si="2"/>
        <v>160910</v>
      </c>
      <c r="H5" s="148">
        <f t="shared" si="2"/>
        <v>111480</v>
      </c>
      <c r="I5" s="148">
        <f t="shared" si="2"/>
        <v>122342</v>
      </c>
      <c r="J5" s="148">
        <f t="shared" si="2"/>
        <v>36704</v>
      </c>
      <c r="K5" s="148">
        <f t="shared" si="2"/>
        <v>47566</v>
      </c>
      <c r="L5" s="148">
        <f t="shared" si="2"/>
        <v>-38072</v>
      </c>
      <c r="M5" s="148">
        <f t="shared" si="2"/>
        <v>-27210</v>
      </c>
      <c r="N5" s="148">
        <f t="shared" si="2"/>
        <v>-112848</v>
      </c>
      <c r="O5" s="148">
        <f t="shared" si="2"/>
        <v>-101986</v>
      </c>
      <c r="P5" s="148">
        <f t="shared" si="2"/>
        <v>-187624</v>
      </c>
      <c r="Q5" s="148">
        <f t="shared" si="2"/>
        <v>-176762</v>
      </c>
      <c r="R5" s="148">
        <f>Q24</f>
        <v>-262400</v>
      </c>
      <c r="S5" s="149">
        <f>R24</f>
        <v>-348038</v>
      </c>
      <c r="T5" s="150"/>
      <c r="U5" s="150"/>
      <c r="V5" s="150"/>
      <c r="W5" s="150"/>
      <c r="X5" s="150"/>
      <c r="Y5" s="150"/>
      <c r="Z5" s="150"/>
      <c r="AA5" s="150"/>
      <c r="AB5" s="150"/>
      <c r="AC5" s="150"/>
      <c r="AD5" s="150"/>
      <c r="AE5" s="150"/>
      <c r="AF5" s="150"/>
      <c r="AG5" s="150"/>
      <c r="AH5" s="150"/>
      <c r="AI5" s="150"/>
      <c r="AJ5" s="150"/>
    </row>
    <row r="6" spans="1:36" x14ac:dyDescent="0.25">
      <c r="A6" s="151" t="s">
        <v>163</v>
      </c>
      <c r="B6" s="151" t="s">
        <v>163</v>
      </c>
      <c r="C6" s="152">
        <f t="shared" ref="C6:C23" si="3">SUM(D6:S6)</f>
        <v>635001</v>
      </c>
      <c r="D6" s="153">
        <v>3500</v>
      </c>
      <c r="E6" s="153">
        <v>3500</v>
      </c>
      <c r="F6" s="153">
        <v>100000</v>
      </c>
      <c r="G6" s="153">
        <v>3500</v>
      </c>
      <c r="H6" s="153">
        <v>100000</v>
      </c>
      <c r="I6" s="153">
        <v>3500</v>
      </c>
      <c r="J6" s="153">
        <v>100000</v>
      </c>
      <c r="K6" s="153">
        <v>3500</v>
      </c>
      <c r="L6" s="153">
        <v>100000</v>
      </c>
      <c r="M6" s="153">
        <v>3500</v>
      </c>
      <c r="N6" s="153">
        <v>100000</v>
      </c>
      <c r="O6" s="153">
        <v>3500</v>
      </c>
      <c r="P6" s="153">
        <v>100000</v>
      </c>
      <c r="Q6" s="153">
        <v>3500</v>
      </c>
      <c r="R6" s="154">
        <v>3500</v>
      </c>
      <c r="S6" s="154">
        <v>3501</v>
      </c>
      <c r="T6" s="2"/>
      <c r="U6" s="2"/>
      <c r="V6" s="2"/>
      <c r="W6" s="2"/>
      <c r="X6" s="2"/>
      <c r="Y6" s="151" t="s">
        <v>163</v>
      </c>
      <c r="Z6" s="156">
        <f>C6/$C$13</f>
        <v>0.72175526056460493</v>
      </c>
      <c r="AA6" s="2"/>
      <c r="AB6" s="2"/>
      <c r="AC6" s="2"/>
      <c r="AD6" s="2"/>
      <c r="AE6" s="2"/>
      <c r="AF6" s="2"/>
      <c r="AG6" s="2"/>
      <c r="AH6" s="2"/>
      <c r="AI6" s="2"/>
      <c r="AJ6" s="2"/>
    </row>
    <row r="7" spans="1:36" x14ac:dyDescent="0.25">
      <c r="A7" s="151" t="s">
        <v>164</v>
      </c>
      <c r="B7" s="151" t="s">
        <v>164</v>
      </c>
      <c r="C7" s="152">
        <f t="shared" si="3"/>
        <v>240000</v>
      </c>
      <c r="D7" s="157">
        <v>15000</v>
      </c>
      <c r="E7" s="157">
        <f>D7</f>
        <v>15000</v>
      </c>
      <c r="F7" s="157">
        <f t="shared" ref="F7:R7" si="4">E7</f>
        <v>15000</v>
      </c>
      <c r="G7" s="157">
        <f t="shared" si="4"/>
        <v>15000</v>
      </c>
      <c r="H7" s="157">
        <f t="shared" si="4"/>
        <v>15000</v>
      </c>
      <c r="I7" s="157">
        <f t="shared" si="4"/>
        <v>15000</v>
      </c>
      <c r="J7" s="157">
        <f t="shared" si="4"/>
        <v>15000</v>
      </c>
      <c r="K7" s="157">
        <f t="shared" si="4"/>
        <v>15000</v>
      </c>
      <c r="L7" s="157">
        <f t="shared" si="4"/>
        <v>15000</v>
      </c>
      <c r="M7" s="157">
        <f t="shared" si="4"/>
        <v>15000</v>
      </c>
      <c r="N7" s="157">
        <f t="shared" si="4"/>
        <v>15000</v>
      </c>
      <c r="O7" s="157">
        <f t="shared" si="4"/>
        <v>15000</v>
      </c>
      <c r="P7" s="157">
        <f t="shared" si="4"/>
        <v>15000</v>
      </c>
      <c r="Q7" s="157">
        <f t="shared" si="4"/>
        <v>15000</v>
      </c>
      <c r="R7" s="157">
        <f t="shared" si="4"/>
        <v>15000</v>
      </c>
      <c r="S7" s="157">
        <f t="shared" ref="S7" si="5">R7</f>
        <v>15000</v>
      </c>
      <c r="T7" s="2"/>
      <c r="U7" s="2"/>
      <c r="V7" s="2"/>
      <c r="W7" s="2"/>
      <c r="X7" s="2"/>
      <c r="Y7" s="151" t="s">
        <v>164</v>
      </c>
      <c r="Z7" s="156">
        <f t="shared" ref="Z7:Z12" si="6">C7/$C$13</f>
        <v>0.27278896023077948</v>
      </c>
      <c r="AA7" s="2"/>
      <c r="AB7" s="2"/>
      <c r="AC7" s="2"/>
      <c r="AD7" s="2"/>
      <c r="AE7" s="2"/>
      <c r="AF7" s="2"/>
      <c r="AG7" s="2"/>
      <c r="AH7" s="2"/>
      <c r="AI7" s="2"/>
      <c r="AJ7" s="2"/>
    </row>
    <row r="8" spans="1:36" x14ac:dyDescent="0.25">
      <c r="A8" s="151" t="s">
        <v>165</v>
      </c>
      <c r="B8" s="151" t="s">
        <v>166</v>
      </c>
      <c r="C8" s="152">
        <f t="shared" si="3"/>
        <v>0</v>
      </c>
      <c r="D8" s="153">
        <v>0</v>
      </c>
      <c r="E8" s="153">
        <v>0</v>
      </c>
      <c r="F8" s="153">
        <v>0</v>
      </c>
      <c r="G8" s="153">
        <v>0</v>
      </c>
      <c r="H8" s="153">
        <v>0</v>
      </c>
      <c r="I8" s="153">
        <v>0</v>
      </c>
      <c r="J8" s="153">
        <v>0</v>
      </c>
      <c r="K8" s="153">
        <v>0</v>
      </c>
      <c r="L8" s="153">
        <v>0</v>
      </c>
      <c r="M8" s="153">
        <v>0</v>
      </c>
      <c r="N8" s="153">
        <v>0</v>
      </c>
      <c r="O8" s="153">
        <v>0</v>
      </c>
      <c r="P8" s="153">
        <v>0</v>
      </c>
      <c r="Q8" s="153">
        <v>0</v>
      </c>
      <c r="R8" s="153">
        <v>0</v>
      </c>
      <c r="S8" s="153">
        <v>0</v>
      </c>
      <c r="T8" s="2"/>
      <c r="U8" s="2"/>
      <c r="V8" s="2"/>
      <c r="W8" s="2"/>
      <c r="X8" s="2"/>
      <c r="Y8" s="151" t="s">
        <v>166</v>
      </c>
      <c r="Z8" s="156">
        <f t="shared" si="6"/>
        <v>0</v>
      </c>
      <c r="AA8" s="2"/>
      <c r="AB8" s="2"/>
      <c r="AC8" s="2"/>
      <c r="AD8" s="2"/>
      <c r="AE8" s="2"/>
      <c r="AF8" s="2"/>
      <c r="AG8" s="2"/>
      <c r="AH8" s="2"/>
      <c r="AI8" s="2"/>
      <c r="AJ8" s="2"/>
    </row>
    <row r="9" spans="1:36" x14ac:dyDescent="0.25">
      <c r="A9" s="151"/>
      <c r="B9" s="151" t="s">
        <v>167</v>
      </c>
      <c r="C9" s="152">
        <f t="shared" si="3"/>
        <v>0</v>
      </c>
      <c r="D9" s="153">
        <v>0</v>
      </c>
      <c r="E9" s="153">
        <v>0</v>
      </c>
      <c r="F9" s="153">
        <v>0</v>
      </c>
      <c r="G9" s="153">
        <v>0</v>
      </c>
      <c r="H9" s="153">
        <v>0</v>
      </c>
      <c r="I9" s="153">
        <v>0</v>
      </c>
      <c r="J9" s="153">
        <v>0</v>
      </c>
      <c r="K9" s="153">
        <v>0</v>
      </c>
      <c r="L9" s="153">
        <v>0</v>
      </c>
      <c r="M9" s="153">
        <v>0</v>
      </c>
      <c r="N9" s="153">
        <v>0</v>
      </c>
      <c r="O9" s="153">
        <v>0</v>
      </c>
      <c r="P9" s="153">
        <v>0</v>
      </c>
      <c r="Q9" s="153">
        <v>0</v>
      </c>
      <c r="R9" s="153">
        <v>0</v>
      </c>
      <c r="S9" s="153">
        <v>0</v>
      </c>
      <c r="T9" s="2"/>
      <c r="U9" s="2"/>
      <c r="V9" s="2"/>
      <c r="W9" s="2"/>
      <c r="X9" s="2"/>
      <c r="Y9" s="151" t="s">
        <v>167</v>
      </c>
      <c r="Z9" s="156">
        <f t="shared" si="6"/>
        <v>0</v>
      </c>
      <c r="AA9" s="2"/>
      <c r="AB9" s="2"/>
      <c r="AC9" s="2"/>
      <c r="AD9" s="2"/>
      <c r="AE9" s="2"/>
      <c r="AF9" s="2"/>
      <c r="AG9" s="2"/>
      <c r="AH9" s="2"/>
      <c r="AI9" s="2"/>
      <c r="AJ9" s="2"/>
    </row>
    <row r="10" spans="1:36" x14ac:dyDescent="0.25">
      <c r="A10" s="151" t="s">
        <v>168</v>
      </c>
      <c r="B10" s="151" t="s">
        <v>168</v>
      </c>
      <c r="C10" s="152">
        <f t="shared" si="3"/>
        <v>0</v>
      </c>
      <c r="D10" s="157">
        <v>0</v>
      </c>
      <c r="E10" s="157">
        <v>0</v>
      </c>
      <c r="F10" s="157">
        <v>0</v>
      </c>
      <c r="G10" s="157">
        <v>0</v>
      </c>
      <c r="H10" s="157">
        <v>0</v>
      </c>
      <c r="I10" s="157">
        <v>0</v>
      </c>
      <c r="J10" s="157">
        <v>0</v>
      </c>
      <c r="K10" s="157">
        <v>0</v>
      </c>
      <c r="L10" s="157">
        <v>0</v>
      </c>
      <c r="M10" s="157">
        <v>0</v>
      </c>
      <c r="N10" s="157">
        <v>0</v>
      </c>
      <c r="O10" s="157">
        <v>0</v>
      </c>
      <c r="P10" s="157">
        <v>0</v>
      </c>
      <c r="Q10" s="157">
        <v>0</v>
      </c>
      <c r="R10" s="157">
        <v>0</v>
      </c>
      <c r="S10" s="157">
        <v>0</v>
      </c>
      <c r="T10" s="2"/>
      <c r="U10" s="2"/>
      <c r="V10" s="2"/>
      <c r="W10" s="2"/>
      <c r="X10" s="2"/>
      <c r="Y10" s="151" t="s">
        <v>168</v>
      </c>
      <c r="Z10" s="156">
        <f t="shared" si="6"/>
        <v>0</v>
      </c>
      <c r="AA10" s="2"/>
      <c r="AB10" s="2"/>
      <c r="AC10" s="2"/>
      <c r="AD10" s="2"/>
      <c r="AE10" s="2"/>
      <c r="AF10" s="2"/>
      <c r="AG10" s="2"/>
      <c r="AH10" s="2"/>
      <c r="AI10" s="2"/>
      <c r="AJ10" s="2"/>
    </row>
    <row r="11" spans="1:36" x14ac:dyDescent="0.25">
      <c r="A11" s="158" t="s">
        <v>169</v>
      </c>
      <c r="B11" s="151" t="s">
        <v>170</v>
      </c>
      <c r="C11" s="152">
        <f t="shared" si="3"/>
        <v>4800</v>
      </c>
      <c r="D11" s="157">
        <v>300</v>
      </c>
      <c r="E11" s="157">
        <v>300</v>
      </c>
      <c r="F11" s="157">
        <v>300</v>
      </c>
      <c r="G11" s="157">
        <v>300</v>
      </c>
      <c r="H11" s="157">
        <v>300</v>
      </c>
      <c r="I11" s="157">
        <v>300</v>
      </c>
      <c r="J11" s="157">
        <v>300</v>
      </c>
      <c r="K11" s="157">
        <v>300</v>
      </c>
      <c r="L11" s="157">
        <v>300</v>
      </c>
      <c r="M11" s="157">
        <v>300</v>
      </c>
      <c r="N11" s="157">
        <v>300</v>
      </c>
      <c r="O11" s="157">
        <v>300</v>
      </c>
      <c r="P11" s="157">
        <v>300</v>
      </c>
      <c r="Q11" s="157">
        <v>300</v>
      </c>
      <c r="R11" s="157">
        <v>300</v>
      </c>
      <c r="S11" s="157">
        <v>300</v>
      </c>
      <c r="T11" s="2"/>
      <c r="U11" s="2"/>
      <c r="V11" s="2"/>
      <c r="W11" s="2"/>
      <c r="X11" s="2"/>
      <c r="Y11" s="151" t="s">
        <v>170</v>
      </c>
      <c r="Z11" s="156">
        <f t="shared" si="6"/>
        <v>5.4557792046155892E-3</v>
      </c>
      <c r="AA11" s="2"/>
      <c r="AB11" s="2"/>
      <c r="AC11" s="2"/>
      <c r="AD11" s="2"/>
      <c r="AE11" s="2"/>
      <c r="AF11" s="2"/>
      <c r="AG11" s="2"/>
      <c r="AH11" s="2"/>
      <c r="AI11" s="2"/>
      <c r="AJ11" s="2"/>
    </row>
    <row r="12" spans="1:36" x14ac:dyDescent="0.25">
      <c r="A12" s="159"/>
      <c r="B12" s="151" t="s">
        <v>171</v>
      </c>
      <c r="C12" s="152">
        <f t="shared" si="3"/>
        <v>0</v>
      </c>
      <c r="D12" s="157">
        <v>0</v>
      </c>
      <c r="E12" s="157">
        <v>0</v>
      </c>
      <c r="F12" s="157">
        <v>0</v>
      </c>
      <c r="G12" s="157">
        <v>0</v>
      </c>
      <c r="H12" s="157">
        <v>0</v>
      </c>
      <c r="I12" s="157">
        <v>0</v>
      </c>
      <c r="J12" s="157">
        <v>0</v>
      </c>
      <c r="K12" s="157">
        <v>0</v>
      </c>
      <c r="L12" s="157">
        <v>0</v>
      </c>
      <c r="M12" s="157">
        <v>0</v>
      </c>
      <c r="N12" s="157">
        <v>0</v>
      </c>
      <c r="O12" s="157">
        <v>0</v>
      </c>
      <c r="P12" s="157">
        <v>0</v>
      </c>
      <c r="Q12" s="157">
        <v>0</v>
      </c>
      <c r="R12" s="157">
        <v>0</v>
      </c>
      <c r="S12" s="157">
        <v>0</v>
      </c>
      <c r="T12" s="2"/>
      <c r="U12" s="2"/>
      <c r="V12" s="2"/>
      <c r="W12" s="2"/>
      <c r="X12" s="2"/>
      <c r="Y12" s="151" t="s">
        <v>171</v>
      </c>
      <c r="Z12" s="156">
        <f t="shared" si="6"/>
        <v>0</v>
      </c>
      <c r="AA12" s="2"/>
      <c r="AB12" s="2"/>
      <c r="AC12" s="2"/>
      <c r="AD12" s="2"/>
      <c r="AE12" s="2"/>
      <c r="AF12" s="2"/>
      <c r="AG12" s="2"/>
      <c r="AH12" s="2"/>
      <c r="AI12" s="2"/>
      <c r="AJ12" s="2"/>
    </row>
    <row r="13" spans="1:36" ht="18.75" x14ac:dyDescent="0.3">
      <c r="A13" s="160" t="s">
        <v>172</v>
      </c>
      <c r="B13" s="161"/>
      <c r="C13" s="162">
        <f t="shared" si="3"/>
        <v>879801</v>
      </c>
      <c r="D13" s="163">
        <f t="shared" ref="D13:H13" si="7">SUM(D6:D12)</f>
        <v>18800</v>
      </c>
      <c r="E13" s="163">
        <f t="shared" si="7"/>
        <v>18800</v>
      </c>
      <c r="F13" s="163">
        <f>F12+F11+F10+F9+F8+F7+F6</f>
        <v>115300</v>
      </c>
      <c r="G13" s="163">
        <f t="shared" si="7"/>
        <v>18800</v>
      </c>
      <c r="H13" s="163">
        <f t="shared" si="7"/>
        <v>115300</v>
      </c>
      <c r="I13" s="163">
        <f t="shared" ref="I13:S13" si="8">SUM(I6:I12)</f>
        <v>18800</v>
      </c>
      <c r="J13" s="163">
        <f t="shared" si="8"/>
        <v>115300</v>
      </c>
      <c r="K13" s="163">
        <f t="shared" si="8"/>
        <v>18800</v>
      </c>
      <c r="L13" s="163">
        <f t="shared" si="8"/>
        <v>115300</v>
      </c>
      <c r="M13" s="163">
        <f t="shared" si="8"/>
        <v>18800</v>
      </c>
      <c r="N13" s="163">
        <f t="shared" si="8"/>
        <v>115300</v>
      </c>
      <c r="O13" s="163">
        <f t="shared" si="8"/>
        <v>18800</v>
      </c>
      <c r="P13" s="163">
        <f t="shared" si="8"/>
        <v>115300</v>
      </c>
      <c r="Q13" s="163">
        <f t="shared" si="8"/>
        <v>18800</v>
      </c>
      <c r="R13" s="163">
        <f t="shared" si="8"/>
        <v>18800</v>
      </c>
      <c r="S13" s="164">
        <f t="shared" si="8"/>
        <v>18801</v>
      </c>
      <c r="T13" s="165"/>
      <c r="U13" s="165"/>
      <c r="V13" s="165"/>
      <c r="W13" s="165"/>
      <c r="X13" s="165"/>
      <c r="Y13" s="165"/>
      <c r="Z13" s="166">
        <f>SUM(Z6:Z12)</f>
        <v>1</v>
      </c>
      <c r="AA13" s="165"/>
      <c r="AB13" s="165"/>
      <c r="AC13" s="165"/>
      <c r="AD13" s="165"/>
      <c r="AE13" s="165"/>
      <c r="AF13" s="165"/>
      <c r="AG13" s="165"/>
      <c r="AH13" s="165"/>
      <c r="AI13" s="165"/>
      <c r="AJ13" s="165"/>
    </row>
    <row r="14" spans="1:36" ht="18.75" x14ac:dyDescent="0.3">
      <c r="A14" s="167" t="s">
        <v>173</v>
      </c>
      <c r="B14" s="168" t="str">
        <f>A14</f>
        <v>Sueldos</v>
      </c>
      <c r="C14" s="169">
        <f t="shared" si="3"/>
        <v>124640</v>
      </c>
      <c r="D14" s="170">
        <v>7790</v>
      </c>
      <c r="E14" s="170">
        <v>7790</v>
      </c>
      <c r="F14" s="170">
        <v>7790</v>
      </c>
      <c r="G14" s="170">
        <v>7790</v>
      </c>
      <c r="H14" s="170">
        <v>7790</v>
      </c>
      <c r="I14" s="170">
        <v>7790</v>
      </c>
      <c r="J14" s="170">
        <v>7790</v>
      </c>
      <c r="K14" s="170">
        <v>7790</v>
      </c>
      <c r="L14" s="170">
        <v>7790</v>
      </c>
      <c r="M14" s="170">
        <v>7790</v>
      </c>
      <c r="N14" s="170">
        <v>7790</v>
      </c>
      <c r="O14" s="170">
        <v>7790</v>
      </c>
      <c r="P14" s="170">
        <v>7790</v>
      </c>
      <c r="Q14" s="170">
        <v>7790</v>
      </c>
      <c r="R14" s="170">
        <v>7790</v>
      </c>
      <c r="S14" s="170">
        <v>7790</v>
      </c>
      <c r="T14" s="2"/>
      <c r="U14" s="2"/>
      <c r="V14" s="2"/>
      <c r="W14" s="2"/>
      <c r="X14" s="2"/>
      <c r="Y14" s="171">
        <f>C13</f>
        <v>879801</v>
      </c>
      <c r="Z14" s="172"/>
      <c r="AA14" s="2"/>
      <c r="AB14" s="2"/>
      <c r="AC14" s="2"/>
      <c r="AD14" s="2"/>
      <c r="AE14" s="2"/>
      <c r="AF14" s="2"/>
      <c r="AG14" s="2"/>
      <c r="AH14" s="2"/>
      <c r="AI14" s="2"/>
      <c r="AJ14" s="2"/>
    </row>
    <row r="15" spans="1:36" x14ac:dyDescent="0.25">
      <c r="A15" s="167" t="s">
        <v>174</v>
      </c>
      <c r="B15" s="168" t="str">
        <f>A15</f>
        <v xml:space="preserve">Mantenimiento </v>
      </c>
      <c r="C15" s="169">
        <f t="shared" si="3"/>
        <v>558596</v>
      </c>
      <c r="D15" s="170">
        <v>7100</v>
      </c>
      <c r="E15" s="170">
        <v>7800</v>
      </c>
      <c r="F15" s="170">
        <f t="shared" ref="E15:S22" si="9">E15</f>
        <v>7800</v>
      </c>
      <c r="G15" s="170">
        <f t="shared" si="9"/>
        <v>7800</v>
      </c>
      <c r="H15" s="170">
        <v>44008</v>
      </c>
      <c r="I15" s="170">
        <f t="shared" si="9"/>
        <v>44008</v>
      </c>
      <c r="J15" s="170">
        <f t="shared" si="9"/>
        <v>44008</v>
      </c>
      <c r="K15" s="170">
        <f t="shared" si="9"/>
        <v>44008</v>
      </c>
      <c r="L15" s="170">
        <f t="shared" si="9"/>
        <v>44008</v>
      </c>
      <c r="M15" s="170">
        <f t="shared" si="9"/>
        <v>44008</v>
      </c>
      <c r="N15" s="170">
        <f t="shared" si="9"/>
        <v>44008</v>
      </c>
      <c r="O15" s="170">
        <f t="shared" si="9"/>
        <v>44008</v>
      </c>
      <c r="P15" s="170">
        <f t="shared" si="9"/>
        <v>44008</v>
      </c>
      <c r="Q15" s="170">
        <f t="shared" si="9"/>
        <v>44008</v>
      </c>
      <c r="R15" s="170">
        <f t="shared" si="9"/>
        <v>44008</v>
      </c>
      <c r="S15" s="155">
        <f t="shared" si="9"/>
        <v>44008</v>
      </c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</row>
    <row r="16" spans="1:36" ht="23.25" customHeight="1" x14ac:dyDescent="0.25">
      <c r="A16" s="167" t="s">
        <v>175</v>
      </c>
      <c r="B16" s="168" t="s">
        <v>176</v>
      </c>
      <c r="C16" s="169">
        <f t="shared" si="3"/>
        <v>88000</v>
      </c>
      <c r="D16" s="170">
        <v>88000</v>
      </c>
      <c r="E16" s="170">
        <v>0</v>
      </c>
      <c r="F16" s="170">
        <v>0</v>
      </c>
      <c r="G16" s="170">
        <v>0</v>
      </c>
      <c r="H16" s="170">
        <v>0</v>
      </c>
      <c r="I16" s="170">
        <v>0</v>
      </c>
      <c r="J16" s="170">
        <v>0</v>
      </c>
      <c r="K16" s="170">
        <v>0</v>
      </c>
      <c r="L16" s="170">
        <v>0</v>
      </c>
      <c r="M16" s="170">
        <v>0</v>
      </c>
      <c r="N16" s="170">
        <v>0</v>
      </c>
      <c r="O16" s="170">
        <v>0</v>
      </c>
      <c r="P16" s="170">
        <v>0</v>
      </c>
      <c r="Q16" s="170">
        <v>0</v>
      </c>
      <c r="R16" s="170">
        <v>0</v>
      </c>
      <c r="S16" s="170">
        <v>0</v>
      </c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</row>
    <row r="17" spans="1:36" x14ac:dyDescent="0.25">
      <c r="A17" s="167" t="s">
        <v>177</v>
      </c>
      <c r="B17" s="168" t="str">
        <f>A17</f>
        <v>Empleados</v>
      </c>
      <c r="C17" s="169">
        <f t="shared" si="3"/>
        <v>522240</v>
      </c>
      <c r="D17" s="170">
        <v>32640</v>
      </c>
      <c r="E17" s="170">
        <f t="shared" si="9"/>
        <v>32640</v>
      </c>
      <c r="F17" s="170">
        <f t="shared" ref="F17:F22" si="10">E17</f>
        <v>32640</v>
      </c>
      <c r="G17" s="170">
        <f t="shared" ref="G17:G22" si="11">F17</f>
        <v>32640</v>
      </c>
      <c r="H17" s="170">
        <f t="shared" ref="H17:H22" si="12">G17</f>
        <v>32640</v>
      </c>
      <c r="I17" s="170">
        <f t="shared" ref="I17:I22" si="13">H17</f>
        <v>32640</v>
      </c>
      <c r="J17" s="170">
        <f t="shared" ref="J17:J22" si="14">I17</f>
        <v>32640</v>
      </c>
      <c r="K17" s="170">
        <f t="shared" ref="K17:K22" si="15">J17</f>
        <v>32640</v>
      </c>
      <c r="L17" s="170">
        <f t="shared" ref="L17:L22" si="16">K17</f>
        <v>32640</v>
      </c>
      <c r="M17" s="170">
        <f t="shared" ref="M17:M22" si="17">L17</f>
        <v>32640</v>
      </c>
      <c r="N17" s="170">
        <f t="shared" ref="N17:N22" si="18">M17</f>
        <v>32640</v>
      </c>
      <c r="O17" s="170">
        <f t="shared" ref="O17:O22" si="19">N17</f>
        <v>32640</v>
      </c>
      <c r="P17" s="170">
        <f t="shared" ref="P17:P22" si="20">O17</f>
        <v>32640</v>
      </c>
      <c r="Q17" s="170">
        <f t="shared" ref="Q17:Q22" si="21">P17</f>
        <v>32640</v>
      </c>
      <c r="R17" s="170">
        <f t="shared" ref="R17:R22" si="22">Q17</f>
        <v>32640</v>
      </c>
      <c r="S17" s="170">
        <f t="shared" ref="S17:S22" si="23">R17</f>
        <v>32640</v>
      </c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</row>
    <row r="18" spans="1:36" x14ac:dyDescent="0.25">
      <c r="A18" s="167" t="s">
        <v>178</v>
      </c>
      <c r="B18" s="168" t="str">
        <f>A18</f>
        <v>Juveniles</v>
      </c>
      <c r="C18" s="169">
        <f t="shared" si="3"/>
        <v>320000</v>
      </c>
      <c r="D18" s="170">
        <f>[1]EconomiaT49!S18</f>
        <v>20000</v>
      </c>
      <c r="E18" s="170">
        <f t="shared" si="9"/>
        <v>20000</v>
      </c>
      <c r="F18" s="170">
        <f t="shared" si="10"/>
        <v>20000</v>
      </c>
      <c r="G18" s="170">
        <f t="shared" si="11"/>
        <v>20000</v>
      </c>
      <c r="H18" s="170">
        <f t="shared" si="12"/>
        <v>20000</v>
      </c>
      <c r="I18" s="170">
        <f t="shared" si="13"/>
        <v>20000</v>
      </c>
      <c r="J18" s="170">
        <f t="shared" si="14"/>
        <v>20000</v>
      </c>
      <c r="K18" s="170">
        <f t="shared" si="15"/>
        <v>20000</v>
      </c>
      <c r="L18" s="170">
        <f t="shared" si="16"/>
        <v>20000</v>
      </c>
      <c r="M18" s="170">
        <f t="shared" si="17"/>
        <v>20000</v>
      </c>
      <c r="N18" s="170">
        <f t="shared" si="18"/>
        <v>20000</v>
      </c>
      <c r="O18" s="170">
        <f t="shared" si="19"/>
        <v>20000</v>
      </c>
      <c r="P18" s="170">
        <f t="shared" si="20"/>
        <v>20000</v>
      </c>
      <c r="Q18" s="170">
        <f t="shared" si="21"/>
        <v>20000</v>
      </c>
      <c r="R18" s="170">
        <f t="shared" si="22"/>
        <v>20000</v>
      </c>
      <c r="S18" s="170">
        <f t="shared" si="23"/>
        <v>20000</v>
      </c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</row>
    <row r="19" spans="1:36" x14ac:dyDescent="0.25">
      <c r="A19" s="167" t="s">
        <v>179</v>
      </c>
      <c r="B19" s="168" t="s">
        <v>180</v>
      </c>
      <c r="C19" s="169">
        <f t="shared" si="3"/>
        <v>0</v>
      </c>
      <c r="D19" s="170">
        <f>[1]EconomiaT49!S19</f>
        <v>0</v>
      </c>
      <c r="E19" s="170">
        <f t="shared" si="9"/>
        <v>0</v>
      </c>
      <c r="F19" s="170">
        <f t="shared" si="10"/>
        <v>0</v>
      </c>
      <c r="G19" s="170">
        <f t="shared" si="11"/>
        <v>0</v>
      </c>
      <c r="H19" s="170">
        <f t="shared" si="12"/>
        <v>0</v>
      </c>
      <c r="I19" s="170">
        <f t="shared" si="13"/>
        <v>0</v>
      </c>
      <c r="J19" s="170">
        <f t="shared" si="14"/>
        <v>0</v>
      </c>
      <c r="K19" s="170">
        <f t="shared" si="15"/>
        <v>0</v>
      </c>
      <c r="L19" s="170">
        <f t="shared" si="16"/>
        <v>0</v>
      </c>
      <c r="M19" s="170">
        <f t="shared" si="17"/>
        <v>0</v>
      </c>
      <c r="N19" s="170">
        <f t="shared" si="18"/>
        <v>0</v>
      </c>
      <c r="O19" s="170">
        <f t="shared" si="19"/>
        <v>0</v>
      </c>
      <c r="P19" s="170">
        <f t="shared" si="20"/>
        <v>0</v>
      </c>
      <c r="Q19" s="170">
        <f t="shared" si="21"/>
        <v>0</v>
      </c>
      <c r="R19" s="170">
        <f t="shared" si="22"/>
        <v>0</v>
      </c>
      <c r="S19" s="170">
        <f t="shared" si="23"/>
        <v>0</v>
      </c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</row>
    <row r="20" spans="1:36" x14ac:dyDescent="0.25">
      <c r="A20" s="173" t="s">
        <v>169</v>
      </c>
      <c r="B20" s="168" t="s">
        <v>181</v>
      </c>
      <c r="C20" s="169">
        <f t="shared" si="3"/>
        <v>0</v>
      </c>
      <c r="D20" s="170">
        <f>[1]EconomiaT49!S20</f>
        <v>0</v>
      </c>
      <c r="E20" s="170">
        <f t="shared" si="9"/>
        <v>0</v>
      </c>
      <c r="F20" s="170">
        <f t="shared" si="10"/>
        <v>0</v>
      </c>
      <c r="G20" s="170">
        <f t="shared" si="11"/>
        <v>0</v>
      </c>
      <c r="H20" s="170">
        <f t="shared" si="12"/>
        <v>0</v>
      </c>
      <c r="I20" s="170">
        <f t="shared" si="13"/>
        <v>0</v>
      </c>
      <c r="J20" s="170">
        <f t="shared" si="14"/>
        <v>0</v>
      </c>
      <c r="K20" s="170">
        <f t="shared" si="15"/>
        <v>0</v>
      </c>
      <c r="L20" s="170">
        <f t="shared" si="16"/>
        <v>0</v>
      </c>
      <c r="M20" s="170">
        <f t="shared" si="17"/>
        <v>0</v>
      </c>
      <c r="N20" s="170">
        <f t="shared" si="18"/>
        <v>0</v>
      </c>
      <c r="O20" s="170">
        <f t="shared" si="19"/>
        <v>0</v>
      </c>
      <c r="P20" s="170">
        <f t="shared" si="20"/>
        <v>0</v>
      </c>
      <c r="Q20" s="170">
        <f t="shared" si="21"/>
        <v>0</v>
      </c>
      <c r="R20" s="170">
        <f t="shared" si="22"/>
        <v>0</v>
      </c>
      <c r="S20" s="170">
        <f t="shared" si="23"/>
        <v>0</v>
      </c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</row>
    <row r="21" spans="1:36" x14ac:dyDescent="0.25">
      <c r="A21" s="173"/>
      <c r="B21" s="168" t="s">
        <v>182</v>
      </c>
      <c r="C21" s="169">
        <f t="shared" si="3"/>
        <v>0</v>
      </c>
      <c r="D21" s="170">
        <v>0</v>
      </c>
      <c r="E21" s="170">
        <v>0</v>
      </c>
      <c r="F21" s="170">
        <v>0</v>
      </c>
      <c r="G21" s="170">
        <v>0</v>
      </c>
      <c r="H21" s="170">
        <v>0</v>
      </c>
      <c r="I21" s="170">
        <v>0</v>
      </c>
      <c r="J21" s="170">
        <v>0</v>
      </c>
      <c r="K21" s="170">
        <v>0</v>
      </c>
      <c r="L21" s="170">
        <v>0</v>
      </c>
      <c r="M21" s="170">
        <v>0</v>
      </c>
      <c r="N21" s="170">
        <v>0</v>
      </c>
      <c r="O21" s="170">
        <v>0</v>
      </c>
      <c r="P21" s="170">
        <v>0</v>
      </c>
      <c r="Q21" s="170">
        <v>0</v>
      </c>
      <c r="R21" s="170">
        <v>0</v>
      </c>
      <c r="S21" s="170">
        <v>0</v>
      </c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</row>
    <row r="22" spans="1:36" x14ac:dyDescent="0.25">
      <c r="A22" s="167" t="s">
        <v>183</v>
      </c>
      <c r="B22" s="168" t="str">
        <f>A22</f>
        <v>Intereses</v>
      </c>
      <c r="C22" s="169">
        <f t="shared" si="3"/>
        <v>0</v>
      </c>
      <c r="D22" s="170">
        <f>[1]EconomiaT49!S22</f>
        <v>0</v>
      </c>
      <c r="E22" s="170">
        <f t="shared" si="9"/>
        <v>0</v>
      </c>
      <c r="F22" s="170">
        <f t="shared" ref="F22" si="24">E22</f>
        <v>0</v>
      </c>
      <c r="G22" s="170">
        <f t="shared" ref="G22" si="25">F22</f>
        <v>0</v>
      </c>
      <c r="H22" s="170">
        <f t="shared" ref="H22" si="26">G22</f>
        <v>0</v>
      </c>
      <c r="I22" s="170">
        <f t="shared" ref="I22" si="27">H22</f>
        <v>0</v>
      </c>
      <c r="J22" s="170">
        <f t="shared" ref="J22" si="28">I22</f>
        <v>0</v>
      </c>
      <c r="K22" s="170">
        <f t="shared" ref="K22" si="29">J22</f>
        <v>0</v>
      </c>
      <c r="L22" s="170">
        <f t="shared" ref="L22" si="30">K22</f>
        <v>0</v>
      </c>
      <c r="M22" s="170">
        <f t="shared" ref="M22" si="31">L22</f>
        <v>0</v>
      </c>
      <c r="N22" s="170">
        <f t="shared" ref="N22" si="32">M22</f>
        <v>0</v>
      </c>
      <c r="O22" s="170">
        <f t="shared" ref="O22" si="33">N22</f>
        <v>0</v>
      </c>
      <c r="P22" s="170">
        <f t="shared" ref="P22" si="34">O22</f>
        <v>0</v>
      </c>
      <c r="Q22" s="170">
        <f t="shared" ref="Q22" si="35">P22</f>
        <v>0</v>
      </c>
      <c r="R22" s="170">
        <f t="shared" ref="R22" si="36">Q22</f>
        <v>0</v>
      </c>
      <c r="S22" s="170">
        <f t="shared" ref="S22" si="37">R22</f>
        <v>0</v>
      </c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</row>
    <row r="23" spans="1:36" ht="18.75" x14ac:dyDescent="0.3">
      <c r="A23" s="174" t="s">
        <v>184</v>
      </c>
      <c r="B23" s="175"/>
      <c r="C23" s="176">
        <f t="shared" si="3"/>
        <v>1613476</v>
      </c>
      <c r="D23" s="177">
        <f t="shared" ref="D23:S23" si="38">SUM(D14:D22)</f>
        <v>155530</v>
      </c>
      <c r="E23" s="177">
        <f t="shared" si="38"/>
        <v>68230</v>
      </c>
      <c r="F23" s="177">
        <f t="shared" si="38"/>
        <v>68230</v>
      </c>
      <c r="G23" s="177">
        <f t="shared" si="38"/>
        <v>68230</v>
      </c>
      <c r="H23" s="177">
        <f t="shared" si="38"/>
        <v>104438</v>
      </c>
      <c r="I23" s="177">
        <f t="shared" si="38"/>
        <v>104438</v>
      </c>
      <c r="J23" s="177">
        <f t="shared" si="38"/>
        <v>104438</v>
      </c>
      <c r="K23" s="177">
        <f t="shared" si="38"/>
        <v>104438</v>
      </c>
      <c r="L23" s="177">
        <f t="shared" si="38"/>
        <v>104438</v>
      </c>
      <c r="M23" s="177">
        <f t="shared" si="38"/>
        <v>104438</v>
      </c>
      <c r="N23" s="177">
        <f t="shared" si="38"/>
        <v>104438</v>
      </c>
      <c r="O23" s="177">
        <f t="shared" si="38"/>
        <v>104438</v>
      </c>
      <c r="P23" s="177">
        <f t="shared" si="38"/>
        <v>104438</v>
      </c>
      <c r="Q23" s="177">
        <f t="shared" si="38"/>
        <v>104438</v>
      </c>
      <c r="R23" s="177">
        <f t="shared" si="38"/>
        <v>104438</v>
      </c>
      <c r="S23" s="178">
        <f t="shared" si="38"/>
        <v>104438</v>
      </c>
      <c r="T23" s="179"/>
      <c r="U23" s="179"/>
      <c r="V23" s="179"/>
      <c r="W23" s="179"/>
      <c r="X23" s="179"/>
      <c r="Y23" s="168" t="s">
        <v>173</v>
      </c>
      <c r="Z23" s="180">
        <f>C14/$C$23</f>
        <v>7.7249367204718256E-2</v>
      </c>
      <c r="AA23" s="179"/>
      <c r="AB23" s="179"/>
      <c r="AC23" s="179"/>
      <c r="AD23" s="179"/>
      <c r="AE23" s="179"/>
      <c r="AF23" s="179"/>
      <c r="AG23" s="179"/>
      <c r="AH23" s="179"/>
      <c r="AI23" s="179"/>
      <c r="AJ23" s="179"/>
    </row>
    <row r="24" spans="1:36" ht="18.75" x14ac:dyDescent="0.3">
      <c r="A24" s="181" t="s">
        <v>185</v>
      </c>
      <c r="B24" s="181"/>
      <c r="C24" s="148">
        <f>C5+C13-C23</f>
        <v>-433675</v>
      </c>
      <c r="D24" s="148">
        <f t="shared" ref="D24:S24" si="39">D5+D13-D23</f>
        <v>163270</v>
      </c>
      <c r="E24" s="148">
        <f t="shared" si="39"/>
        <v>113840</v>
      </c>
      <c r="F24" s="148">
        <f t="shared" si="39"/>
        <v>160910</v>
      </c>
      <c r="G24" s="148">
        <f t="shared" si="39"/>
        <v>111480</v>
      </c>
      <c r="H24" s="148">
        <f t="shared" si="39"/>
        <v>122342</v>
      </c>
      <c r="I24" s="148">
        <f t="shared" si="39"/>
        <v>36704</v>
      </c>
      <c r="J24" s="148">
        <f t="shared" si="39"/>
        <v>47566</v>
      </c>
      <c r="K24" s="148">
        <f t="shared" si="39"/>
        <v>-38072</v>
      </c>
      <c r="L24" s="148">
        <f t="shared" si="39"/>
        <v>-27210</v>
      </c>
      <c r="M24" s="148">
        <f t="shared" si="39"/>
        <v>-112848</v>
      </c>
      <c r="N24" s="148">
        <f t="shared" si="39"/>
        <v>-101986</v>
      </c>
      <c r="O24" s="148">
        <f t="shared" si="39"/>
        <v>-187624</v>
      </c>
      <c r="P24" s="148">
        <f t="shared" si="39"/>
        <v>-176762</v>
      </c>
      <c r="Q24" s="148">
        <f t="shared" si="39"/>
        <v>-262400</v>
      </c>
      <c r="R24" s="148">
        <f t="shared" si="39"/>
        <v>-348038</v>
      </c>
      <c r="S24" s="149">
        <f t="shared" si="39"/>
        <v>-433675</v>
      </c>
      <c r="T24" s="150"/>
      <c r="U24" s="150"/>
      <c r="V24" s="150"/>
      <c r="W24" s="150"/>
      <c r="X24" s="150"/>
      <c r="Y24" s="168" t="s">
        <v>174</v>
      </c>
      <c r="Z24" s="180">
        <f t="shared" ref="Z24:Z31" si="40">C15/$C$23</f>
        <v>0.34620657512104303</v>
      </c>
      <c r="AA24" s="150"/>
      <c r="AB24" s="150"/>
      <c r="AC24" s="150"/>
      <c r="AD24" s="150"/>
      <c r="AE24" s="150"/>
      <c r="AF24" s="150"/>
      <c r="AG24" s="150"/>
      <c r="AH24" s="150"/>
      <c r="AI24" s="150"/>
      <c r="AJ24" s="150"/>
    </row>
    <row r="25" spans="1:36" x14ac:dyDescent="0.25">
      <c r="A25" s="182"/>
      <c r="B25" s="182"/>
      <c r="C25" s="182"/>
      <c r="D25" s="183">
        <f>D2+7</f>
        <v>43644</v>
      </c>
      <c r="E25" s="183">
        <f t="shared" ref="E25:S25" si="41">D25+7</f>
        <v>43651</v>
      </c>
      <c r="F25" s="183">
        <f t="shared" si="41"/>
        <v>43658</v>
      </c>
      <c r="G25" s="183">
        <f t="shared" si="41"/>
        <v>43665</v>
      </c>
      <c r="H25" s="183">
        <f t="shared" si="41"/>
        <v>43672</v>
      </c>
      <c r="I25" s="183">
        <f t="shared" si="41"/>
        <v>43679</v>
      </c>
      <c r="J25" s="183">
        <f t="shared" si="41"/>
        <v>43686</v>
      </c>
      <c r="K25" s="183">
        <f t="shared" si="41"/>
        <v>43693</v>
      </c>
      <c r="L25" s="183">
        <f t="shared" si="41"/>
        <v>43700</v>
      </c>
      <c r="M25" s="183">
        <f t="shared" si="41"/>
        <v>43707</v>
      </c>
      <c r="N25" s="183">
        <f t="shared" si="41"/>
        <v>43714</v>
      </c>
      <c r="O25" s="183">
        <f t="shared" si="41"/>
        <v>43721</v>
      </c>
      <c r="P25" s="183">
        <f t="shared" si="41"/>
        <v>43728</v>
      </c>
      <c r="Q25" s="183">
        <f t="shared" si="41"/>
        <v>43735</v>
      </c>
      <c r="R25" s="183">
        <f t="shared" si="41"/>
        <v>43742</v>
      </c>
      <c r="S25" s="183">
        <f t="shared" si="41"/>
        <v>43749</v>
      </c>
      <c r="T25" s="134"/>
      <c r="U25" s="134"/>
      <c r="V25" s="134"/>
      <c r="W25" s="134"/>
      <c r="X25" s="134"/>
      <c r="Y25" s="168" t="s">
        <v>176</v>
      </c>
      <c r="Z25" s="180">
        <f t="shared" si="40"/>
        <v>5.4540631530930736E-2</v>
      </c>
      <c r="AA25" s="134"/>
      <c r="AB25" s="134"/>
      <c r="AC25" s="134"/>
      <c r="AD25" s="134"/>
      <c r="AE25" s="134"/>
      <c r="AF25" s="134"/>
      <c r="AG25" s="134"/>
      <c r="AH25" s="134"/>
      <c r="AI25" s="134"/>
      <c r="AJ25" s="134"/>
    </row>
    <row r="26" spans="1:36" x14ac:dyDescent="0.25">
      <c r="A26" s="184" t="s">
        <v>186</v>
      </c>
      <c r="B26" s="184"/>
      <c r="C26" s="185">
        <f>C6+C7+C11</f>
        <v>879801</v>
      </c>
      <c r="D26" s="185">
        <f t="shared" ref="D26:S26" si="42">D6+D7+D11</f>
        <v>18800</v>
      </c>
      <c r="E26" s="185">
        <f t="shared" si="42"/>
        <v>18800</v>
      </c>
      <c r="F26" s="185">
        <f t="shared" si="42"/>
        <v>115300</v>
      </c>
      <c r="G26" s="185">
        <f t="shared" si="42"/>
        <v>18800</v>
      </c>
      <c r="H26" s="185">
        <f t="shared" si="42"/>
        <v>115300</v>
      </c>
      <c r="I26" s="185">
        <f t="shared" si="42"/>
        <v>18800</v>
      </c>
      <c r="J26" s="185">
        <f t="shared" si="42"/>
        <v>115300</v>
      </c>
      <c r="K26" s="185">
        <f t="shared" si="42"/>
        <v>18800</v>
      </c>
      <c r="L26" s="185">
        <f t="shared" si="42"/>
        <v>115300</v>
      </c>
      <c r="M26" s="185">
        <f t="shared" si="42"/>
        <v>18800</v>
      </c>
      <c r="N26" s="185">
        <f t="shared" si="42"/>
        <v>115300</v>
      </c>
      <c r="O26" s="185">
        <f t="shared" si="42"/>
        <v>18800</v>
      </c>
      <c r="P26" s="185">
        <f t="shared" si="42"/>
        <v>115300</v>
      </c>
      <c r="Q26" s="185">
        <f t="shared" si="42"/>
        <v>18800</v>
      </c>
      <c r="R26" s="185">
        <f>R6+R7+R11</f>
        <v>18800</v>
      </c>
      <c r="S26" s="185">
        <f t="shared" si="42"/>
        <v>18801</v>
      </c>
      <c r="T26" s="186"/>
      <c r="U26" s="134"/>
      <c r="V26" s="134"/>
      <c r="W26" s="134"/>
      <c r="X26" s="134"/>
      <c r="Y26" s="168" t="s">
        <v>177</v>
      </c>
      <c r="Z26" s="180">
        <f t="shared" si="40"/>
        <v>0.32367385693992351</v>
      </c>
      <c r="AA26" s="134"/>
      <c r="AB26" s="134"/>
      <c r="AC26" s="134"/>
      <c r="AD26" s="134"/>
      <c r="AE26" s="134"/>
      <c r="AF26" s="134"/>
      <c r="AG26" s="134"/>
      <c r="AH26" s="134"/>
      <c r="AI26" s="134"/>
      <c r="AJ26" s="134"/>
    </row>
    <row r="27" spans="1:36" x14ac:dyDescent="0.25">
      <c r="A27" s="187" t="s">
        <v>187</v>
      </c>
      <c r="B27" s="187"/>
      <c r="C27" s="188">
        <f>C14+C15+C17+C18+C21</f>
        <v>1525476</v>
      </c>
      <c r="D27" s="188">
        <f t="shared" ref="D27:S27" si="43">D14+D15+D17+D18+D21</f>
        <v>67530</v>
      </c>
      <c r="E27" s="188">
        <f t="shared" si="43"/>
        <v>68230</v>
      </c>
      <c r="F27" s="188">
        <f t="shared" si="43"/>
        <v>68230</v>
      </c>
      <c r="G27" s="188">
        <f t="shared" si="43"/>
        <v>68230</v>
      </c>
      <c r="H27" s="188">
        <f t="shared" si="43"/>
        <v>104438</v>
      </c>
      <c r="I27" s="188">
        <f t="shared" si="43"/>
        <v>104438</v>
      </c>
      <c r="J27" s="188">
        <f t="shared" si="43"/>
        <v>104438</v>
      </c>
      <c r="K27" s="188">
        <f t="shared" si="43"/>
        <v>104438</v>
      </c>
      <c r="L27" s="188">
        <f t="shared" si="43"/>
        <v>104438</v>
      </c>
      <c r="M27" s="188">
        <f t="shared" si="43"/>
        <v>104438</v>
      </c>
      <c r="N27" s="188">
        <f t="shared" si="43"/>
        <v>104438</v>
      </c>
      <c r="O27" s="188">
        <f t="shared" si="43"/>
        <v>104438</v>
      </c>
      <c r="P27" s="188">
        <f t="shared" si="43"/>
        <v>104438</v>
      </c>
      <c r="Q27" s="188">
        <f t="shared" si="43"/>
        <v>104438</v>
      </c>
      <c r="R27" s="188">
        <f>R14+R15+R17+R18+R21</f>
        <v>104438</v>
      </c>
      <c r="S27" s="188">
        <f t="shared" si="43"/>
        <v>104438</v>
      </c>
      <c r="T27" s="189"/>
      <c r="U27" s="134"/>
      <c r="V27" s="134"/>
      <c r="W27" s="134"/>
      <c r="X27" s="134"/>
      <c r="Y27" s="168" t="s">
        <v>178</v>
      </c>
      <c r="Z27" s="180">
        <f t="shared" si="40"/>
        <v>0.19832956920338449</v>
      </c>
      <c r="AA27" s="134"/>
      <c r="AB27" s="134"/>
      <c r="AC27" s="134"/>
      <c r="AD27" s="134"/>
      <c r="AE27" s="134"/>
      <c r="AF27" s="134"/>
      <c r="AG27" s="134"/>
      <c r="AH27" s="134"/>
      <c r="AI27" s="134"/>
      <c r="AJ27" s="134"/>
    </row>
    <row r="28" spans="1:36" x14ac:dyDescent="0.25">
      <c r="A28" s="190" t="s">
        <v>188</v>
      </c>
      <c r="B28" s="190"/>
      <c r="C28" s="191">
        <f>C26-C27</f>
        <v>-645675</v>
      </c>
      <c r="D28" s="191">
        <f t="shared" ref="D28:S28" si="44">D26-D27</f>
        <v>-48730</v>
      </c>
      <c r="E28" s="191">
        <f t="shared" si="44"/>
        <v>-49430</v>
      </c>
      <c r="F28" s="191">
        <f t="shared" si="44"/>
        <v>47070</v>
      </c>
      <c r="G28" s="191">
        <f t="shared" si="44"/>
        <v>-49430</v>
      </c>
      <c r="H28" s="191">
        <f t="shared" si="44"/>
        <v>10862</v>
      </c>
      <c r="I28" s="191">
        <f t="shared" si="44"/>
        <v>-85638</v>
      </c>
      <c r="J28" s="191">
        <f t="shared" si="44"/>
        <v>10862</v>
      </c>
      <c r="K28" s="191">
        <f t="shared" si="44"/>
        <v>-85638</v>
      </c>
      <c r="L28" s="191">
        <f t="shared" si="44"/>
        <v>10862</v>
      </c>
      <c r="M28" s="191">
        <f t="shared" si="44"/>
        <v>-85638</v>
      </c>
      <c r="N28" s="191">
        <f t="shared" si="44"/>
        <v>10862</v>
      </c>
      <c r="O28" s="191">
        <f t="shared" si="44"/>
        <v>-85638</v>
      </c>
      <c r="P28" s="191">
        <f t="shared" si="44"/>
        <v>10862</v>
      </c>
      <c r="Q28" s="191">
        <f t="shared" si="44"/>
        <v>-85638</v>
      </c>
      <c r="R28" s="191">
        <f>R26-R27</f>
        <v>-85638</v>
      </c>
      <c r="S28" s="191">
        <f t="shared" si="44"/>
        <v>-85637</v>
      </c>
      <c r="T28" s="192"/>
      <c r="U28" s="2"/>
      <c r="V28" s="2"/>
      <c r="W28" s="2"/>
      <c r="X28" s="2"/>
      <c r="Y28" s="168" t="s">
        <v>180</v>
      </c>
      <c r="Z28" s="180">
        <f t="shared" si="40"/>
        <v>0</v>
      </c>
      <c r="AA28" s="2"/>
      <c r="AB28" s="2"/>
      <c r="AC28" s="2"/>
      <c r="AD28" s="2"/>
      <c r="AE28" s="2"/>
      <c r="AF28" s="2"/>
      <c r="AG28" s="2"/>
      <c r="AH28" s="2"/>
      <c r="AI28" s="2"/>
      <c r="AJ28" s="2"/>
    </row>
    <row r="29" spans="1:36" x14ac:dyDescent="0.25">
      <c r="A29" s="184" t="s">
        <v>189</v>
      </c>
      <c r="B29" s="184"/>
      <c r="C29" s="185">
        <f>C8+C9+C10+C12</f>
        <v>0</v>
      </c>
      <c r="D29" s="185">
        <f t="shared" ref="D29:S29" si="45">D8+D9+D10+D12</f>
        <v>0</v>
      </c>
      <c r="E29" s="185">
        <f t="shared" si="45"/>
        <v>0</v>
      </c>
      <c r="F29" s="185">
        <f t="shared" si="45"/>
        <v>0</v>
      </c>
      <c r="G29" s="185">
        <f t="shared" si="45"/>
        <v>0</v>
      </c>
      <c r="H29" s="185">
        <f t="shared" si="45"/>
        <v>0</v>
      </c>
      <c r="I29" s="185">
        <f t="shared" si="45"/>
        <v>0</v>
      </c>
      <c r="J29" s="185">
        <f t="shared" si="45"/>
        <v>0</v>
      </c>
      <c r="K29" s="185">
        <f t="shared" si="45"/>
        <v>0</v>
      </c>
      <c r="L29" s="185">
        <f t="shared" si="45"/>
        <v>0</v>
      </c>
      <c r="M29" s="185">
        <f t="shared" si="45"/>
        <v>0</v>
      </c>
      <c r="N29" s="185">
        <f t="shared" si="45"/>
        <v>0</v>
      </c>
      <c r="O29" s="185">
        <f t="shared" si="45"/>
        <v>0</v>
      </c>
      <c r="P29" s="185">
        <f t="shared" si="45"/>
        <v>0</v>
      </c>
      <c r="Q29" s="185">
        <f t="shared" si="45"/>
        <v>0</v>
      </c>
      <c r="R29" s="185">
        <f>R8+R9+R10+R12</f>
        <v>0</v>
      </c>
      <c r="S29" s="185">
        <f t="shared" si="45"/>
        <v>0</v>
      </c>
      <c r="T29" s="192"/>
      <c r="U29" s="2"/>
      <c r="V29" s="2"/>
      <c r="W29" s="2"/>
      <c r="X29" s="2"/>
      <c r="Y29" s="168" t="s">
        <v>181</v>
      </c>
      <c r="Z29" s="180">
        <f t="shared" si="40"/>
        <v>0</v>
      </c>
      <c r="AA29" s="2"/>
      <c r="AB29" s="2"/>
      <c r="AC29" s="2"/>
      <c r="AD29" s="2"/>
      <c r="AE29" s="2"/>
      <c r="AF29" s="2"/>
      <c r="AG29" s="2"/>
      <c r="AH29" s="2"/>
      <c r="AI29" s="2"/>
      <c r="AJ29" s="2"/>
    </row>
    <row r="30" spans="1:36" x14ac:dyDescent="0.25">
      <c r="A30" s="187" t="s">
        <v>190</v>
      </c>
      <c r="B30" s="187"/>
      <c r="C30" s="188">
        <f>C16+C19+C20+C22</f>
        <v>88000</v>
      </c>
      <c r="D30" s="188">
        <f t="shared" ref="D30:S30" si="46">D16+D19+D20+D22</f>
        <v>88000</v>
      </c>
      <c r="E30" s="188">
        <f t="shared" si="46"/>
        <v>0</v>
      </c>
      <c r="F30" s="188">
        <f t="shared" si="46"/>
        <v>0</v>
      </c>
      <c r="G30" s="188">
        <f t="shared" si="46"/>
        <v>0</v>
      </c>
      <c r="H30" s="188">
        <f t="shared" si="46"/>
        <v>0</v>
      </c>
      <c r="I30" s="188">
        <f t="shared" si="46"/>
        <v>0</v>
      </c>
      <c r="J30" s="188">
        <f t="shared" si="46"/>
        <v>0</v>
      </c>
      <c r="K30" s="188">
        <f t="shared" si="46"/>
        <v>0</v>
      </c>
      <c r="L30" s="188">
        <f t="shared" si="46"/>
        <v>0</v>
      </c>
      <c r="M30" s="188">
        <f t="shared" si="46"/>
        <v>0</v>
      </c>
      <c r="N30" s="188">
        <f t="shared" si="46"/>
        <v>0</v>
      </c>
      <c r="O30" s="188">
        <f t="shared" si="46"/>
        <v>0</v>
      </c>
      <c r="P30" s="188">
        <f t="shared" si="46"/>
        <v>0</v>
      </c>
      <c r="Q30" s="188">
        <f t="shared" si="46"/>
        <v>0</v>
      </c>
      <c r="R30" s="188">
        <f>R16+R19+R20+R22</f>
        <v>0</v>
      </c>
      <c r="S30" s="188">
        <f t="shared" si="46"/>
        <v>0</v>
      </c>
      <c r="T30" s="145"/>
      <c r="U30" s="145"/>
      <c r="V30" s="145"/>
      <c r="W30" s="145"/>
      <c r="X30" s="145"/>
      <c r="Y30" s="168" t="s">
        <v>182</v>
      </c>
      <c r="Z30" s="180">
        <f t="shared" si="40"/>
        <v>0</v>
      </c>
      <c r="AA30" s="145"/>
      <c r="AB30" s="145"/>
      <c r="AC30" s="145"/>
      <c r="AD30" s="145"/>
      <c r="AE30" s="145"/>
      <c r="AF30" s="145"/>
      <c r="AG30" s="145"/>
      <c r="AH30" s="145"/>
      <c r="AI30" s="145"/>
      <c r="AJ30" s="145"/>
    </row>
    <row r="31" spans="1:36" x14ac:dyDescent="0.25">
      <c r="A31" s="190" t="s">
        <v>191</v>
      </c>
      <c r="B31" s="190"/>
      <c r="C31" s="191">
        <f>C29-C30</f>
        <v>-88000</v>
      </c>
      <c r="D31" s="191">
        <f t="shared" ref="D31:S31" si="47">D29-D30</f>
        <v>-88000</v>
      </c>
      <c r="E31" s="191">
        <f t="shared" si="47"/>
        <v>0</v>
      </c>
      <c r="F31" s="191">
        <f t="shared" si="47"/>
        <v>0</v>
      </c>
      <c r="G31" s="191">
        <f t="shared" si="47"/>
        <v>0</v>
      </c>
      <c r="H31" s="191">
        <f t="shared" si="47"/>
        <v>0</v>
      </c>
      <c r="I31" s="191">
        <f t="shared" si="47"/>
        <v>0</v>
      </c>
      <c r="J31" s="191">
        <f t="shared" si="47"/>
        <v>0</v>
      </c>
      <c r="K31" s="191">
        <f t="shared" si="47"/>
        <v>0</v>
      </c>
      <c r="L31" s="191">
        <f t="shared" si="47"/>
        <v>0</v>
      </c>
      <c r="M31" s="191">
        <f t="shared" si="47"/>
        <v>0</v>
      </c>
      <c r="N31" s="191">
        <f t="shared" si="47"/>
        <v>0</v>
      </c>
      <c r="O31" s="191">
        <f t="shared" si="47"/>
        <v>0</v>
      </c>
      <c r="P31" s="191">
        <f t="shared" si="47"/>
        <v>0</v>
      </c>
      <c r="Q31" s="191">
        <f t="shared" si="47"/>
        <v>0</v>
      </c>
      <c r="R31" s="191">
        <f>R29-R30</f>
        <v>0</v>
      </c>
      <c r="S31" s="191">
        <f t="shared" si="47"/>
        <v>0</v>
      </c>
      <c r="T31" s="145"/>
      <c r="U31" s="145"/>
      <c r="V31" s="145"/>
      <c r="W31" s="145"/>
      <c r="X31" s="145"/>
      <c r="Y31" s="168" t="s">
        <v>183</v>
      </c>
      <c r="Z31" s="180">
        <f t="shared" si="40"/>
        <v>0</v>
      </c>
      <c r="AA31" s="145"/>
      <c r="AB31" s="145"/>
      <c r="AC31" s="145"/>
      <c r="AD31" s="145"/>
      <c r="AE31" s="145"/>
      <c r="AF31" s="145"/>
      <c r="AG31" s="145"/>
      <c r="AH31" s="145"/>
      <c r="AI31" s="145"/>
      <c r="AJ31" s="145"/>
    </row>
    <row r="32" spans="1:36" ht="18.75" x14ac:dyDescent="0.3">
      <c r="A32" s="192"/>
      <c r="B32" s="192"/>
      <c r="C32" s="192"/>
      <c r="D32" s="192"/>
      <c r="E32" s="192"/>
      <c r="F32" s="192"/>
      <c r="G32" s="192"/>
      <c r="H32" s="192"/>
      <c r="I32" s="192"/>
      <c r="J32" s="192"/>
      <c r="K32" s="192"/>
      <c r="L32" s="192"/>
      <c r="M32" s="192"/>
      <c r="N32" s="192"/>
      <c r="O32" s="192"/>
      <c r="P32" s="192"/>
      <c r="Q32" s="192"/>
      <c r="R32" s="192"/>
      <c r="S32" s="192"/>
      <c r="T32" s="145"/>
      <c r="U32" s="145"/>
      <c r="V32" s="145"/>
      <c r="W32" s="145"/>
      <c r="X32" s="145"/>
      <c r="Y32" s="145"/>
      <c r="Z32" s="193">
        <f>SUM(Z23:Z31)</f>
        <v>1</v>
      </c>
      <c r="AA32" s="145"/>
      <c r="AB32" s="145"/>
      <c r="AC32" s="145"/>
      <c r="AD32" s="145"/>
      <c r="AE32" s="145"/>
      <c r="AF32" s="145"/>
      <c r="AG32" s="145"/>
      <c r="AH32" s="145"/>
      <c r="AI32" s="145"/>
      <c r="AJ32" s="145"/>
    </row>
    <row r="33" spans="1:36" ht="18.75" x14ac:dyDescent="0.3">
      <c r="A33" s="194"/>
      <c r="B33" s="194"/>
      <c r="C33" s="195" t="s">
        <v>192</v>
      </c>
      <c r="D33" s="196">
        <v>19</v>
      </c>
      <c r="E33" s="196"/>
      <c r="F33" s="196"/>
      <c r="G33" s="196"/>
      <c r="H33" s="196"/>
      <c r="I33" s="196"/>
      <c r="J33" s="196"/>
      <c r="K33" s="196"/>
      <c r="L33" s="196"/>
      <c r="M33" s="196"/>
      <c r="N33" s="196"/>
      <c r="O33" s="196"/>
      <c r="P33" s="196"/>
      <c r="Q33" s="196"/>
      <c r="R33" s="196"/>
      <c r="S33" s="196"/>
      <c r="T33" s="46"/>
      <c r="U33" s="46"/>
      <c r="V33" s="46"/>
      <c r="W33" s="46"/>
      <c r="X33" s="46"/>
      <c r="Y33" s="46"/>
      <c r="Z33" s="197"/>
      <c r="AA33" s="46"/>
      <c r="AB33" s="46"/>
      <c r="AC33" s="46"/>
      <c r="AD33" s="46"/>
      <c r="AE33" s="46"/>
      <c r="AF33" s="46"/>
      <c r="AG33" s="46"/>
      <c r="AH33" s="46"/>
      <c r="AI33" s="46"/>
      <c r="AJ33" s="46"/>
    </row>
    <row r="34" spans="1:36" ht="18.75" x14ac:dyDescent="0.3">
      <c r="A34" s="141"/>
      <c r="B34" s="198" t="s">
        <v>193</v>
      </c>
      <c r="C34" s="199" t="s">
        <v>75</v>
      </c>
      <c r="D34" s="196">
        <v>19270</v>
      </c>
      <c r="E34" s="196"/>
      <c r="F34" s="196"/>
      <c r="G34" s="196"/>
      <c r="H34" s="196"/>
      <c r="I34" s="196"/>
      <c r="J34" s="196"/>
      <c r="K34" s="196"/>
      <c r="L34" s="196"/>
      <c r="M34" s="196"/>
      <c r="N34" s="196"/>
      <c r="O34" s="196"/>
      <c r="P34" s="196"/>
      <c r="Q34" s="196"/>
      <c r="R34" s="196"/>
      <c r="S34" s="196"/>
      <c r="T34" s="145"/>
      <c r="U34" s="145"/>
      <c r="V34" s="145"/>
      <c r="W34" s="145"/>
      <c r="X34" s="145"/>
      <c r="Y34" s="200">
        <f>C23</f>
        <v>1613476</v>
      </c>
      <c r="Z34" s="201"/>
      <c r="AA34" s="145"/>
      <c r="AB34" s="145"/>
      <c r="AC34" s="145"/>
      <c r="AD34" s="145"/>
      <c r="AE34" s="145"/>
      <c r="AF34" s="145"/>
      <c r="AG34" s="145"/>
      <c r="AH34" s="145"/>
      <c r="AI34" s="145"/>
      <c r="AJ34" s="145"/>
    </row>
    <row r="35" spans="1:36" x14ac:dyDescent="0.25">
      <c r="A35" s="141"/>
      <c r="B35" s="198"/>
      <c r="C35" s="199" t="s">
        <v>194</v>
      </c>
      <c r="D35" s="196">
        <v>7790</v>
      </c>
      <c r="E35" s="196"/>
      <c r="F35" s="196"/>
      <c r="G35" s="196"/>
      <c r="H35" s="196"/>
      <c r="I35" s="196"/>
      <c r="J35" s="196"/>
      <c r="K35" s="196"/>
      <c r="L35" s="196"/>
      <c r="M35" s="196"/>
      <c r="N35" s="196"/>
      <c r="O35" s="196"/>
      <c r="P35" s="196"/>
      <c r="Q35" s="196"/>
      <c r="R35" s="196"/>
      <c r="S35" s="196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</row>
    <row r="36" spans="1:36" x14ac:dyDescent="0.25">
      <c r="A36" s="141"/>
      <c r="B36" s="198"/>
      <c r="C36" s="199" t="s">
        <v>195</v>
      </c>
      <c r="D36" s="196">
        <v>14830</v>
      </c>
      <c r="E36" s="196"/>
      <c r="F36" s="196"/>
      <c r="G36" s="196"/>
      <c r="H36" s="196"/>
      <c r="I36" s="196"/>
      <c r="J36" s="196"/>
      <c r="K36" s="196"/>
      <c r="L36" s="196"/>
      <c r="M36" s="196"/>
      <c r="N36" s="196"/>
      <c r="O36" s="196"/>
      <c r="P36" s="196"/>
      <c r="Q36" s="196"/>
      <c r="R36" s="196"/>
      <c r="S36" s="196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</row>
    <row r="37" spans="1:36" x14ac:dyDescent="0.25">
      <c r="A37" s="141"/>
      <c r="B37" s="198"/>
      <c r="C37" s="199" t="s">
        <v>196</v>
      </c>
      <c r="D37" s="196">
        <v>5250</v>
      </c>
      <c r="E37" s="196"/>
      <c r="F37" s="196"/>
      <c r="G37" s="196"/>
      <c r="H37" s="196"/>
      <c r="I37" s="196"/>
      <c r="J37" s="196"/>
      <c r="K37" s="196"/>
      <c r="L37" s="196"/>
      <c r="M37" s="196"/>
      <c r="N37" s="196"/>
      <c r="O37" s="196"/>
      <c r="P37" s="196"/>
      <c r="Q37" s="196"/>
      <c r="R37" s="196"/>
      <c r="S37" s="196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</row>
    <row r="38" spans="1:36" x14ac:dyDescent="0.25">
      <c r="A38" s="141"/>
      <c r="B38" s="198"/>
      <c r="C38" s="199" t="s">
        <v>197</v>
      </c>
      <c r="D38" s="202" t="s">
        <v>203</v>
      </c>
      <c r="E38" s="202"/>
      <c r="F38" s="202"/>
      <c r="G38" s="202"/>
      <c r="H38" s="202"/>
      <c r="I38" s="202"/>
      <c r="J38" s="202"/>
      <c r="K38" s="202"/>
      <c r="L38" s="202"/>
      <c r="M38" s="202"/>
      <c r="N38" s="202"/>
      <c r="O38" s="202"/>
      <c r="P38" s="202"/>
      <c r="Q38" s="202"/>
      <c r="R38" s="202"/>
      <c r="S38" s="20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</row>
    <row r="39" spans="1:36" x14ac:dyDescent="0.25">
      <c r="A39" s="141"/>
      <c r="B39" s="198"/>
      <c r="C39" s="199" t="s">
        <v>198</v>
      </c>
      <c r="D39" s="203">
        <v>5.25</v>
      </c>
      <c r="E39" s="203"/>
      <c r="F39" s="203"/>
      <c r="G39" s="203"/>
      <c r="H39" s="203"/>
      <c r="I39" s="203"/>
      <c r="J39" s="203"/>
      <c r="K39" s="203"/>
      <c r="L39" s="203"/>
      <c r="M39" s="203"/>
      <c r="N39" s="203"/>
      <c r="O39" s="203"/>
      <c r="P39" s="203"/>
      <c r="Q39" s="203"/>
      <c r="R39" s="203"/>
      <c r="S39" s="203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</row>
    <row r="40" spans="1:36" x14ac:dyDescent="0.25">
      <c r="A40" s="116"/>
      <c r="B40" s="198"/>
      <c r="C40" s="199" t="s">
        <v>199</v>
      </c>
      <c r="D40" s="203">
        <v>4.75</v>
      </c>
      <c r="E40" s="203"/>
      <c r="F40" s="203"/>
      <c r="G40" s="203"/>
      <c r="H40" s="203"/>
      <c r="I40" s="203"/>
      <c r="J40" s="203"/>
      <c r="K40" s="203"/>
      <c r="L40" s="203"/>
      <c r="M40" s="203"/>
      <c r="N40" s="203"/>
      <c r="O40" s="203"/>
      <c r="P40" s="203"/>
      <c r="Q40" s="203"/>
      <c r="R40" s="203"/>
      <c r="S40" s="203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</row>
    <row r="41" spans="1:36" x14ac:dyDescent="0.25">
      <c r="A41" s="116"/>
      <c r="B41" s="198"/>
      <c r="C41" s="199" t="s">
        <v>200</v>
      </c>
      <c r="D41" s="203">
        <v>2.25</v>
      </c>
      <c r="E41" s="203"/>
      <c r="F41" s="203"/>
      <c r="G41" s="203"/>
      <c r="H41" s="203"/>
      <c r="I41" s="203"/>
      <c r="J41" s="203"/>
      <c r="K41" s="203"/>
      <c r="L41" s="203"/>
      <c r="M41" s="203"/>
      <c r="N41" s="203"/>
      <c r="O41" s="203"/>
      <c r="P41" s="203"/>
      <c r="Q41" s="203"/>
      <c r="R41" s="203"/>
      <c r="S41" s="203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</row>
    <row r="42" spans="1:36" x14ac:dyDescent="0.25">
      <c r="A42" s="116"/>
      <c r="B42" s="116"/>
      <c r="C42" s="204" t="s">
        <v>201</v>
      </c>
      <c r="D42" s="205">
        <f>D34/D35</f>
        <v>2.4736842105263159</v>
      </c>
      <c r="E42" s="205" t="e">
        <f>E34/E35</f>
        <v>#DIV/0!</v>
      </c>
      <c r="F42" s="205" t="e">
        <f t="shared" ref="F42:S42" si="48">F34/F35</f>
        <v>#DIV/0!</v>
      </c>
      <c r="G42" s="205" t="e">
        <f t="shared" si="48"/>
        <v>#DIV/0!</v>
      </c>
      <c r="H42" s="205" t="e">
        <f t="shared" si="48"/>
        <v>#DIV/0!</v>
      </c>
      <c r="I42" s="205" t="e">
        <f t="shared" si="48"/>
        <v>#DIV/0!</v>
      </c>
      <c r="J42" s="205" t="e">
        <f t="shared" si="48"/>
        <v>#DIV/0!</v>
      </c>
      <c r="K42" s="205" t="e">
        <f t="shared" si="48"/>
        <v>#DIV/0!</v>
      </c>
      <c r="L42" s="205" t="e">
        <f t="shared" si="48"/>
        <v>#DIV/0!</v>
      </c>
      <c r="M42" s="205" t="e">
        <f t="shared" si="48"/>
        <v>#DIV/0!</v>
      </c>
      <c r="N42" s="205" t="e">
        <f t="shared" si="48"/>
        <v>#DIV/0!</v>
      </c>
      <c r="O42" s="205" t="e">
        <f t="shared" si="48"/>
        <v>#DIV/0!</v>
      </c>
      <c r="P42" s="205" t="e">
        <f t="shared" si="48"/>
        <v>#DIV/0!</v>
      </c>
      <c r="Q42" s="205" t="e">
        <f t="shared" si="48"/>
        <v>#DIV/0!</v>
      </c>
      <c r="R42" s="205" t="e">
        <f t="shared" si="48"/>
        <v>#DIV/0!</v>
      </c>
      <c r="S42" s="205" t="e">
        <f t="shared" si="48"/>
        <v>#DIV/0!</v>
      </c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</row>
    <row r="43" spans="1:36" x14ac:dyDescent="0.25">
      <c r="A43" s="116"/>
      <c r="B43" s="116"/>
      <c r="C43" s="116"/>
      <c r="D43" s="2"/>
      <c r="E43" s="117"/>
      <c r="F43" s="133"/>
      <c r="G43" s="206"/>
      <c r="H43" s="206"/>
      <c r="I43" s="206"/>
      <c r="J43" s="206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</row>
    <row r="44" spans="1:36" x14ac:dyDescent="0.25">
      <c r="A44" s="116"/>
      <c r="B44" s="116"/>
      <c r="C44" s="116"/>
      <c r="D44" s="117"/>
      <c r="E44" s="207"/>
      <c r="F44" s="207"/>
      <c r="G44" s="207"/>
      <c r="H44" s="207"/>
      <c r="I44" s="207"/>
      <c r="J44" s="207"/>
      <c r="K44" s="207"/>
      <c r="L44" s="207"/>
      <c r="M44" s="207"/>
      <c r="N44" s="207"/>
      <c r="O44" s="207"/>
      <c r="P44" s="207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</row>
    <row r="45" spans="1:36" x14ac:dyDescent="0.25">
      <c r="A45" s="116"/>
      <c r="B45" s="116"/>
      <c r="C45" s="116"/>
      <c r="D45" s="208"/>
      <c r="F45" s="133"/>
      <c r="G45" s="133"/>
      <c r="H45" s="133"/>
      <c r="I45" s="133"/>
      <c r="J45" s="133"/>
      <c r="K45" s="133"/>
      <c r="L45" s="133"/>
      <c r="M45" s="133"/>
      <c r="N45" s="133"/>
      <c r="O45" s="133"/>
      <c r="P45" s="133"/>
      <c r="Q45" s="133"/>
      <c r="R45" s="133"/>
      <c r="S45" s="133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</row>
    <row r="46" spans="1:36" x14ac:dyDescent="0.25">
      <c r="A46" s="116"/>
      <c r="B46" s="116"/>
      <c r="C46" s="116"/>
      <c r="D46" s="117"/>
      <c r="F46" s="133"/>
      <c r="G46" s="209"/>
      <c r="H46" s="209"/>
      <c r="I46" s="209"/>
      <c r="J46" s="209"/>
      <c r="K46" s="2"/>
      <c r="L46" s="2"/>
      <c r="M46" s="210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</row>
    <row r="47" spans="1:36" x14ac:dyDescent="0.25">
      <c r="A47" s="116"/>
      <c r="B47" s="116"/>
      <c r="C47" s="116"/>
      <c r="D47" s="117"/>
      <c r="E47" s="211"/>
      <c r="F47" s="133"/>
      <c r="G47" s="212"/>
      <c r="H47" s="212"/>
      <c r="I47" s="212"/>
      <c r="J47" s="21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</row>
    <row r="48" spans="1:36" x14ac:dyDescent="0.25">
      <c r="A48" s="116"/>
      <c r="B48" s="116"/>
      <c r="C48" s="116"/>
      <c r="D48" s="117"/>
      <c r="F48" s="133"/>
      <c r="G48" s="209"/>
      <c r="H48" s="209"/>
      <c r="I48" s="209"/>
      <c r="J48" s="209"/>
      <c r="K48" s="2"/>
      <c r="L48" s="2"/>
      <c r="M48" s="2"/>
      <c r="N48" s="2"/>
      <c r="O48" s="2"/>
      <c r="P48" s="210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</row>
    <row r="49" spans="1:36" x14ac:dyDescent="0.25">
      <c r="A49" s="116"/>
      <c r="B49" s="116"/>
      <c r="C49" s="116"/>
      <c r="D49" s="117"/>
      <c r="F49" s="133"/>
      <c r="G49" s="209"/>
      <c r="H49" s="209"/>
      <c r="I49" s="209"/>
      <c r="J49" s="213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</row>
    <row r="50" spans="1:36" x14ac:dyDescent="0.25">
      <c r="A50" s="116"/>
      <c r="B50" s="116"/>
      <c r="C50" s="116"/>
      <c r="D50" s="117"/>
      <c r="F50" s="133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</row>
    <row r="51" spans="1:36" x14ac:dyDescent="0.25">
      <c r="A51" s="116"/>
      <c r="B51" s="116"/>
      <c r="C51" s="116"/>
      <c r="D51" s="117"/>
      <c r="F51" s="133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</row>
    <row r="52" spans="1:36" x14ac:dyDescent="0.25">
      <c r="A52" s="116"/>
      <c r="B52" s="116"/>
      <c r="C52" s="116"/>
      <c r="D52" s="117"/>
      <c r="F52" s="133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</row>
    <row r="53" spans="1:36" x14ac:dyDescent="0.25">
      <c r="A53" s="116"/>
      <c r="B53" s="116"/>
      <c r="C53" s="116"/>
      <c r="D53" s="117"/>
      <c r="F53" s="133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</row>
    <row r="54" spans="1:36" x14ac:dyDescent="0.25">
      <c r="A54" s="116"/>
      <c r="B54" s="116"/>
      <c r="C54" s="116"/>
      <c r="D54" s="117"/>
      <c r="F54" s="133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</row>
    <row r="55" spans="1:36" x14ac:dyDescent="0.25">
      <c r="A55" s="116"/>
      <c r="B55" s="116"/>
      <c r="C55" s="116"/>
      <c r="D55" s="117"/>
      <c r="F55" s="133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</row>
    <row r="56" spans="1:36" x14ac:dyDescent="0.25">
      <c r="A56" s="116"/>
      <c r="B56" s="116"/>
      <c r="C56" s="116"/>
      <c r="D56" s="117"/>
      <c r="F56" s="133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</row>
    <row r="57" spans="1:36" x14ac:dyDescent="0.25">
      <c r="A57" s="116"/>
      <c r="B57" s="116"/>
      <c r="C57" s="116"/>
      <c r="D57" s="117"/>
      <c r="F57" s="133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</row>
    <row r="58" spans="1:36" x14ac:dyDescent="0.25">
      <c r="A58" s="116"/>
      <c r="B58" s="116"/>
      <c r="C58" s="116"/>
      <c r="D58" s="117"/>
      <c r="F58" s="133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</row>
    <row r="59" spans="1:36" x14ac:dyDescent="0.25">
      <c r="A59" s="116"/>
      <c r="B59" s="116"/>
      <c r="C59" s="116"/>
      <c r="D59" s="117"/>
      <c r="F59" s="133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</row>
    <row r="60" spans="1:36" x14ac:dyDescent="0.25">
      <c r="A60" s="116"/>
      <c r="B60" s="116"/>
      <c r="C60" s="116"/>
      <c r="D60" s="117"/>
      <c r="F60" s="133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</row>
    <row r="61" spans="1:36" x14ac:dyDescent="0.25">
      <c r="A61" s="116"/>
      <c r="B61" s="116"/>
      <c r="C61" s="116"/>
      <c r="D61" s="117"/>
      <c r="F61" s="133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</row>
    <row r="62" spans="1:36" x14ac:dyDescent="0.25">
      <c r="A62" s="116"/>
      <c r="B62" s="116"/>
      <c r="C62" s="116"/>
      <c r="D62" s="117"/>
      <c r="F62" s="133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</row>
    <row r="63" spans="1:36" x14ac:dyDescent="0.25">
      <c r="A63" s="116"/>
      <c r="B63" s="116"/>
      <c r="C63" s="116"/>
      <c r="D63" s="117"/>
      <c r="F63" s="133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</row>
    <row r="64" spans="1:36" x14ac:dyDescent="0.25">
      <c r="A64" s="116"/>
      <c r="B64" s="116"/>
      <c r="C64" s="116"/>
      <c r="D64" s="117"/>
      <c r="F64" s="133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</row>
    <row r="65" spans="1:36" x14ac:dyDescent="0.25">
      <c r="A65" s="116"/>
      <c r="B65" s="116"/>
      <c r="C65" s="116"/>
      <c r="D65" s="117"/>
      <c r="F65" s="133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</row>
    <row r="66" spans="1:36" x14ac:dyDescent="0.25">
      <c r="A66" s="116"/>
      <c r="B66" s="116"/>
      <c r="C66" s="116"/>
      <c r="D66" s="117"/>
      <c r="F66" s="133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</row>
    <row r="67" spans="1:36" x14ac:dyDescent="0.25">
      <c r="A67" s="116"/>
      <c r="B67" s="116"/>
      <c r="C67" s="116"/>
      <c r="D67" s="117"/>
      <c r="F67" s="133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</row>
    <row r="68" spans="1:36" x14ac:dyDescent="0.25">
      <c r="A68" s="116"/>
      <c r="B68" s="116"/>
      <c r="C68" s="116"/>
      <c r="D68" s="117"/>
      <c r="F68" s="133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</row>
    <row r="69" spans="1:36" x14ac:dyDescent="0.25">
      <c r="A69" s="116"/>
      <c r="B69" s="116"/>
      <c r="C69" s="116"/>
      <c r="D69" s="117"/>
      <c r="F69" s="133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</row>
    <row r="70" spans="1:36" x14ac:dyDescent="0.25">
      <c r="A70" s="116"/>
      <c r="B70" s="116"/>
      <c r="C70" s="116"/>
      <c r="D70" s="117"/>
      <c r="F70" s="133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</row>
    <row r="71" spans="1:36" x14ac:dyDescent="0.25">
      <c r="A71" s="116"/>
      <c r="B71" s="116"/>
      <c r="C71" s="116"/>
      <c r="D71" s="117"/>
      <c r="F71" s="133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</row>
    <row r="72" spans="1:36" x14ac:dyDescent="0.25">
      <c r="A72" s="116"/>
      <c r="B72" s="116"/>
      <c r="C72" s="116"/>
      <c r="D72" s="117"/>
      <c r="F72" s="133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</row>
    <row r="73" spans="1:36" x14ac:dyDescent="0.25">
      <c r="A73" s="116"/>
      <c r="B73" s="116"/>
      <c r="C73" s="116"/>
      <c r="D73" s="117"/>
      <c r="F73" s="133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</row>
    <row r="74" spans="1:36" x14ac:dyDescent="0.25">
      <c r="A74" s="116"/>
      <c r="B74" s="116"/>
      <c r="C74" s="116"/>
      <c r="D74" s="117"/>
      <c r="F74" s="133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</row>
    <row r="75" spans="1:36" x14ac:dyDescent="0.25">
      <c r="A75" s="116"/>
      <c r="B75" s="116"/>
      <c r="C75" s="116"/>
      <c r="D75" s="117"/>
      <c r="F75" s="133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</row>
    <row r="76" spans="1:36" x14ac:dyDescent="0.25">
      <c r="A76" s="116"/>
      <c r="B76" s="116"/>
      <c r="C76" s="116"/>
      <c r="D76" s="117"/>
      <c r="F76" s="133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</row>
    <row r="77" spans="1:36" x14ac:dyDescent="0.25">
      <c r="A77" s="116"/>
      <c r="B77" s="116"/>
      <c r="C77" s="116"/>
      <c r="D77" s="117"/>
      <c r="F77" s="133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</row>
    <row r="78" spans="1:36" x14ac:dyDescent="0.25">
      <c r="A78" s="116"/>
      <c r="B78" s="116"/>
      <c r="C78" s="116"/>
      <c r="D78" s="117"/>
      <c r="F78" s="133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</row>
    <row r="79" spans="1:36" x14ac:dyDescent="0.25">
      <c r="A79" s="116"/>
      <c r="B79" s="116"/>
      <c r="C79" s="116"/>
      <c r="D79" s="117"/>
      <c r="F79" s="133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</row>
    <row r="80" spans="1:36" x14ac:dyDescent="0.25">
      <c r="A80" s="116"/>
      <c r="B80" s="116"/>
      <c r="C80" s="116"/>
      <c r="D80" s="117"/>
      <c r="F80" s="133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</row>
    <row r="81" spans="1:36" x14ac:dyDescent="0.25">
      <c r="A81" s="116"/>
      <c r="B81" s="116"/>
      <c r="C81" s="116"/>
      <c r="D81" s="117"/>
      <c r="F81" s="133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</row>
    <row r="82" spans="1:36" x14ac:dyDescent="0.25">
      <c r="A82" s="116"/>
      <c r="B82" s="116"/>
      <c r="C82" s="116"/>
      <c r="D82" s="117"/>
      <c r="F82" s="133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</row>
    <row r="83" spans="1:36" x14ac:dyDescent="0.25">
      <c r="A83" s="116"/>
      <c r="B83" s="116"/>
      <c r="C83" s="116"/>
      <c r="D83" s="117"/>
      <c r="F83" s="133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</row>
    <row r="84" spans="1:36" x14ac:dyDescent="0.25">
      <c r="A84" s="116"/>
      <c r="B84" s="116"/>
      <c r="C84" s="116"/>
      <c r="D84" s="117"/>
      <c r="F84" s="133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</row>
    <row r="85" spans="1:36" x14ac:dyDescent="0.25">
      <c r="A85" s="116"/>
      <c r="B85" s="116"/>
      <c r="C85" s="116"/>
      <c r="D85" s="117"/>
      <c r="F85" s="133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</row>
  </sheetData>
  <mergeCells count="15">
    <mergeCell ref="G46:J46"/>
    <mergeCell ref="G48:J48"/>
    <mergeCell ref="G49:I49"/>
    <mergeCell ref="A30:B30"/>
    <mergeCell ref="A31:B31"/>
    <mergeCell ref="B34:B41"/>
    <mergeCell ref="Y34:Z34"/>
    <mergeCell ref="G43:H43"/>
    <mergeCell ref="I43:J43"/>
    <mergeCell ref="A11:A12"/>
    <mergeCell ref="Y14:Z14"/>
    <mergeCell ref="A26:B26"/>
    <mergeCell ref="A27:B27"/>
    <mergeCell ref="A28:B28"/>
    <mergeCell ref="A29:B29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8EF96-B3DF-4FA1-9105-AFFC7FC8B181}">
  <sheetPr>
    <tabColor rgb="FF0070C0"/>
  </sheetPr>
  <dimension ref="A1:AI33"/>
  <sheetViews>
    <sheetView workbookViewId="0">
      <selection activeCell="J17" sqref="J17"/>
    </sheetView>
  </sheetViews>
  <sheetFormatPr baseColWidth="10" defaultRowHeight="15" x14ac:dyDescent="0.25"/>
  <cols>
    <col min="1" max="1" width="17.85546875" bestFit="1" customWidth="1"/>
    <col min="2" max="2" width="5.28515625" bestFit="1" customWidth="1"/>
    <col min="3" max="3" width="4.7109375" bestFit="1" customWidth="1"/>
    <col min="4" max="5" width="4.5703125" bestFit="1" customWidth="1"/>
    <col min="6" max="6" width="16.28515625" bestFit="1" customWidth="1"/>
    <col min="7" max="7" width="5.5703125" customWidth="1"/>
    <col min="8" max="8" width="5.85546875" bestFit="1" customWidth="1"/>
    <col min="9" max="9" width="4.28515625" bestFit="1" customWidth="1"/>
    <col min="10" max="10" width="5.85546875" bestFit="1" customWidth="1"/>
    <col min="11" max="11" width="4.5703125" bestFit="1" customWidth="1"/>
    <col min="12" max="12" width="5.85546875" bestFit="1" customWidth="1"/>
    <col min="13" max="13" width="4.140625" bestFit="1" customWidth="1"/>
    <col min="14" max="14" width="5.85546875" bestFit="1" customWidth="1"/>
    <col min="15" max="15" width="4.42578125" bestFit="1" customWidth="1"/>
    <col min="16" max="16" width="5.85546875" bestFit="1" customWidth="1"/>
    <col min="17" max="17" width="5.140625" bestFit="1" customWidth="1"/>
    <col min="18" max="18" width="5.85546875" bestFit="1" customWidth="1"/>
    <col min="19" max="19" width="3.28515625" bestFit="1" customWidth="1"/>
    <col min="20" max="20" width="5" bestFit="1" customWidth="1"/>
    <col min="21" max="21" width="5.140625" bestFit="1" customWidth="1"/>
    <col min="22" max="22" width="5.85546875" bestFit="1" customWidth="1"/>
    <col min="23" max="23" width="4.5703125" bestFit="1" customWidth="1"/>
    <col min="24" max="24" width="4.28515625" bestFit="1" customWidth="1"/>
    <col min="25" max="25" width="3.28515625" bestFit="1" customWidth="1"/>
    <col min="26" max="26" width="6.140625" bestFit="1" customWidth="1"/>
    <col min="27" max="27" width="4.7109375" bestFit="1" customWidth="1"/>
    <col min="28" max="28" width="4.85546875" bestFit="1" customWidth="1"/>
    <col min="29" max="29" width="6.85546875" bestFit="1" customWidth="1"/>
    <col min="30" max="30" width="4.85546875" bestFit="1" customWidth="1"/>
    <col min="31" max="31" width="4.42578125" bestFit="1" customWidth="1"/>
    <col min="32" max="32" width="5.140625" bestFit="1" customWidth="1"/>
    <col min="33" max="33" width="3.28515625" bestFit="1" customWidth="1"/>
    <col min="34" max="34" width="21.7109375" bestFit="1" customWidth="1"/>
    <col min="35" max="35" width="6.85546875" bestFit="1" customWidth="1"/>
  </cols>
  <sheetData>
    <row r="1" spans="1:35" x14ac:dyDescent="0.25">
      <c r="A1" s="273" t="s">
        <v>204</v>
      </c>
      <c r="B1" s="273"/>
      <c r="C1" s="273"/>
      <c r="D1" s="273"/>
      <c r="E1" s="273"/>
      <c r="F1" s="274"/>
      <c r="G1" s="274"/>
      <c r="H1" s="274"/>
      <c r="I1" s="274"/>
      <c r="J1" s="274"/>
      <c r="K1" s="274"/>
      <c r="L1" s="274"/>
      <c r="M1" s="274"/>
      <c r="N1" s="274"/>
      <c r="O1" s="274"/>
      <c r="P1" s="274"/>
      <c r="Q1" s="274"/>
      <c r="R1" s="274"/>
      <c r="S1" s="274"/>
      <c r="T1" s="274"/>
      <c r="U1" s="275"/>
      <c r="V1" s="275"/>
      <c r="W1" s="275"/>
      <c r="X1" s="275"/>
      <c r="Y1" s="275"/>
      <c r="Z1" s="275"/>
      <c r="AA1" s="275"/>
      <c r="AB1" s="275"/>
      <c r="AC1" s="275"/>
      <c r="AD1" s="275"/>
      <c r="AE1" s="275"/>
      <c r="AF1" s="275"/>
      <c r="AG1" s="275"/>
      <c r="AH1" s="276"/>
      <c r="AI1" s="214"/>
    </row>
    <row r="2" spans="1:35" x14ac:dyDescent="0.25">
      <c r="A2" s="277" t="s">
        <v>60</v>
      </c>
      <c r="B2" s="277" t="s">
        <v>205</v>
      </c>
      <c r="C2" s="277" t="s">
        <v>62</v>
      </c>
      <c r="D2" s="278" t="s">
        <v>206</v>
      </c>
      <c r="E2" s="277" t="s">
        <v>207</v>
      </c>
      <c r="F2" s="277" t="s">
        <v>208</v>
      </c>
      <c r="G2" s="277" t="s">
        <v>102</v>
      </c>
      <c r="H2" s="277" t="s">
        <v>129</v>
      </c>
      <c r="I2" s="277" t="s">
        <v>105</v>
      </c>
      <c r="J2" s="277" t="s">
        <v>129</v>
      </c>
      <c r="K2" s="277" t="s">
        <v>209</v>
      </c>
      <c r="L2" s="277" t="s">
        <v>129</v>
      </c>
      <c r="M2" s="277" t="s">
        <v>141</v>
      </c>
      <c r="N2" s="277" t="s">
        <v>129</v>
      </c>
      <c r="O2" s="277" t="s">
        <v>210</v>
      </c>
      <c r="P2" s="277" t="s">
        <v>129</v>
      </c>
      <c r="Q2" s="277" t="s">
        <v>211</v>
      </c>
      <c r="R2" s="277" t="s">
        <v>129</v>
      </c>
      <c r="S2" s="277" t="s">
        <v>212</v>
      </c>
      <c r="T2" s="277" t="s">
        <v>129</v>
      </c>
      <c r="U2" s="278" t="s">
        <v>213</v>
      </c>
      <c r="V2" s="278" t="s">
        <v>64</v>
      </c>
      <c r="W2" s="278" t="s">
        <v>119</v>
      </c>
      <c r="X2" s="278" t="s">
        <v>214</v>
      </c>
      <c r="Y2" s="278" t="s">
        <v>212</v>
      </c>
      <c r="Z2" s="278" t="s">
        <v>215</v>
      </c>
      <c r="AA2" s="278" t="s">
        <v>102</v>
      </c>
      <c r="AB2" s="278" t="s">
        <v>105</v>
      </c>
      <c r="AC2" s="278" t="s">
        <v>209</v>
      </c>
      <c r="AD2" s="278" t="s">
        <v>141</v>
      </c>
      <c r="AE2" s="278" t="s">
        <v>210</v>
      </c>
      <c r="AF2" s="278" t="s">
        <v>211</v>
      </c>
      <c r="AG2" s="278" t="s">
        <v>212</v>
      </c>
      <c r="AH2" s="279" t="s">
        <v>216</v>
      </c>
      <c r="AI2" s="215"/>
    </row>
    <row r="3" spans="1:35" x14ac:dyDescent="0.25">
      <c r="A3" s="216" t="s">
        <v>217</v>
      </c>
      <c r="B3" s="216"/>
      <c r="C3" s="216"/>
      <c r="D3" s="216"/>
      <c r="E3" s="216"/>
      <c r="F3" s="217"/>
      <c r="G3" s="217"/>
      <c r="H3" s="217"/>
      <c r="I3" s="217"/>
      <c r="J3" s="217"/>
      <c r="K3" s="217"/>
      <c r="L3" s="217"/>
      <c r="M3" s="217"/>
      <c r="N3" s="217"/>
      <c r="O3" s="217"/>
      <c r="P3" s="217"/>
      <c r="Q3" s="217"/>
      <c r="R3" s="217"/>
      <c r="S3" s="217"/>
      <c r="T3" s="217"/>
      <c r="U3" s="218"/>
      <c r="V3" s="218"/>
      <c r="W3" s="218"/>
      <c r="X3" s="218"/>
      <c r="Y3" s="218"/>
      <c r="Z3" s="218"/>
      <c r="AA3" s="218"/>
      <c r="AB3" s="218"/>
      <c r="AC3" s="218"/>
      <c r="AD3" s="218"/>
      <c r="AE3" s="218"/>
      <c r="AF3" s="218"/>
      <c r="AG3" s="218"/>
      <c r="AH3" s="219"/>
      <c r="AI3" s="214"/>
    </row>
    <row r="4" spans="1:35" x14ac:dyDescent="0.25">
      <c r="A4" s="220" t="s">
        <v>218</v>
      </c>
      <c r="B4" s="220"/>
      <c r="C4" s="220"/>
      <c r="D4" s="220"/>
      <c r="E4" s="220"/>
      <c r="F4" s="221"/>
      <c r="G4" s="221" t="s">
        <v>219</v>
      </c>
      <c r="H4" s="221"/>
      <c r="I4" s="221"/>
      <c r="J4" s="221"/>
      <c r="K4" s="221"/>
      <c r="L4" s="221"/>
      <c r="M4" s="221"/>
      <c r="N4" s="221"/>
      <c r="O4" s="221"/>
      <c r="P4" s="221"/>
      <c r="Q4" s="221"/>
      <c r="R4" s="221"/>
      <c r="S4" s="221"/>
      <c r="T4" s="221"/>
      <c r="U4" s="222"/>
      <c r="V4" s="222"/>
      <c r="W4" s="222"/>
      <c r="X4" s="222"/>
      <c r="Y4" s="222"/>
      <c r="Z4" s="222"/>
      <c r="AA4" s="222"/>
      <c r="AB4" s="222"/>
      <c r="AC4" s="222"/>
      <c r="AD4" s="222"/>
      <c r="AE4" s="222"/>
      <c r="AF4" s="222"/>
      <c r="AG4" s="222"/>
      <c r="AH4" s="223"/>
      <c r="AI4" s="224"/>
    </row>
    <row r="5" spans="1:35" x14ac:dyDescent="0.25">
      <c r="A5" s="225" t="s">
        <v>60</v>
      </c>
      <c r="B5" s="225" t="s">
        <v>205</v>
      </c>
      <c r="C5" s="225" t="s">
        <v>62</v>
      </c>
      <c r="D5" s="226" t="s">
        <v>206</v>
      </c>
      <c r="E5" s="225" t="s">
        <v>207</v>
      </c>
      <c r="F5" s="225" t="str">
        <f>F2</f>
        <v>Fecha</v>
      </c>
      <c r="G5" s="225" t="s">
        <v>102</v>
      </c>
      <c r="H5" s="225" t="s">
        <v>129</v>
      </c>
      <c r="I5" s="227" t="s">
        <v>105</v>
      </c>
      <c r="J5" s="227" t="s">
        <v>129</v>
      </c>
      <c r="K5" s="225" t="s">
        <v>209</v>
      </c>
      <c r="L5" s="225" t="s">
        <v>129</v>
      </c>
      <c r="M5" s="227" t="s">
        <v>141</v>
      </c>
      <c r="N5" s="227" t="s">
        <v>129</v>
      </c>
      <c r="O5" s="225" t="s">
        <v>210</v>
      </c>
      <c r="P5" s="225" t="s">
        <v>129</v>
      </c>
      <c r="Q5" s="227" t="s">
        <v>211</v>
      </c>
      <c r="R5" s="227" t="s">
        <v>129</v>
      </c>
      <c r="S5" s="225" t="s">
        <v>212</v>
      </c>
      <c r="T5" s="225" t="s">
        <v>129</v>
      </c>
      <c r="U5" s="226" t="str">
        <f>U2</f>
        <v>u20</v>
      </c>
      <c r="V5" s="226" t="str">
        <f>V2</f>
        <v>Lid</v>
      </c>
      <c r="W5" s="226" t="str">
        <f>W2</f>
        <v>POT</v>
      </c>
      <c r="X5" s="226" t="str">
        <f>X2</f>
        <v>Cap</v>
      </c>
      <c r="Y5" s="226" t="s">
        <v>212</v>
      </c>
      <c r="Z5" s="226" t="str">
        <f>Z2</f>
        <v>HTMS</v>
      </c>
      <c r="AA5" s="226" t="s">
        <v>102</v>
      </c>
      <c r="AB5" s="226" t="s">
        <v>105</v>
      </c>
      <c r="AC5" s="226" t="s">
        <v>209</v>
      </c>
      <c r="AD5" s="226" t="s">
        <v>141</v>
      </c>
      <c r="AE5" s="226" t="s">
        <v>210</v>
      </c>
      <c r="AF5" s="226" t="s">
        <v>211</v>
      </c>
      <c r="AG5" s="226" t="s">
        <v>212</v>
      </c>
      <c r="AH5" s="228" t="s">
        <v>216</v>
      </c>
      <c r="AI5" s="215"/>
    </row>
    <row r="6" spans="1:35" x14ac:dyDescent="0.25">
      <c r="A6" s="242" t="s">
        <v>222</v>
      </c>
      <c r="B6" s="242"/>
      <c r="C6" s="242"/>
      <c r="D6" s="242"/>
      <c r="E6" s="242"/>
      <c r="F6" s="243"/>
      <c r="G6" s="243"/>
      <c r="H6" s="243"/>
      <c r="I6" s="243"/>
      <c r="J6" s="243"/>
      <c r="K6" s="243"/>
      <c r="L6" s="243"/>
      <c r="M6" s="243"/>
      <c r="N6" s="243"/>
      <c r="O6" s="243"/>
      <c r="P6" s="243"/>
      <c r="Q6" s="243"/>
      <c r="R6" s="243"/>
      <c r="S6" s="243"/>
      <c r="T6" s="243"/>
      <c r="U6" s="244"/>
      <c r="V6" s="244"/>
      <c r="W6" s="244"/>
      <c r="X6" s="244"/>
      <c r="Y6" s="244"/>
      <c r="Z6" s="244"/>
      <c r="AA6" s="244"/>
      <c r="AB6" s="244"/>
      <c r="AC6" s="244"/>
      <c r="AD6" s="244"/>
      <c r="AE6" s="244"/>
      <c r="AF6" s="244"/>
      <c r="AG6" s="244"/>
      <c r="AH6" s="245"/>
      <c r="AI6" s="214"/>
    </row>
    <row r="7" spans="1:35" x14ac:dyDescent="0.25">
      <c r="A7" s="246" t="s">
        <v>218</v>
      </c>
      <c r="B7" s="246"/>
      <c r="C7" s="246"/>
      <c r="D7" s="246"/>
      <c r="E7" s="246"/>
      <c r="F7" s="247"/>
      <c r="G7" s="247" t="s">
        <v>219</v>
      </c>
      <c r="H7" s="247"/>
      <c r="I7" s="247"/>
      <c r="J7" s="247"/>
      <c r="K7" s="247"/>
      <c r="L7" s="247"/>
      <c r="M7" s="247"/>
      <c r="N7" s="247"/>
      <c r="O7" s="247"/>
      <c r="P7" s="247"/>
      <c r="Q7" s="247"/>
      <c r="R7" s="247"/>
      <c r="S7" s="247"/>
      <c r="T7" s="247"/>
      <c r="U7" s="248"/>
      <c r="V7" s="248"/>
      <c r="W7" s="248"/>
      <c r="X7" s="248"/>
      <c r="Y7" s="248"/>
      <c r="Z7" s="248"/>
      <c r="AA7" s="248"/>
      <c r="AB7" s="248"/>
      <c r="AC7" s="248"/>
      <c r="AD7" s="248"/>
      <c r="AE7" s="248"/>
      <c r="AF7" s="248"/>
      <c r="AG7" s="248"/>
      <c r="AH7" s="249"/>
      <c r="AI7" s="224"/>
    </row>
    <row r="8" spans="1:35" x14ac:dyDescent="0.25">
      <c r="A8" s="250" t="s">
        <v>60</v>
      </c>
      <c r="B8" s="250" t="s">
        <v>205</v>
      </c>
      <c r="C8" s="250" t="s">
        <v>62</v>
      </c>
      <c r="D8" s="251" t="s">
        <v>206</v>
      </c>
      <c r="E8" s="250" t="s">
        <v>207</v>
      </c>
      <c r="F8" s="250" t="str">
        <f>F5</f>
        <v>Fecha</v>
      </c>
      <c r="G8" s="250" t="s">
        <v>102</v>
      </c>
      <c r="H8" s="250" t="s">
        <v>129</v>
      </c>
      <c r="I8" s="252" t="s">
        <v>105</v>
      </c>
      <c r="J8" s="252" t="s">
        <v>129</v>
      </c>
      <c r="K8" s="250" t="s">
        <v>209</v>
      </c>
      <c r="L8" s="250" t="s">
        <v>129</v>
      </c>
      <c r="M8" s="252" t="s">
        <v>141</v>
      </c>
      <c r="N8" s="252" t="s">
        <v>129</v>
      </c>
      <c r="O8" s="250" t="s">
        <v>210</v>
      </c>
      <c r="P8" s="250" t="s">
        <v>129</v>
      </c>
      <c r="Q8" s="252" t="s">
        <v>211</v>
      </c>
      <c r="R8" s="252" t="s">
        <v>129</v>
      </c>
      <c r="S8" s="250" t="s">
        <v>212</v>
      </c>
      <c r="T8" s="250" t="s">
        <v>129</v>
      </c>
      <c r="U8" s="251" t="str">
        <f>U5</f>
        <v>u20</v>
      </c>
      <c r="V8" s="251" t="str">
        <f>V5</f>
        <v>Lid</v>
      </c>
      <c r="W8" s="251" t="str">
        <f>W5</f>
        <v>POT</v>
      </c>
      <c r="X8" s="251" t="str">
        <f>X5</f>
        <v>Cap</v>
      </c>
      <c r="Y8" s="251" t="s">
        <v>212</v>
      </c>
      <c r="Z8" s="251" t="str">
        <f>Z5</f>
        <v>HTMS</v>
      </c>
      <c r="AA8" s="251" t="s">
        <v>102</v>
      </c>
      <c r="AB8" s="251" t="s">
        <v>105</v>
      </c>
      <c r="AC8" s="251" t="s">
        <v>209</v>
      </c>
      <c r="AD8" s="251" t="s">
        <v>141</v>
      </c>
      <c r="AE8" s="251" t="s">
        <v>210</v>
      </c>
      <c r="AF8" s="251" t="s">
        <v>211</v>
      </c>
      <c r="AG8" s="251" t="s">
        <v>212</v>
      </c>
      <c r="AH8" s="253" t="str">
        <f>AH5</f>
        <v>Ca</v>
      </c>
      <c r="AI8" s="215"/>
    </row>
    <row r="9" spans="1:35" x14ac:dyDescent="0.25">
      <c r="A9" s="280" t="s">
        <v>223</v>
      </c>
      <c r="B9" s="280"/>
      <c r="C9" s="280"/>
      <c r="D9" s="280"/>
      <c r="E9" s="280"/>
      <c r="F9" s="281"/>
      <c r="G9" s="281"/>
      <c r="H9" s="281"/>
      <c r="I9" s="281"/>
      <c r="J9" s="281"/>
      <c r="K9" s="281"/>
      <c r="L9" s="281"/>
      <c r="M9" s="281"/>
      <c r="N9" s="281"/>
      <c r="O9" s="281"/>
      <c r="P9" s="281"/>
      <c r="Q9" s="281"/>
      <c r="R9" s="281"/>
      <c r="S9" s="281"/>
      <c r="T9" s="281"/>
      <c r="U9" s="282"/>
      <c r="V9" s="282"/>
      <c r="W9" s="282"/>
      <c r="X9" s="282"/>
      <c r="Y9" s="282"/>
      <c r="Z9" s="282"/>
      <c r="AA9" s="282"/>
      <c r="AB9" s="282"/>
      <c r="AC9" s="282"/>
      <c r="AD9" s="282"/>
      <c r="AE9" s="282"/>
      <c r="AF9" s="282"/>
      <c r="AG9" s="282"/>
      <c r="AH9" s="255"/>
      <c r="AI9" s="214"/>
    </row>
    <row r="10" spans="1:35" x14ac:dyDescent="0.25">
      <c r="A10" s="283" t="s">
        <v>218</v>
      </c>
      <c r="B10" s="283"/>
      <c r="C10" s="283"/>
      <c r="D10" s="283"/>
      <c r="E10" s="283"/>
      <c r="F10" s="284"/>
      <c r="G10" s="284" t="s">
        <v>219</v>
      </c>
      <c r="H10" s="284"/>
      <c r="I10" s="284"/>
      <c r="J10" s="284"/>
      <c r="K10" s="284"/>
      <c r="L10" s="284"/>
      <c r="M10" s="284"/>
      <c r="N10" s="284"/>
      <c r="O10" s="284"/>
      <c r="P10" s="284"/>
      <c r="Q10" s="284"/>
      <c r="R10" s="284"/>
      <c r="S10" s="284"/>
      <c r="T10" s="284"/>
      <c r="U10" s="285"/>
      <c r="V10" s="285"/>
      <c r="W10" s="285"/>
      <c r="X10" s="285"/>
      <c r="Y10" s="285"/>
      <c r="Z10" s="285"/>
      <c r="AA10" s="285"/>
      <c r="AB10" s="285"/>
      <c r="AC10" s="285"/>
      <c r="AD10" s="285"/>
      <c r="AE10" s="285"/>
      <c r="AF10" s="285"/>
      <c r="AG10" s="285"/>
      <c r="AH10" s="255"/>
      <c r="AI10" s="224"/>
    </row>
    <row r="11" spans="1:35" x14ac:dyDescent="0.25">
      <c r="A11" s="286" t="s">
        <v>60</v>
      </c>
      <c r="B11" s="286" t="s">
        <v>205</v>
      </c>
      <c r="C11" s="286" t="s">
        <v>62</v>
      </c>
      <c r="D11" s="287" t="s">
        <v>206</v>
      </c>
      <c r="E11" s="286" t="s">
        <v>207</v>
      </c>
      <c r="F11" s="286" t="str">
        <f>F8</f>
        <v>Fecha</v>
      </c>
      <c r="G11" s="286" t="s">
        <v>102</v>
      </c>
      <c r="H11" s="286" t="s">
        <v>129</v>
      </c>
      <c r="I11" s="286" t="s">
        <v>105</v>
      </c>
      <c r="J11" s="286" t="s">
        <v>129</v>
      </c>
      <c r="K11" s="286" t="s">
        <v>209</v>
      </c>
      <c r="L11" s="286" t="s">
        <v>129</v>
      </c>
      <c r="M11" s="286" t="s">
        <v>141</v>
      </c>
      <c r="N11" s="286" t="s">
        <v>129</v>
      </c>
      <c r="O11" s="286" t="s">
        <v>210</v>
      </c>
      <c r="P11" s="286" t="s">
        <v>129</v>
      </c>
      <c r="Q11" s="286" t="s">
        <v>211</v>
      </c>
      <c r="R11" s="286" t="s">
        <v>129</v>
      </c>
      <c r="S11" s="286" t="s">
        <v>212</v>
      </c>
      <c r="T11" s="286" t="s">
        <v>129</v>
      </c>
      <c r="U11" s="287" t="str">
        <f>U8</f>
        <v>u20</v>
      </c>
      <c r="V11" s="287" t="str">
        <f>V8</f>
        <v>Lid</v>
      </c>
      <c r="W11" s="287" t="str">
        <f>W8</f>
        <v>POT</v>
      </c>
      <c r="X11" s="287" t="str">
        <f>X8</f>
        <v>Cap</v>
      </c>
      <c r="Y11" s="287" t="s">
        <v>212</v>
      </c>
      <c r="Z11" s="287" t="str">
        <f>Z8</f>
        <v>HTMS</v>
      </c>
      <c r="AA11" s="287" t="s">
        <v>102</v>
      </c>
      <c r="AB11" s="287" t="s">
        <v>105</v>
      </c>
      <c r="AC11" s="287" t="s">
        <v>209</v>
      </c>
      <c r="AD11" s="287" t="s">
        <v>141</v>
      </c>
      <c r="AE11" s="287" t="s">
        <v>210</v>
      </c>
      <c r="AF11" s="287" t="s">
        <v>211</v>
      </c>
      <c r="AG11" s="287" t="s">
        <v>212</v>
      </c>
      <c r="AH11" s="255" t="str">
        <f>AH8</f>
        <v>Ca</v>
      </c>
      <c r="AI11" s="215"/>
    </row>
    <row r="12" spans="1:35" x14ac:dyDescent="0.25">
      <c r="A12" s="257"/>
      <c r="B12" s="230"/>
      <c r="C12" s="231"/>
      <c r="D12" s="241"/>
      <c r="E12" s="233"/>
      <c r="F12" s="234"/>
      <c r="G12" s="240"/>
      <c r="H12" s="240"/>
      <c r="I12" s="240"/>
      <c r="J12" s="240"/>
      <c r="K12" s="240"/>
      <c r="L12" s="240"/>
      <c r="M12" s="240"/>
      <c r="N12" s="240"/>
      <c r="O12" s="240"/>
      <c r="P12" s="240"/>
      <c r="Q12" s="240"/>
      <c r="R12" s="240"/>
      <c r="S12" s="240"/>
      <c r="T12" s="240"/>
      <c r="U12" s="288"/>
      <c r="V12" s="236"/>
      <c r="W12" s="236"/>
      <c r="X12" s="236"/>
      <c r="Y12" s="236"/>
      <c r="Z12" s="236"/>
      <c r="AA12" s="254"/>
      <c r="AB12" s="254"/>
      <c r="AC12" s="254"/>
      <c r="AD12" s="254"/>
      <c r="AE12" s="254"/>
      <c r="AF12" s="254"/>
      <c r="AG12" s="254"/>
      <c r="AH12" s="238"/>
      <c r="AI12" s="239"/>
    </row>
    <row r="13" spans="1:35" ht="15.75" x14ac:dyDescent="0.25">
      <c r="A13" s="229" t="s">
        <v>226</v>
      </c>
      <c r="B13" s="230">
        <v>15</v>
      </c>
      <c r="C13" s="231">
        <f ca="1">3+$A$30-$A$32</f>
        <v>3</v>
      </c>
      <c r="D13" s="241"/>
      <c r="E13" s="233">
        <f ca="1">F13-TODAY()</f>
        <v>221</v>
      </c>
      <c r="F13" s="234">
        <v>43858</v>
      </c>
      <c r="G13" s="235"/>
      <c r="H13" s="235"/>
      <c r="I13" s="235"/>
      <c r="J13" s="235"/>
      <c r="K13" s="235"/>
      <c r="L13" s="235"/>
      <c r="M13" s="235"/>
      <c r="N13" s="235"/>
      <c r="O13" s="235"/>
      <c r="P13" s="235"/>
      <c r="Q13" s="235"/>
      <c r="R13" s="235"/>
      <c r="S13" s="235"/>
      <c r="T13" s="235"/>
      <c r="U13" s="288" t="s">
        <v>221</v>
      </c>
      <c r="V13" s="236"/>
      <c r="W13" s="236">
        <f>COUNT(H13,J13,L13,N13,P13,R13,T13)</f>
        <v>0</v>
      </c>
      <c r="X13" s="236">
        <v>0</v>
      </c>
      <c r="Y13" s="236">
        <v>0</v>
      </c>
      <c r="Z13" s="236"/>
      <c r="AA13" s="237"/>
      <c r="AB13" s="237"/>
      <c r="AC13" s="237"/>
      <c r="AD13" s="237"/>
      <c r="AE13" s="237"/>
      <c r="AF13" s="237"/>
      <c r="AG13" s="237"/>
      <c r="AH13" s="238"/>
      <c r="AI13" s="239"/>
    </row>
    <row r="14" spans="1:35" x14ac:dyDescent="0.25">
      <c r="A14" s="229" t="s">
        <v>227</v>
      </c>
      <c r="B14" s="240">
        <v>15</v>
      </c>
      <c r="C14" s="231">
        <f ca="1">11+$A$30-$A$32</f>
        <v>11</v>
      </c>
      <c r="D14" s="241"/>
      <c r="E14" s="233">
        <f t="shared" ref="E14:E27" ca="1" si="0">F14-TODAY()</f>
        <v>213</v>
      </c>
      <c r="F14" s="234">
        <v>43850</v>
      </c>
      <c r="G14" s="240"/>
      <c r="H14" s="240"/>
      <c r="I14" s="240"/>
      <c r="J14" s="240"/>
      <c r="K14" s="240"/>
      <c r="L14" s="240"/>
      <c r="M14" s="240"/>
      <c r="N14" s="240"/>
      <c r="O14" s="240"/>
      <c r="P14" s="240"/>
      <c r="Q14" s="240"/>
      <c r="R14" s="240"/>
      <c r="S14" s="240"/>
      <c r="T14" s="240"/>
      <c r="U14" s="288" t="s">
        <v>229</v>
      </c>
      <c r="V14" s="236"/>
      <c r="W14" s="236">
        <f>COUNT(H14,J14,L14,N14,P14,R14,T14)</f>
        <v>0</v>
      </c>
      <c r="X14" s="236">
        <v>0</v>
      </c>
      <c r="Y14" s="236">
        <v>0</v>
      </c>
      <c r="Z14" s="236"/>
      <c r="AA14" s="254"/>
      <c r="AB14" s="254"/>
      <c r="AC14" s="254"/>
      <c r="AD14" s="254"/>
      <c r="AE14" s="254"/>
      <c r="AF14" s="254"/>
      <c r="AG14" s="254"/>
      <c r="AH14" s="238"/>
      <c r="AI14" s="239"/>
    </row>
    <row r="15" spans="1:35" x14ac:dyDescent="0.25">
      <c r="A15" s="229" t="s">
        <v>228</v>
      </c>
      <c r="B15" s="240">
        <v>15</v>
      </c>
      <c r="C15" s="231">
        <f ca="1">14+$A$30-$A$32</f>
        <v>14</v>
      </c>
      <c r="D15" s="241"/>
      <c r="E15" s="233">
        <f t="shared" ca="1" si="0"/>
        <v>210</v>
      </c>
      <c r="F15" s="234">
        <v>43847</v>
      </c>
      <c r="G15" s="240"/>
      <c r="H15" s="240"/>
      <c r="I15" s="240"/>
      <c r="J15" s="240"/>
      <c r="K15" s="240"/>
      <c r="L15" s="240"/>
      <c r="M15" s="240"/>
      <c r="N15" s="240"/>
      <c r="O15" s="240"/>
      <c r="P15" s="240"/>
      <c r="Q15" s="240"/>
      <c r="R15" s="240"/>
      <c r="S15" s="240"/>
      <c r="T15" s="240"/>
      <c r="U15" s="288" t="s">
        <v>230</v>
      </c>
      <c r="V15" s="236"/>
      <c r="W15" s="236">
        <f>COUNT(H15,J15,L15,N15,L26,R15,T15)</f>
        <v>0</v>
      </c>
      <c r="X15" s="236">
        <v>0</v>
      </c>
      <c r="Y15" s="236">
        <v>0</v>
      </c>
      <c r="Z15" s="236"/>
      <c r="AA15" s="237"/>
      <c r="AB15" s="237"/>
      <c r="AC15" s="237"/>
      <c r="AD15" s="237"/>
      <c r="AE15" s="237"/>
      <c r="AF15" s="237"/>
      <c r="AG15" s="237"/>
      <c r="AH15" s="238"/>
      <c r="AI15" s="239"/>
    </row>
    <row r="16" spans="1:35" x14ac:dyDescent="0.25">
      <c r="A16" s="229" t="s">
        <v>231</v>
      </c>
      <c r="B16" s="230">
        <v>15</v>
      </c>
      <c r="C16" s="231">
        <f ca="1">33+$A$30-$A$32</f>
        <v>33</v>
      </c>
      <c r="D16" s="232"/>
      <c r="E16" s="233">
        <f t="shared" ca="1" si="0"/>
        <v>191</v>
      </c>
      <c r="F16" s="234">
        <v>43828</v>
      </c>
      <c r="G16" s="240"/>
      <c r="H16" s="240"/>
      <c r="I16" s="240"/>
      <c r="J16" s="240"/>
      <c r="K16" s="240"/>
      <c r="L16" s="240"/>
      <c r="M16" s="240"/>
      <c r="N16" s="240"/>
      <c r="O16" s="240"/>
      <c r="P16" s="240"/>
      <c r="Q16" s="240"/>
      <c r="R16" s="240"/>
      <c r="S16" s="240"/>
      <c r="T16" s="240"/>
      <c r="U16" s="288" t="s">
        <v>220</v>
      </c>
      <c r="V16" s="236"/>
      <c r="W16" s="236">
        <f>COUNT(H16,J16,L16,N16,P16,R16,T16)</f>
        <v>0</v>
      </c>
      <c r="X16" s="236">
        <v>0</v>
      </c>
      <c r="Y16" s="236">
        <v>0</v>
      </c>
      <c r="Z16" s="236"/>
      <c r="AA16" s="237"/>
      <c r="AB16" s="237"/>
      <c r="AC16" s="237"/>
      <c r="AD16" s="237"/>
      <c r="AE16" s="237"/>
      <c r="AF16" s="237"/>
      <c r="AG16" s="237"/>
      <c r="AH16" s="238"/>
      <c r="AI16" s="239"/>
    </row>
    <row r="17" spans="1:35" x14ac:dyDescent="0.25">
      <c r="A17" s="229" t="s">
        <v>232</v>
      </c>
      <c r="B17" s="240">
        <v>15</v>
      </c>
      <c r="C17" s="231">
        <f ca="1">51+$A$30-$A$32</f>
        <v>51</v>
      </c>
      <c r="D17" s="241"/>
      <c r="E17" s="233">
        <f t="shared" ca="1" si="0"/>
        <v>173</v>
      </c>
      <c r="F17" s="234">
        <v>43810</v>
      </c>
      <c r="G17" s="240"/>
      <c r="H17" s="240"/>
      <c r="I17" s="240"/>
      <c r="J17" s="240"/>
      <c r="K17" s="240"/>
      <c r="L17" s="240"/>
      <c r="M17" s="240"/>
      <c r="N17" s="240"/>
      <c r="O17" s="240"/>
      <c r="P17" s="240"/>
      <c r="Q17" s="240"/>
      <c r="R17" s="240"/>
      <c r="S17" s="240"/>
      <c r="T17" s="240"/>
      <c r="U17" s="289" t="s">
        <v>220</v>
      </c>
      <c r="V17" s="236"/>
      <c r="W17" s="236">
        <f>COUNT(H17,J17,L17,N17,P17,R17,T17)</f>
        <v>0</v>
      </c>
      <c r="X17" s="236">
        <v>0</v>
      </c>
      <c r="Y17" s="236">
        <v>0</v>
      </c>
      <c r="Z17" s="236"/>
      <c r="AA17" s="237"/>
      <c r="AB17" s="237"/>
      <c r="AC17" s="237"/>
      <c r="AD17" s="237"/>
      <c r="AE17" s="237"/>
      <c r="AF17" s="237"/>
      <c r="AG17" s="237"/>
      <c r="AH17" s="238"/>
      <c r="AI17" s="239"/>
    </row>
    <row r="18" spans="1:35" x14ac:dyDescent="0.25">
      <c r="A18" s="257" t="s">
        <v>233</v>
      </c>
      <c r="B18" s="240">
        <v>15</v>
      </c>
      <c r="C18" s="231">
        <f ca="1">70+$A$30-$A$32</f>
        <v>70</v>
      </c>
      <c r="D18" s="232"/>
      <c r="E18" s="233">
        <f t="shared" ca="1" si="0"/>
        <v>154</v>
      </c>
      <c r="F18" s="234">
        <v>43791</v>
      </c>
      <c r="G18" s="240"/>
      <c r="H18" s="240"/>
      <c r="I18" s="240"/>
      <c r="J18" s="240"/>
      <c r="K18" s="240"/>
      <c r="L18" s="240"/>
      <c r="M18" s="240"/>
      <c r="N18" s="240"/>
      <c r="O18" s="240"/>
      <c r="P18" s="240"/>
      <c r="Q18" s="240"/>
      <c r="R18" s="240"/>
      <c r="S18" s="240"/>
      <c r="T18" s="240"/>
      <c r="U18" s="288" t="s">
        <v>238</v>
      </c>
      <c r="V18" s="236"/>
      <c r="W18" s="236">
        <f t="shared" ref="W18:W25" si="1">COUNT(H18,J18,L18,N18,P18,R18,T18)</f>
        <v>0</v>
      </c>
      <c r="X18" s="236">
        <v>0</v>
      </c>
      <c r="Y18" s="236">
        <v>0</v>
      </c>
      <c r="Z18" s="236"/>
      <c r="AA18" s="254"/>
      <c r="AB18" s="254"/>
      <c r="AC18" s="254"/>
      <c r="AD18" s="254"/>
      <c r="AE18" s="254"/>
      <c r="AF18" s="254"/>
      <c r="AG18" s="254"/>
      <c r="AH18" s="238"/>
      <c r="AI18" s="240"/>
    </row>
    <row r="19" spans="1:35" x14ac:dyDescent="0.25">
      <c r="A19" s="257" t="s">
        <v>234</v>
      </c>
      <c r="B19" s="240">
        <v>15</v>
      </c>
      <c r="C19" s="231">
        <f ca="1">76+$A$30-$A$32</f>
        <v>76</v>
      </c>
      <c r="D19" s="232"/>
      <c r="E19" s="233">
        <f t="shared" ca="1" si="0"/>
        <v>148</v>
      </c>
      <c r="F19" s="234">
        <v>43785</v>
      </c>
      <c r="G19" s="240"/>
      <c r="H19" s="240"/>
      <c r="I19" s="240"/>
      <c r="J19" s="240"/>
      <c r="K19" s="240"/>
      <c r="L19" s="240"/>
      <c r="M19" s="240"/>
      <c r="N19" s="240"/>
      <c r="O19" s="240"/>
      <c r="P19" s="240"/>
      <c r="Q19" s="240"/>
      <c r="R19" s="240"/>
      <c r="S19" s="240"/>
      <c r="T19" s="240"/>
      <c r="U19" s="289" t="s">
        <v>237</v>
      </c>
      <c r="V19" s="236"/>
      <c r="W19" s="236">
        <f>COUNT(H19,J19,L19,N19,P19,R19,T19)</f>
        <v>0</v>
      </c>
      <c r="X19" s="236">
        <v>0</v>
      </c>
      <c r="Y19" s="236">
        <v>0</v>
      </c>
      <c r="Z19" s="236"/>
      <c r="AA19" s="254"/>
      <c r="AB19" s="254"/>
      <c r="AC19" s="254"/>
      <c r="AD19" s="254"/>
      <c r="AE19" s="254"/>
      <c r="AF19" s="254"/>
      <c r="AG19" s="254"/>
      <c r="AH19" s="238"/>
      <c r="AI19" s="239"/>
    </row>
    <row r="20" spans="1:35" x14ac:dyDescent="0.25">
      <c r="A20" s="257" t="s">
        <v>235</v>
      </c>
      <c r="B20" s="240">
        <v>15</v>
      </c>
      <c r="C20" s="231">
        <f ca="1">96+$A$30-$A$32</f>
        <v>96</v>
      </c>
      <c r="D20" s="232"/>
      <c r="E20" s="233">
        <f t="shared" ca="1" si="0"/>
        <v>128</v>
      </c>
      <c r="F20" s="234">
        <v>43765</v>
      </c>
      <c r="G20" s="240"/>
      <c r="H20" s="240"/>
      <c r="I20" s="240"/>
      <c r="J20" s="240"/>
      <c r="K20" s="240"/>
      <c r="L20" s="240"/>
      <c r="M20" s="240"/>
      <c r="N20" s="240"/>
      <c r="O20" s="240"/>
      <c r="P20" s="240"/>
      <c r="Q20" s="240"/>
      <c r="R20" s="240"/>
      <c r="S20" s="240"/>
      <c r="T20" s="240"/>
      <c r="U20" s="289" t="s">
        <v>236</v>
      </c>
      <c r="V20" s="236"/>
      <c r="W20" s="236">
        <f>COUNT(H20,J20,L20,N20,P20,R20,T20)</f>
        <v>0</v>
      </c>
      <c r="X20" s="236">
        <v>0</v>
      </c>
      <c r="Y20" s="236">
        <v>0</v>
      </c>
      <c r="Z20" s="236"/>
      <c r="AA20" s="254"/>
      <c r="AB20" s="254"/>
      <c r="AC20" s="254"/>
      <c r="AD20" s="254"/>
      <c r="AE20" s="254"/>
      <c r="AF20" s="254"/>
      <c r="AG20" s="254"/>
      <c r="AH20" s="238"/>
      <c r="AI20" s="239"/>
    </row>
    <row r="21" spans="1:35" x14ac:dyDescent="0.25">
      <c r="A21" s="257" t="s">
        <v>239</v>
      </c>
      <c r="B21" s="230">
        <v>15</v>
      </c>
      <c r="C21" s="231">
        <f ca="1">111+$A$30-$A$32</f>
        <v>111</v>
      </c>
      <c r="D21" s="259"/>
      <c r="E21" s="233">
        <f t="shared" ca="1" si="0"/>
        <v>113</v>
      </c>
      <c r="F21" s="234">
        <v>43750</v>
      </c>
      <c r="G21" s="240"/>
      <c r="H21" s="240"/>
      <c r="I21" s="240"/>
      <c r="J21" s="240"/>
      <c r="K21" s="240"/>
      <c r="L21" s="240"/>
      <c r="M21" s="240"/>
      <c r="N21" s="240"/>
      <c r="O21" s="240"/>
      <c r="P21" s="240"/>
      <c r="Q21" s="240"/>
      <c r="R21" s="240"/>
      <c r="S21" s="240"/>
      <c r="T21" s="240"/>
      <c r="U21" s="288" t="s">
        <v>240</v>
      </c>
      <c r="V21" s="259"/>
      <c r="W21" s="236">
        <f t="shared" si="1"/>
        <v>0</v>
      </c>
      <c r="X21" s="236">
        <v>0</v>
      </c>
      <c r="Y21" s="236">
        <v>0</v>
      </c>
      <c r="Z21" s="236"/>
      <c r="AA21" s="260"/>
      <c r="AB21" s="260"/>
      <c r="AC21" s="260"/>
      <c r="AD21" s="260"/>
      <c r="AE21" s="260"/>
      <c r="AF21" s="260"/>
      <c r="AG21" s="260"/>
      <c r="AH21" s="238"/>
      <c r="AI21" s="239"/>
    </row>
    <row r="22" spans="1:35" x14ac:dyDescent="0.25">
      <c r="A22" s="257" t="s">
        <v>241</v>
      </c>
      <c r="B22" s="240">
        <v>16</v>
      </c>
      <c r="C22" s="231">
        <f ca="1">29+$A$30-$A$32</f>
        <v>29</v>
      </c>
      <c r="D22" s="241"/>
      <c r="E22" s="233">
        <f t="shared" ca="1" si="0"/>
        <v>112</v>
      </c>
      <c r="F22" s="234">
        <v>43749</v>
      </c>
      <c r="G22" s="240"/>
      <c r="H22" s="240"/>
      <c r="I22" s="240"/>
      <c r="J22" s="240"/>
      <c r="K22" s="240"/>
      <c r="L22" s="240"/>
      <c r="M22" s="240"/>
      <c r="N22" s="240"/>
      <c r="O22" s="240"/>
      <c r="P22" s="240"/>
      <c r="Q22" s="240"/>
      <c r="R22" s="240"/>
      <c r="S22" s="240"/>
      <c r="T22" s="240"/>
      <c r="U22" s="288" t="s">
        <v>220</v>
      </c>
      <c r="V22" s="236"/>
      <c r="W22" s="236">
        <f t="shared" si="1"/>
        <v>0</v>
      </c>
      <c r="X22" s="236">
        <v>0</v>
      </c>
      <c r="Y22" s="236">
        <v>0</v>
      </c>
      <c r="Z22" s="236"/>
      <c r="AA22" s="254"/>
      <c r="AB22" s="254"/>
      <c r="AC22" s="254"/>
      <c r="AD22" s="254"/>
      <c r="AE22" s="254"/>
      <c r="AF22" s="254"/>
      <c r="AG22" s="254"/>
      <c r="AH22" s="238"/>
      <c r="AI22" s="239"/>
    </row>
    <row r="23" spans="1:35" x14ac:dyDescent="0.25">
      <c r="A23" s="229" t="s">
        <v>242</v>
      </c>
      <c r="B23" s="230">
        <v>16</v>
      </c>
      <c r="C23" s="231">
        <f ca="1">40+$A$30-$A$32</f>
        <v>40</v>
      </c>
      <c r="D23" s="241"/>
      <c r="E23" s="233">
        <f t="shared" ca="1" si="0"/>
        <v>112</v>
      </c>
      <c r="F23" s="234">
        <v>43749</v>
      </c>
      <c r="G23" s="240"/>
      <c r="H23" s="240"/>
      <c r="I23" s="240"/>
      <c r="J23" s="240"/>
      <c r="K23" s="240"/>
      <c r="L23" s="240"/>
      <c r="M23" s="240"/>
      <c r="N23" s="240"/>
      <c r="O23" s="240"/>
      <c r="P23" s="240"/>
      <c r="Q23" s="240"/>
      <c r="R23" s="240"/>
      <c r="S23" s="240"/>
      <c r="T23" s="240"/>
      <c r="U23" s="288" t="s">
        <v>220</v>
      </c>
      <c r="V23" s="236"/>
      <c r="W23" s="236">
        <f t="shared" si="1"/>
        <v>0</v>
      </c>
      <c r="X23" s="236">
        <v>0</v>
      </c>
      <c r="Y23" s="236">
        <v>0</v>
      </c>
      <c r="Z23" s="236"/>
      <c r="AA23" s="254"/>
      <c r="AB23" s="254"/>
      <c r="AC23" s="254"/>
      <c r="AD23" s="254"/>
      <c r="AE23" s="254"/>
      <c r="AF23" s="254"/>
      <c r="AG23" s="254"/>
      <c r="AH23" s="238"/>
      <c r="AI23" s="240"/>
    </row>
    <row r="24" spans="1:35" x14ac:dyDescent="0.25">
      <c r="A24" s="229" t="s">
        <v>243</v>
      </c>
      <c r="B24" s="230">
        <v>16</v>
      </c>
      <c r="C24" s="231">
        <f ca="1">66+$A$30-$A$32</f>
        <v>66</v>
      </c>
      <c r="D24" s="241"/>
      <c r="E24" s="233">
        <f t="shared" ca="1" si="0"/>
        <v>112</v>
      </c>
      <c r="F24" s="234">
        <v>43749</v>
      </c>
      <c r="G24" s="240"/>
      <c r="H24" s="240"/>
      <c r="I24" s="240"/>
      <c r="J24" s="240"/>
      <c r="K24" s="240"/>
      <c r="L24" s="240"/>
      <c r="M24" s="240"/>
      <c r="N24" s="240"/>
      <c r="O24" s="240"/>
      <c r="P24" s="240"/>
      <c r="Q24" s="240"/>
      <c r="R24" s="240"/>
      <c r="S24" s="240"/>
      <c r="T24" s="240"/>
      <c r="U24" s="289" t="s">
        <v>220</v>
      </c>
      <c r="V24" s="236"/>
      <c r="W24" s="236">
        <f t="shared" si="1"/>
        <v>0</v>
      </c>
      <c r="X24" s="236">
        <v>0</v>
      </c>
      <c r="Y24" s="236">
        <v>0</v>
      </c>
      <c r="Z24" s="236"/>
      <c r="AA24" s="254"/>
      <c r="AB24" s="254"/>
      <c r="AC24" s="254"/>
      <c r="AD24" s="254"/>
      <c r="AE24" s="254"/>
      <c r="AF24" s="254"/>
      <c r="AG24" s="254"/>
      <c r="AH24" s="238"/>
      <c r="AI24" s="239"/>
    </row>
    <row r="25" spans="1:35" x14ac:dyDescent="0.25">
      <c r="A25" s="229" t="s">
        <v>244</v>
      </c>
      <c r="B25" s="230">
        <v>16</v>
      </c>
      <c r="C25" s="231">
        <f ca="1">67+$A$30-$A$32</f>
        <v>67</v>
      </c>
      <c r="D25" s="241"/>
      <c r="E25" s="233">
        <f t="shared" ca="1" si="0"/>
        <v>112</v>
      </c>
      <c r="F25" s="234">
        <v>43749</v>
      </c>
      <c r="G25" s="240"/>
      <c r="H25" s="240"/>
      <c r="I25" s="240"/>
      <c r="J25" s="240"/>
      <c r="K25" s="240"/>
      <c r="L25" s="240"/>
      <c r="M25" s="240"/>
      <c r="N25" s="240"/>
      <c r="O25" s="240"/>
      <c r="P25" s="240"/>
      <c r="Q25" s="240"/>
      <c r="R25" s="240"/>
      <c r="S25" s="240"/>
      <c r="T25" s="240"/>
      <c r="U25" s="288" t="s">
        <v>220</v>
      </c>
      <c r="V25" s="236"/>
      <c r="W25" s="236">
        <f t="shared" si="1"/>
        <v>0</v>
      </c>
      <c r="X25" s="236">
        <v>0</v>
      </c>
      <c r="Y25" s="236">
        <v>0</v>
      </c>
      <c r="Z25" s="236"/>
      <c r="AA25" s="254"/>
      <c r="AB25" s="254"/>
      <c r="AC25" s="254"/>
      <c r="AD25" s="254"/>
      <c r="AE25" s="254"/>
      <c r="AF25" s="254"/>
      <c r="AG25" s="254"/>
      <c r="AH25" s="238"/>
      <c r="AI25" s="240"/>
    </row>
    <row r="26" spans="1:35" x14ac:dyDescent="0.25">
      <c r="A26" s="261" t="s">
        <v>245</v>
      </c>
      <c r="B26" s="240">
        <v>16</v>
      </c>
      <c r="C26" s="231">
        <f ca="1">71+$A$30-$A$32</f>
        <v>71</v>
      </c>
      <c r="D26" s="232"/>
      <c r="E26" s="233">
        <f t="shared" ca="1" si="0"/>
        <v>112</v>
      </c>
      <c r="F26" s="234">
        <v>43749</v>
      </c>
      <c r="G26" s="240"/>
      <c r="H26" s="240"/>
      <c r="I26" s="240"/>
      <c r="J26" s="240"/>
      <c r="K26" s="240"/>
      <c r="L26" s="240"/>
      <c r="M26" s="240"/>
      <c r="N26" s="240"/>
      <c r="O26" s="240"/>
      <c r="P26" s="240"/>
      <c r="Q26" s="240"/>
      <c r="R26" s="240"/>
      <c r="S26" s="240"/>
      <c r="T26" s="240"/>
      <c r="U26" s="289" t="s">
        <v>220</v>
      </c>
      <c r="V26" s="236"/>
      <c r="W26" s="236">
        <f>COUNT(H26,J26,#REF!,N26,P26,R26,T26)</f>
        <v>0</v>
      </c>
      <c r="X26" s="236">
        <v>0</v>
      </c>
      <c r="Y26" s="236">
        <v>0</v>
      </c>
      <c r="Z26" s="236"/>
      <c r="AA26" s="254"/>
      <c r="AB26" s="254"/>
      <c r="AC26" s="254"/>
      <c r="AD26" s="254"/>
      <c r="AE26" s="254"/>
      <c r="AF26" s="254"/>
      <c r="AG26" s="254"/>
      <c r="AH26" s="238"/>
      <c r="AI26" s="239"/>
    </row>
    <row r="27" spans="1:35" x14ac:dyDescent="0.25">
      <c r="A27" s="257" t="s">
        <v>246</v>
      </c>
      <c r="B27" s="240">
        <v>16</v>
      </c>
      <c r="C27" s="231">
        <f ca="1">103+$A$30-$A$32</f>
        <v>103</v>
      </c>
      <c r="D27" s="232"/>
      <c r="E27" s="233">
        <f t="shared" ca="1" si="0"/>
        <v>112</v>
      </c>
      <c r="F27" s="234">
        <v>43749</v>
      </c>
      <c r="G27" s="240"/>
      <c r="H27" s="240"/>
      <c r="I27" s="240"/>
      <c r="J27" s="240"/>
      <c r="K27" s="240"/>
      <c r="L27" s="240"/>
      <c r="M27" s="240"/>
      <c r="N27" s="240"/>
      <c r="O27" s="240"/>
      <c r="P27" s="240"/>
      <c r="Q27" s="240"/>
      <c r="R27" s="240"/>
      <c r="S27" s="240"/>
      <c r="T27" s="240"/>
      <c r="U27" s="289" t="s">
        <v>220</v>
      </c>
      <c r="V27" s="236"/>
      <c r="W27" s="236">
        <f>COUNT(H27,J27,L27,N27,P27,R27,T27)</f>
        <v>0</v>
      </c>
      <c r="X27" s="236">
        <v>0</v>
      </c>
      <c r="Y27" s="236">
        <v>0</v>
      </c>
      <c r="Z27" s="236"/>
      <c r="AA27" s="254"/>
      <c r="AB27" s="254"/>
      <c r="AC27" s="254"/>
      <c r="AD27" s="254"/>
      <c r="AE27" s="254"/>
      <c r="AF27" s="254"/>
      <c r="AG27" s="254"/>
      <c r="AH27" s="238"/>
      <c r="AI27" s="239"/>
    </row>
    <row r="28" spans="1:35" x14ac:dyDescent="0.25">
      <c r="A28" s="240"/>
      <c r="B28" s="240"/>
      <c r="C28" s="258"/>
      <c r="D28" s="262"/>
      <c r="E28" s="240"/>
      <c r="F28" s="240"/>
      <c r="G28" s="240"/>
      <c r="H28" s="240"/>
      <c r="I28" s="240"/>
      <c r="J28" s="240"/>
      <c r="K28" s="240"/>
      <c r="L28" s="240"/>
      <c r="M28" s="240"/>
      <c r="N28" s="240"/>
      <c r="O28" s="240"/>
      <c r="P28" s="240"/>
      <c r="Q28" s="240"/>
      <c r="R28" s="240"/>
      <c r="S28" s="240"/>
      <c r="T28" s="240"/>
      <c r="U28" s="262"/>
      <c r="V28" s="262"/>
      <c r="W28" s="262"/>
      <c r="X28" s="262"/>
      <c r="Y28" s="262"/>
      <c r="Z28" s="262"/>
      <c r="AA28" s="262"/>
      <c r="AB28" s="262"/>
      <c r="AC28" s="262"/>
      <c r="AD28" s="262"/>
      <c r="AE28" s="262"/>
      <c r="AF28" s="262"/>
      <c r="AG28" s="262"/>
      <c r="AH28" s="263"/>
      <c r="AI28" s="240"/>
    </row>
    <row r="29" spans="1:35" x14ac:dyDescent="0.25">
      <c r="A29" s="264" t="s">
        <v>224</v>
      </c>
      <c r="B29" s="239"/>
      <c r="C29" s="239"/>
      <c r="D29" s="239"/>
      <c r="E29" s="256"/>
      <c r="F29" s="239"/>
      <c r="G29" s="239"/>
      <c r="H29" s="239"/>
      <c r="I29" s="239"/>
      <c r="J29" s="239"/>
      <c r="K29" s="239"/>
      <c r="L29" s="239"/>
      <c r="M29" s="239"/>
      <c r="N29" s="239"/>
      <c r="O29" s="239"/>
      <c r="P29" s="239"/>
      <c r="Q29" s="240"/>
      <c r="R29" s="240"/>
      <c r="S29" s="239"/>
      <c r="T29" s="239"/>
      <c r="U29" s="259"/>
      <c r="V29" s="259"/>
      <c r="W29" s="259"/>
      <c r="X29" s="259"/>
      <c r="Y29" s="259"/>
      <c r="Z29" s="259"/>
      <c r="AA29" s="259"/>
      <c r="AB29" s="259"/>
      <c r="AC29" s="259"/>
      <c r="AD29" s="259"/>
      <c r="AE29" s="259"/>
      <c r="AF29" s="259"/>
      <c r="AG29" s="259"/>
      <c r="AH29" s="265"/>
      <c r="AI29" s="239"/>
    </row>
    <row r="30" spans="1:35" x14ac:dyDescent="0.25">
      <c r="A30" s="266">
        <f ca="1">TODAY()</f>
        <v>43637</v>
      </c>
      <c r="B30" s="267"/>
      <c r="C30" s="239"/>
      <c r="D30" s="239"/>
      <c r="E30" s="256"/>
      <c r="F30" s="268" t="s">
        <v>225</v>
      </c>
      <c r="G30" s="259"/>
      <c r="H30" s="239"/>
      <c r="I30" s="239"/>
      <c r="J30" s="239"/>
      <c r="K30" s="239"/>
      <c r="L30" s="239"/>
      <c r="M30" s="239"/>
      <c r="N30" s="239"/>
      <c r="O30" s="239"/>
      <c r="P30" s="239"/>
      <c r="Q30" s="240"/>
      <c r="R30" s="240"/>
      <c r="S30" s="239"/>
      <c r="T30" s="239"/>
      <c r="U30" s="259"/>
      <c r="V30" s="259"/>
      <c r="W30" s="259"/>
      <c r="X30" s="259"/>
      <c r="Y30" s="259"/>
      <c r="Z30" s="259"/>
      <c r="AA30" s="259"/>
      <c r="AB30" s="259"/>
      <c r="AC30" s="259"/>
      <c r="AD30" s="259"/>
      <c r="AE30" s="259"/>
      <c r="AF30" s="259"/>
      <c r="AG30" s="259"/>
      <c r="AH30" s="269"/>
      <c r="AI30" s="239"/>
    </row>
    <row r="31" spans="1:35" x14ac:dyDescent="0.25">
      <c r="A31" s="270">
        <f ca="1">A32-A30</f>
        <v>0</v>
      </c>
      <c r="B31" s="240"/>
      <c r="C31" s="240"/>
      <c r="D31" s="240"/>
      <c r="E31" s="240"/>
      <c r="F31" s="239"/>
      <c r="G31" s="239"/>
      <c r="H31" s="239"/>
      <c r="I31" s="239"/>
      <c r="J31" s="239"/>
      <c r="K31" s="239"/>
      <c r="L31" s="239"/>
      <c r="M31" s="239"/>
      <c r="N31" s="239"/>
      <c r="O31" s="239"/>
      <c r="P31" s="239"/>
      <c r="Q31" s="240"/>
      <c r="R31" s="240"/>
      <c r="S31" s="239"/>
      <c r="T31" s="239"/>
      <c r="U31" s="259"/>
      <c r="V31" s="259"/>
      <c r="W31" s="259"/>
      <c r="X31" s="259"/>
      <c r="Y31" s="259"/>
      <c r="Z31" s="259"/>
      <c r="AA31" s="259"/>
      <c r="AB31" s="259"/>
      <c r="AC31" s="259"/>
      <c r="AD31" s="259"/>
      <c r="AE31" s="259"/>
      <c r="AF31" s="259"/>
      <c r="AG31" s="259"/>
      <c r="AH31" s="265"/>
      <c r="AI31" s="239"/>
    </row>
    <row r="32" spans="1:35" x14ac:dyDescent="0.25">
      <c r="A32" s="271">
        <v>43637</v>
      </c>
      <c r="B32" s="272"/>
      <c r="C32" s="272"/>
      <c r="D32" s="240"/>
      <c r="E32" s="240"/>
      <c r="F32" s="239"/>
      <c r="G32" s="239"/>
      <c r="H32" s="239"/>
      <c r="I32" s="239"/>
      <c r="J32" s="239"/>
      <c r="K32" s="239"/>
      <c r="L32" s="239"/>
      <c r="M32" s="239"/>
      <c r="N32" s="239"/>
      <c r="O32" s="239"/>
      <c r="P32" s="239"/>
      <c r="Q32" s="240"/>
      <c r="R32" s="240"/>
      <c r="S32" s="239"/>
      <c r="T32" s="239"/>
      <c r="U32" s="259"/>
      <c r="V32" s="259"/>
      <c r="W32" s="259"/>
      <c r="X32" s="259"/>
      <c r="Y32" s="259"/>
      <c r="Z32" s="259"/>
      <c r="AA32" s="259"/>
      <c r="AB32" s="259"/>
      <c r="AC32" s="259"/>
      <c r="AD32" s="259"/>
      <c r="AE32" s="259"/>
      <c r="AF32" s="259"/>
      <c r="AG32" s="259"/>
      <c r="AH32" s="265"/>
      <c r="AI32" s="239"/>
    </row>
    <row r="33" spans="1:35" x14ac:dyDescent="0.25">
      <c r="A33" s="240"/>
      <c r="B33" s="240"/>
      <c r="C33" s="240"/>
      <c r="D33" s="240"/>
      <c r="E33" s="240"/>
      <c r="F33" s="239"/>
      <c r="G33" s="239"/>
      <c r="H33" s="239"/>
      <c r="I33" s="239"/>
      <c r="J33" s="239"/>
      <c r="K33" s="239"/>
      <c r="L33" s="239"/>
      <c r="M33" s="239"/>
      <c r="N33" s="239"/>
      <c r="O33" s="239"/>
      <c r="P33" s="239"/>
      <c r="Q33" s="240"/>
      <c r="R33" s="240"/>
      <c r="S33" s="239"/>
      <c r="T33" s="239"/>
      <c r="U33" s="259"/>
      <c r="V33" s="259"/>
      <c r="W33" s="259"/>
      <c r="X33" s="259"/>
      <c r="Y33" s="259"/>
      <c r="Z33" s="259"/>
      <c r="AA33" s="259"/>
      <c r="AB33" s="259"/>
      <c r="AC33" s="259"/>
      <c r="AD33" s="259"/>
      <c r="AE33" s="259"/>
      <c r="AF33" s="259"/>
      <c r="AG33" s="259"/>
      <c r="AH33" s="265"/>
      <c r="AI33" s="239"/>
    </row>
  </sheetData>
  <mergeCells count="4">
    <mergeCell ref="A1:E1"/>
    <mergeCell ref="A3:E3"/>
    <mergeCell ref="A6:E6"/>
    <mergeCell ref="A9:E9"/>
  </mergeCells>
  <conditionalFormatting sqref="E12:E27">
    <cfRule type="cellIs" dxfId="4" priority="25" stopIfTrue="1" operator="between">
      <formula>0</formula>
      <formula>14</formula>
    </cfRule>
    <cfRule type="cellIs" dxfId="3" priority="26" stopIfTrue="1" operator="lessThan">
      <formula>0</formula>
    </cfRule>
    <cfRule type="cellIs" dxfId="2" priority="27" stopIfTrue="1" operator="greaterThan">
      <formula>14</formula>
    </cfRule>
  </conditionalFormatting>
  <conditionalFormatting sqref="W12:W27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-0.249977111117893"/>
  </sheetPr>
  <dimension ref="A1:AV45"/>
  <sheetViews>
    <sheetView workbookViewId="0">
      <selection activeCell="C16" sqref="C16"/>
    </sheetView>
  </sheetViews>
  <sheetFormatPr baseColWidth="10" defaultColWidth="9.140625" defaultRowHeight="15" x14ac:dyDescent="0.25"/>
  <cols>
    <col min="1" max="1" width="28.28515625" bestFit="1" customWidth="1"/>
    <col min="2" max="6" width="12.42578125" bestFit="1" customWidth="1"/>
    <col min="7" max="7" width="13.5703125" bestFit="1" customWidth="1"/>
    <col min="8" max="10" width="12.42578125" bestFit="1" customWidth="1"/>
    <col min="11" max="11" width="14.85546875" bestFit="1" customWidth="1"/>
    <col min="12" max="12" width="12" bestFit="1" customWidth="1"/>
    <col min="13" max="13" width="11.42578125" bestFit="1" customWidth="1"/>
    <col min="14" max="18" width="12" bestFit="1" customWidth="1"/>
    <col min="19" max="19" width="11.42578125" bestFit="1" customWidth="1"/>
    <col min="20" max="20" width="12" bestFit="1" customWidth="1"/>
    <col min="21" max="21" width="11.42578125" bestFit="1" customWidth="1"/>
    <col min="22" max="30" width="12.42578125" bestFit="1" customWidth="1"/>
    <col min="31" max="37" width="6.5703125" bestFit="1" customWidth="1"/>
  </cols>
  <sheetData>
    <row r="1" spans="1:48" ht="40.5" x14ac:dyDescent="0.25">
      <c r="M1" s="1" t="s">
        <v>0</v>
      </c>
      <c r="N1" s="1" t="s">
        <v>1</v>
      </c>
      <c r="O1" s="1" t="s">
        <v>2</v>
      </c>
      <c r="P1" s="1" t="s">
        <v>3</v>
      </c>
      <c r="Q1" s="1" t="s">
        <v>4</v>
      </c>
      <c r="R1" s="1" t="s">
        <v>5</v>
      </c>
      <c r="S1" s="1" t="s">
        <v>6</v>
      </c>
      <c r="T1" s="2"/>
      <c r="U1" s="1" t="s">
        <v>7</v>
      </c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</row>
    <row r="2" spans="1:48" x14ac:dyDescent="0.25">
      <c r="C2" s="3" t="s">
        <v>8</v>
      </c>
      <c r="D2" s="4" t="s">
        <v>9</v>
      </c>
      <c r="E2" s="4"/>
      <c r="F2" s="5" t="s">
        <v>10</v>
      </c>
      <c r="G2" s="5"/>
      <c r="H2" s="6" t="s">
        <v>11</v>
      </c>
      <c r="I2" s="6"/>
      <c r="K2" s="7"/>
      <c r="M2" s="8">
        <v>11</v>
      </c>
      <c r="N2" s="9">
        <v>14.98</v>
      </c>
      <c r="O2" s="9">
        <v>5.95</v>
      </c>
      <c r="P2" s="10">
        <f>U2*0.97</f>
        <v>5.3253000000000004</v>
      </c>
      <c r="Q2" s="9">
        <v>0.68</v>
      </c>
      <c r="R2" s="11">
        <v>27.09</v>
      </c>
      <c r="S2" s="2"/>
      <c r="T2" s="2"/>
      <c r="U2" s="9">
        <v>5.49</v>
      </c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</row>
    <row r="3" spans="1:48" ht="15.75" thickBot="1" x14ac:dyDescent="0.3">
      <c r="A3" s="12" t="s">
        <v>12</v>
      </c>
      <c r="B3" s="13">
        <f>B4+B5+B6+B7</f>
        <v>12000</v>
      </c>
      <c r="C3" s="14">
        <f>C4+C5+C6+C7</f>
        <v>12400</v>
      </c>
      <c r="D3" s="15" t="s">
        <v>13</v>
      </c>
      <c r="E3" s="15" t="s">
        <v>14</v>
      </c>
      <c r="F3" s="15" t="s">
        <v>13</v>
      </c>
      <c r="G3" s="15" t="s">
        <v>15</v>
      </c>
      <c r="H3" s="15" t="s">
        <v>13</v>
      </c>
      <c r="I3" s="16" t="s">
        <v>16</v>
      </c>
      <c r="J3" s="17" t="s">
        <v>17</v>
      </c>
      <c r="K3" s="15" t="s">
        <v>18</v>
      </c>
      <c r="M3" s="8">
        <v>10</v>
      </c>
      <c r="N3" s="18">
        <v>14.23</v>
      </c>
      <c r="O3" s="18">
        <v>5.59</v>
      </c>
      <c r="P3" s="10">
        <f t="shared" ref="P3:P12" si="0">U3*0.97</f>
        <v>4.9179000000000004</v>
      </c>
      <c r="Q3" s="18">
        <v>0.62</v>
      </c>
      <c r="R3" s="19">
        <v>25.52</v>
      </c>
      <c r="S3" s="2"/>
      <c r="T3" s="2"/>
      <c r="U3" s="18">
        <v>5.07</v>
      </c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</row>
    <row r="4" spans="1:48" x14ac:dyDescent="0.25">
      <c r="A4" s="12" t="s">
        <v>19</v>
      </c>
      <c r="B4" s="13">
        <v>8000</v>
      </c>
      <c r="C4" s="20">
        <v>8000</v>
      </c>
      <c r="D4" s="21">
        <v>45</v>
      </c>
      <c r="E4" s="22">
        <f>D4*(C4-B4)</f>
        <v>0</v>
      </c>
      <c r="F4" s="23">
        <v>0.5</v>
      </c>
      <c r="G4" s="22">
        <f>(C4-B4)*F4</f>
        <v>0</v>
      </c>
      <c r="H4" s="23">
        <v>7</v>
      </c>
      <c r="I4" s="24">
        <f>(C4-B4)*H4</f>
        <v>0</v>
      </c>
      <c r="J4" s="22">
        <f>H4*C4</f>
        <v>56000</v>
      </c>
      <c r="K4" s="15">
        <f>B4*F4</f>
        <v>4000</v>
      </c>
      <c r="L4" s="25">
        <f>5000*N13*F4</f>
        <v>1382.4289405684756</v>
      </c>
      <c r="M4" s="8">
        <v>9</v>
      </c>
      <c r="N4" s="9">
        <v>13.49</v>
      </c>
      <c r="O4" s="9">
        <v>5.24</v>
      </c>
      <c r="P4" s="10">
        <f t="shared" si="0"/>
        <v>4.5202</v>
      </c>
      <c r="Q4" s="9">
        <v>0.56999999999999995</v>
      </c>
      <c r="R4" s="11">
        <v>23.95</v>
      </c>
      <c r="S4" s="2"/>
      <c r="T4" s="2"/>
      <c r="U4" s="9">
        <v>4.66</v>
      </c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</row>
    <row r="5" spans="1:48" x14ac:dyDescent="0.25">
      <c r="A5" s="12" t="s">
        <v>20</v>
      </c>
      <c r="B5" s="13">
        <v>3000</v>
      </c>
      <c r="C5" s="26">
        <v>3000</v>
      </c>
      <c r="D5" s="27">
        <v>75</v>
      </c>
      <c r="E5" s="22">
        <f>D5*(C5-B5)</f>
        <v>0</v>
      </c>
      <c r="F5" s="28">
        <v>0.7</v>
      </c>
      <c r="G5" s="22">
        <f>(C5-B5)*F5</f>
        <v>0</v>
      </c>
      <c r="H5" s="28">
        <v>10</v>
      </c>
      <c r="I5" s="24">
        <f>(C5-B5)*H5</f>
        <v>0</v>
      </c>
      <c r="J5" s="22">
        <f>H5*C5</f>
        <v>30000</v>
      </c>
      <c r="K5" s="15">
        <f t="shared" ref="K5:K7" si="1">B5*F5</f>
        <v>2100</v>
      </c>
      <c r="L5" s="25">
        <f>5000*O13*F5</f>
        <v>768.73385012919903</v>
      </c>
      <c r="M5" s="8">
        <v>8</v>
      </c>
      <c r="N5" s="18">
        <v>12.74</v>
      </c>
      <c r="O5" s="18">
        <v>4.8899999999999997</v>
      </c>
      <c r="P5" s="10">
        <f t="shared" si="0"/>
        <v>4.1224999999999996</v>
      </c>
      <c r="Q5" s="18">
        <v>0.51</v>
      </c>
      <c r="R5" s="19">
        <v>22.39</v>
      </c>
      <c r="S5" s="2"/>
      <c r="T5" s="2"/>
      <c r="U5" s="18">
        <v>4.25</v>
      </c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</row>
    <row r="6" spans="1:48" x14ac:dyDescent="0.25">
      <c r="A6" s="12" t="s">
        <v>21</v>
      </c>
      <c r="B6" s="13">
        <v>1000</v>
      </c>
      <c r="C6" s="26">
        <v>1200</v>
      </c>
      <c r="D6" s="21">
        <v>90</v>
      </c>
      <c r="E6" s="22">
        <f>D6*(C6-B6)</f>
        <v>18000</v>
      </c>
      <c r="F6" s="23">
        <v>1</v>
      </c>
      <c r="G6" s="22">
        <f>(C6-B6)*F6</f>
        <v>200</v>
      </c>
      <c r="H6" s="23">
        <v>19</v>
      </c>
      <c r="I6" s="24">
        <f>(C6-B6)*H6</f>
        <v>3800</v>
      </c>
      <c r="J6" s="22">
        <f>H6*C6</f>
        <v>22800</v>
      </c>
      <c r="K6" s="15">
        <f t="shared" si="1"/>
        <v>1000</v>
      </c>
      <c r="L6" s="25">
        <f>5000*P13*F6</f>
        <v>982.89036544850512</v>
      </c>
      <c r="M6" s="8">
        <v>7</v>
      </c>
      <c r="N6" s="9">
        <v>12</v>
      </c>
      <c r="O6" s="9">
        <v>4.53</v>
      </c>
      <c r="P6" s="10">
        <f t="shared" si="0"/>
        <v>3.7247999999999997</v>
      </c>
      <c r="Q6" s="9">
        <v>0.46</v>
      </c>
      <c r="R6" s="11">
        <v>20.83</v>
      </c>
      <c r="S6" s="2"/>
      <c r="T6" s="2"/>
      <c r="U6" s="9">
        <v>3.84</v>
      </c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</row>
    <row r="7" spans="1:48" ht="15.75" thickBot="1" x14ac:dyDescent="0.3">
      <c r="A7" s="12" t="s">
        <v>22</v>
      </c>
      <c r="B7" s="13">
        <v>0</v>
      </c>
      <c r="C7" s="29">
        <v>200</v>
      </c>
      <c r="D7" s="27">
        <v>300</v>
      </c>
      <c r="E7" s="22">
        <f>D7*(C7-B7)</f>
        <v>60000</v>
      </c>
      <c r="F7" s="28">
        <v>2.5</v>
      </c>
      <c r="G7" s="22">
        <f>(C7-B7)*F7</f>
        <v>500</v>
      </c>
      <c r="H7" s="28">
        <v>35</v>
      </c>
      <c r="I7" s="24">
        <f>(C7-B7)*H7</f>
        <v>7000</v>
      </c>
      <c r="J7" s="22">
        <f>H7*C7</f>
        <v>7000</v>
      </c>
      <c r="K7" s="15">
        <f t="shared" si="1"/>
        <v>0</v>
      </c>
      <c r="L7" s="25">
        <f>5000*Q13*F7</f>
        <v>313.76891842008126</v>
      </c>
      <c r="M7" s="8">
        <v>6</v>
      </c>
      <c r="N7" s="18">
        <v>11.26</v>
      </c>
      <c r="O7" s="18">
        <v>4.17</v>
      </c>
      <c r="P7" s="10">
        <f t="shared" si="0"/>
        <v>3.3367999999999998</v>
      </c>
      <c r="Q7" s="18">
        <v>0.41</v>
      </c>
      <c r="R7" s="19">
        <v>19.27</v>
      </c>
      <c r="S7" s="2"/>
      <c r="T7" s="2"/>
      <c r="U7" s="18">
        <v>3.44</v>
      </c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</row>
    <row r="8" spans="1:48" x14ac:dyDescent="0.25">
      <c r="C8" s="30">
        <f>C4/$C$3</f>
        <v>0.64516129032258063</v>
      </c>
      <c r="J8" s="22">
        <f>J7+J6+J5+J4</f>
        <v>115800</v>
      </c>
      <c r="K8" s="15">
        <f>K7+K6+K5+K4</f>
        <v>7100</v>
      </c>
      <c r="L8" s="15">
        <f>L7+L6+L5+L4</f>
        <v>3447.8220745662611</v>
      </c>
      <c r="M8" s="8">
        <v>5</v>
      </c>
      <c r="N8" s="9">
        <v>10.52</v>
      </c>
      <c r="O8" s="9">
        <v>3.81</v>
      </c>
      <c r="P8" s="10">
        <f t="shared" si="0"/>
        <v>2.9390999999999998</v>
      </c>
      <c r="Q8" s="9">
        <v>0.35</v>
      </c>
      <c r="R8" s="11">
        <v>17.72</v>
      </c>
      <c r="S8" s="2"/>
      <c r="T8" s="2"/>
      <c r="U8" s="9">
        <v>3.03</v>
      </c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</row>
    <row r="9" spans="1:48" x14ac:dyDescent="0.25">
      <c r="C9" s="31">
        <f>C5/$C$3</f>
        <v>0.24193548387096775</v>
      </c>
      <c r="E9" s="32">
        <f>C4-B4</f>
        <v>0</v>
      </c>
      <c r="H9">
        <f>H10+H11+H12+H13</f>
        <v>71304</v>
      </c>
      <c r="M9" s="8">
        <v>4</v>
      </c>
      <c r="N9" s="18">
        <v>9.8000000000000007</v>
      </c>
      <c r="O9" s="18">
        <v>3.46</v>
      </c>
      <c r="P9" s="10">
        <f t="shared" si="0"/>
        <v>2.5510999999999999</v>
      </c>
      <c r="Q9" s="18">
        <v>0.3</v>
      </c>
      <c r="R9" s="19">
        <v>16.170000000000002</v>
      </c>
      <c r="S9" s="2"/>
      <c r="T9" s="2"/>
      <c r="U9" s="18">
        <v>2.63</v>
      </c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</row>
    <row r="10" spans="1:48" x14ac:dyDescent="0.25">
      <c r="B10" s="33">
        <f>B11/B13</f>
        <v>0.11363636363636363</v>
      </c>
      <c r="C10" s="31">
        <f>C6/$C$3</f>
        <v>9.6774193548387094E-2</v>
      </c>
      <c r="E10" s="32">
        <f>C5-B5</f>
        <v>0</v>
      </c>
      <c r="H10">
        <v>40146</v>
      </c>
      <c r="I10" s="56">
        <f>H10/$H$9</f>
        <v>0.56302591719959605</v>
      </c>
      <c r="M10" s="8">
        <v>3</v>
      </c>
      <c r="N10" s="9">
        <v>9.09</v>
      </c>
      <c r="O10" s="9">
        <v>3.1</v>
      </c>
      <c r="P10" s="10">
        <f t="shared" si="0"/>
        <v>2.1436999999999999</v>
      </c>
      <c r="Q10" s="9">
        <v>0.24</v>
      </c>
      <c r="R10" s="11">
        <v>14.63</v>
      </c>
      <c r="S10" s="2"/>
      <c r="T10" s="2"/>
      <c r="U10" s="9">
        <v>2.21</v>
      </c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</row>
    <row r="11" spans="1:48" x14ac:dyDescent="0.25">
      <c r="A11" s="34" t="s">
        <v>23</v>
      </c>
      <c r="B11" s="35">
        <v>10000</v>
      </c>
      <c r="C11" s="31">
        <f>C7/$C$3</f>
        <v>1.6129032258064516E-2</v>
      </c>
      <c r="E11" s="32">
        <f>C6-B6</f>
        <v>200</v>
      </c>
      <c r="H11">
        <v>15594</v>
      </c>
      <c r="I11" s="56">
        <f t="shared" ref="I11:I13" si="2">H11/$H$9</f>
        <v>0.21869740828004039</v>
      </c>
      <c r="M11" s="8">
        <v>2</v>
      </c>
      <c r="N11" s="18">
        <v>8.42</v>
      </c>
      <c r="O11" s="18">
        <v>2.73</v>
      </c>
      <c r="P11" s="10">
        <f t="shared" si="0"/>
        <v>1.7168999999999999</v>
      </c>
      <c r="Q11" s="18">
        <v>0.18</v>
      </c>
      <c r="R11" s="19">
        <v>13.09</v>
      </c>
      <c r="S11" s="2"/>
      <c r="T11" s="2"/>
      <c r="U11" s="18">
        <v>1.77</v>
      </c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</row>
    <row r="12" spans="1:48" ht="15.75" thickBot="1" x14ac:dyDescent="0.3">
      <c r="A12" s="34" t="s">
        <v>24</v>
      </c>
      <c r="B12" s="36">
        <f>E7+E6+E5+E4</f>
        <v>78000</v>
      </c>
      <c r="E12" s="32">
        <f>C7-B7</f>
        <v>200</v>
      </c>
      <c r="H12">
        <v>13868</v>
      </c>
      <c r="I12" s="56">
        <f t="shared" si="2"/>
        <v>0.19449119263996409</v>
      </c>
      <c r="M12" s="8">
        <v>1</v>
      </c>
      <c r="N12" s="9">
        <v>7.85</v>
      </c>
      <c r="O12" s="9">
        <v>2.34</v>
      </c>
      <c r="P12" s="10">
        <f t="shared" si="0"/>
        <v>1.1931</v>
      </c>
      <c r="Q12" s="9">
        <v>0.1</v>
      </c>
      <c r="R12" s="11">
        <v>11.53</v>
      </c>
      <c r="S12" s="2"/>
      <c r="T12" s="2"/>
      <c r="U12" s="9">
        <v>1.23</v>
      </c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</row>
    <row r="13" spans="1:48" ht="15.75" thickBot="1" x14ac:dyDescent="0.3">
      <c r="A13" s="37" t="s">
        <v>25</v>
      </c>
      <c r="B13" s="38">
        <f>B11+B12</f>
        <v>88000</v>
      </c>
      <c r="H13">
        <v>1696</v>
      </c>
      <c r="I13" s="56">
        <f t="shared" si="2"/>
        <v>2.3785481880399417E-2</v>
      </c>
      <c r="N13">
        <f>N2/R2</f>
        <v>0.55297157622739024</v>
      </c>
      <c r="O13">
        <f>O2/R2</f>
        <v>0.21963824289405687</v>
      </c>
      <c r="P13" s="39">
        <f>P2/R2</f>
        <v>0.19657807308970102</v>
      </c>
      <c r="Q13" s="2">
        <f>Q2/R2</f>
        <v>2.51015134736065E-2</v>
      </c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</row>
    <row r="14" spans="1:48" x14ac:dyDescent="0.25"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</row>
    <row r="15" spans="1:48" x14ac:dyDescent="0.25">
      <c r="A15" s="40"/>
      <c r="B15" s="41" t="s">
        <v>26</v>
      </c>
      <c r="C15" s="41" t="s">
        <v>27</v>
      </c>
      <c r="D15" s="41" t="s">
        <v>28</v>
      </c>
      <c r="E15" s="41" t="s">
        <v>29</v>
      </c>
      <c r="F15" s="41" t="s">
        <v>30</v>
      </c>
      <c r="G15" s="41" t="s">
        <v>31</v>
      </c>
      <c r="H15" s="41" t="s">
        <v>32</v>
      </c>
      <c r="I15" s="41" t="s">
        <v>33</v>
      </c>
      <c r="J15" s="41" t="s">
        <v>34</v>
      </c>
      <c r="K15" s="41" t="s">
        <v>35</v>
      </c>
      <c r="L15" s="41" t="s">
        <v>36</v>
      </c>
      <c r="M15" s="41" t="s">
        <v>37</v>
      </c>
      <c r="N15" s="41" t="s">
        <v>38</v>
      </c>
      <c r="O15" s="41" t="s">
        <v>39</v>
      </c>
      <c r="P15" s="41" t="s">
        <v>40</v>
      </c>
      <c r="Q15" s="41" t="s">
        <v>41</v>
      </c>
      <c r="R15" s="41" t="s">
        <v>26</v>
      </c>
      <c r="S15" s="41" t="s">
        <v>27</v>
      </c>
      <c r="T15" s="41" t="s">
        <v>28</v>
      </c>
      <c r="U15" s="41" t="s">
        <v>29</v>
      </c>
      <c r="V15" s="41" t="s">
        <v>30</v>
      </c>
      <c r="W15" s="41" t="s">
        <v>31</v>
      </c>
      <c r="X15" s="41" t="s">
        <v>32</v>
      </c>
      <c r="Y15" s="41" t="s">
        <v>33</v>
      </c>
      <c r="Z15" s="41" t="s">
        <v>34</v>
      </c>
      <c r="AA15" s="41" t="s">
        <v>35</v>
      </c>
      <c r="AB15" s="41" t="s">
        <v>36</v>
      </c>
      <c r="AC15" s="41" t="s">
        <v>37</v>
      </c>
      <c r="AD15" s="41" t="s">
        <v>38</v>
      </c>
      <c r="AE15" s="41" t="s">
        <v>39</v>
      </c>
      <c r="AF15" s="41" t="s">
        <v>40</v>
      </c>
      <c r="AG15" s="41" t="s">
        <v>41</v>
      </c>
      <c r="AH15" s="41"/>
      <c r="AI15" s="41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</row>
    <row r="16" spans="1:48" x14ac:dyDescent="0.25">
      <c r="A16" s="42" t="s">
        <v>42</v>
      </c>
      <c r="B16" s="43">
        <v>100</v>
      </c>
      <c r="C16" s="43">
        <f>B16+15</f>
        <v>115</v>
      </c>
      <c r="D16" s="43">
        <f t="shared" ref="D16:AD16" si="3">C16+15</f>
        <v>130</v>
      </c>
      <c r="E16" s="43">
        <f t="shared" si="3"/>
        <v>145</v>
      </c>
      <c r="F16" s="43">
        <f t="shared" si="3"/>
        <v>160</v>
      </c>
      <c r="G16" s="43">
        <f t="shared" si="3"/>
        <v>175</v>
      </c>
      <c r="H16" s="43">
        <f t="shared" si="3"/>
        <v>190</v>
      </c>
      <c r="I16" s="43">
        <f t="shared" si="3"/>
        <v>205</v>
      </c>
      <c r="J16" s="43">
        <f t="shared" si="3"/>
        <v>220</v>
      </c>
      <c r="K16" s="43">
        <f t="shared" si="3"/>
        <v>235</v>
      </c>
      <c r="L16" s="43">
        <f t="shared" si="3"/>
        <v>250</v>
      </c>
      <c r="M16" s="43">
        <f t="shared" si="3"/>
        <v>265</v>
      </c>
      <c r="N16" s="43">
        <f t="shared" si="3"/>
        <v>280</v>
      </c>
      <c r="O16" s="43">
        <f t="shared" si="3"/>
        <v>295</v>
      </c>
      <c r="P16" s="43">
        <f t="shared" si="3"/>
        <v>310</v>
      </c>
      <c r="Q16" s="43">
        <f t="shared" si="3"/>
        <v>325</v>
      </c>
      <c r="R16" s="43">
        <f t="shared" si="3"/>
        <v>340</v>
      </c>
      <c r="S16" s="43">
        <f t="shared" si="3"/>
        <v>355</v>
      </c>
      <c r="T16" s="43">
        <f t="shared" si="3"/>
        <v>370</v>
      </c>
      <c r="U16" s="43">
        <f t="shared" si="3"/>
        <v>385</v>
      </c>
      <c r="V16" s="43">
        <f t="shared" si="3"/>
        <v>400</v>
      </c>
      <c r="W16" s="43">
        <f t="shared" si="3"/>
        <v>415</v>
      </c>
      <c r="X16" s="43">
        <f t="shared" si="3"/>
        <v>430</v>
      </c>
      <c r="Y16" s="43">
        <f t="shared" si="3"/>
        <v>445</v>
      </c>
      <c r="Z16" s="43">
        <f t="shared" si="3"/>
        <v>460</v>
      </c>
      <c r="AA16" s="43">
        <f t="shared" si="3"/>
        <v>475</v>
      </c>
      <c r="AB16" s="43">
        <f t="shared" si="3"/>
        <v>490</v>
      </c>
      <c r="AC16" s="43">
        <f t="shared" si="3"/>
        <v>505</v>
      </c>
      <c r="AD16" s="43">
        <f t="shared" si="3"/>
        <v>520</v>
      </c>
      <c r="AE16" s="43"/>
      <c r="AF16" s="42"/>
      <c r="AG16" s="42"/>
      <c r="AH16" s="42"/>
      <c r="AI16" s="4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</row>
    <row r="17" spans="1:48" x14ac:dyDescent="0.25">
      <c r="A17" s="42"/>
      <c r="B17" s="43">
        <f>B18+B19+B20+B21</f>
        <v>2226.25</v>
      </c>
      <c r="C17" s="43">
        <f>C18+C19+C20+C21</f>
        <v>2560.1875</v>
      </c>
      <c r="D17" s="43">
        <f t="shared" ref="D17:AD17" si="4">D18+D19+D20+D21</f>
        <v>2894.125</v>
      </c>
      <c r="E17" s="43">
        <f t="shared" si="4"/>
        <v>3228.0624999999995</v>
      </c>
      <c r="F17" s="43">
        <f t="shared" si="4"/>
        <v>3562</v>
      </c>
      <c r="G17" s="43">
        <f t="shared" si="4"/>
        <v>3895.9375</v>
      </c>
      <c r="H17" s="43">
        <f t="shared" si="4"/>
        <v>4229.8749999999991</v>
      </c>
      <c r="I17" s="43">
        <f t="shared" si="4"/>
        <v>4563.8125</v>
      </c>
      <c r="J17" s="43">
        <f t="shared" si="4"/>
        <v>4897.75</v>
      </c>
      <c r="K17" s="43">
        <f t="shared" si="4"/>
        <v>5231.6875</v>
      </c>
      <c r="L17" s="43">
        <f t="shared" si="4"/>
        <v>5565.625</v>
      </c>
      <c r="M17" s="43">
        <f t="shared" si="4"/>
        <v>5899.5624999999991</v>
      </c>
      <c r="N17" s="43">
        <f t="shared" si="4"/>
        <v>6233.5</v>
      </c>
      <c r="O17" s="43">
        <f t="shared" si="4"/>
        <v>6567.4375</v>
      </c>
      <c r="P17" s="43">
        <f t="shared" si="4"/>
        <v>6901.375</v>
      </c>
      <c r="Q17" s="43">
        <f t="shared" si="4"/>
        <v>7235.3125</v>
      </c>
      <c r="R17" s="43">
        <f t="shared" si="4"/>
        <v>7569.25</v>
      </c>
      <c r="S17" s="43">
        <f t="shared" si="4"/>
        <v>7903.1875</v>
      </c>
      <c r="T17" s="43">
        <f t="shared" si="4"/>
        <v>8237.125</v>
      </c>
      <c r="U17" s="43">
        <f t="shared" si="4"/>
        <v>8571.0625</v>
      </c>
      <c r="V17" s="43">
        <f t="shared" si="4"/>
        <v>8905</v>
      </c>
      <c r="W17" s="43">
        <f t="shared" si="4"/>
        <v>9238.9375</v>
      </c>
      <c r="X17" s="43">
        <f t="shared" si="4"/>
        <v>9572.8749999999982</v>
      </c>
      <c r="Y17" s="43">
        <f t="shared" si="4"/>
        <v>9906.8125</v>
      </c>
      <c r="Z17" s="43">
        <f t="shared" si="4"/>
        <v>10240.75</v>
      </c>
      <c r="AA17" s="43">
        <f t="shared" si="4"/>
        <v>10574.6875</v>
      </c>
      <c r="AB17" s="43">
        <f t="shared" si="4"/>
        <v>10908.625</v>
      </c>
      <c r="AC17" s="43">
        <f t="shared" si="4"/>
        <v>11242.562499999998</v>
      </c>
      <c r="AD17" s="43">
        <f t="shared" si="4"/>
        <v>11576.5</v>
      </c>
      <c r="AE17" s="43"/>
      <c r="AF17" s="43"/>
      <c r="AG17" s="43"/>
      <c r="AH17" s="43"/>
      <c r="AI17" s="43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</row>
    <row r="18" spans="1:48" x14ac:dyDescent="0.25">
      <c r="A18" s="44" t="s">
        <v>43</v>
      </c>
      <c r="B18" s="45">
        <f>B16*$N$5</f>
        <v>1274</v>
      </c>
      <c r="C18" s="45">
        <f t="shared" ref="C18:AD18" si="5">C16*$N$5</f>
        <v>1465.1000000000001</v>
      </c>
      <c r="D18" s="45">
        <f t="shared" si="5"/>
        <v>1656.2</v>
      </c>
      <c r="E18" s="45">
        <f t="shared" si="5"/>
        <v>1847.3</v>
      </c>
      <c r="F18" s="45">
        <f t="shared" si="5"/>
        <v>2038.4</v>
      </c>
      <c r="G18" s="45">
        <f t="shared" si="5"/>
        <v>2229.5</v>
      </c>
      <c r="H18" s="45">
        <f t="shared" si="5"/>
        <v>2420.6</v>
      </c>
      <c r="I18" s="45">
        <f t="shared" si="5"/>
        <v>2611.6999999999998</v>
      </c>
      <c r="J18" s="45">
        <f t="shared" si="5"/>
        <v>2802.8</v>
      </c>
      <c r="K18" s="45">
        <f t="shared" si="5"/>
        <v>2993.9</v>
      </c>
      <c r="L18" s="45">
        <f t="shared" si="5"/>
        <v>3185</v>
      </c>
      <c r="M18" s="45">
        <f t="shared" si="5"/>
        <v>3376.1</v>
      </c>
      <c r="N18" s="45">
        <f t="shared" si="5"/>
        <v>3567.2000000000003</v>
      </c>
      <c r="O18" s="45">
        <f t="shared" si="5"/>
        <v>3758.3</v>
      </c>
      <c r="P18" s="45">
        <f t="shared" si="5"/>
        <v>3949.4</v>
      </c>
      <c r="Q18" s="45">
        <f t="shared" si="5"/>
        <v>4140.5</v>
      </c>
      <c r="R18" s="45">
        <f t="shared" si="5"/>
        <v>4331.6000000000004</v>
      </c>
      <c r="S18" s="45">
        <f t="shared" si="5"/>
        <v>4522.7</v>
      </c>
      <c r="T18" s="45">
        <f t="shared" si="5"/>
        <v>4713.8</v>
      </c>
      <c r="U18" s="45">
        <f t="shared" si="5"/>
        <v>4904.8999999999996</v>
      </c>
      <c r="V18" s="45">
        <f t="shared" si="5"/>
        <v>5096</v>
      </c>
      <c r="W18" s="45">
        <f t="shared" si="5"/>
        <v>5287.1</v>
      </c>
      <c r="X18" s="45">
        <f t="shared" si="5"/>
        <v>5478.2</v>
      </c>
      <c r="Y18" s="45">
        <f t="shared" si="5"/>
        <v>5669.3</v>
      </c>
      <c r="Z18" s="45">
        <f t="shared" si="5"/>
        <v>5860.4000000000005</v>
      </c>
      <c r="AA18" s="45">
        <f t="shared" si="5"/>
        <v>6051.5</v>
      </c>
      <c r="AB18" s="45">
        <f t="shared" si="5"/>
        <v>6242.6</v>
      </c>
      <c r="AC18" s="45">
        <f t="shared" si="5"/>
        <v>6433.7</v>
      </c>
      <c r="AD18" s="45">
        <f t="shared" si="5"/>
        <v>6624.8</v>
      </c>
      <c r="AE18" s="45"/>
      <c r="AF18" s="45"/>
      <c r="AG18" s="45"/>
      <c r="AH18" s="45"/>
      <c r="AI18" s="45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</row>
    <row r="19" spans="1:48" x14ac:dyDescent="0.25">
      <c r="A19" s="44" t="s">
        <v>44</v>
      </c>
      <c r="B19" s="45">
        <f>B16*$O$5</f>
        <v>488.99999999999994</v>
      </c>
      <c r="C19" s="45">
        <f t="shared" ref="C19:AD19" si="6">C16*$O$5</f>
        <v>562.34999999999991</v>
      </c>
      <c r="D19" s="45">
        <f t="shared" si="6"/>
        <v>635.69999999999993</v>
      </c>
      <c r="E19" s="45">
        <f t="shared" si="6"/>
        <v>709.05</v>
      </c>
      <c r="F19" s="45">
        <f t="shared" si="6"/>
        <v>782.4</v>
      </c>
      <c r="G19" s="45">
        <f t="shared" si="6"/>
        <v>855.75</v>
      </c>
      <c r="H19" s="45">
        <f t="shared" si="6"/>
        <v>929.09999999999991</v>
      </c>
      <c r="I19" s="45">
        <f t="shared" si="6"/>
        <v>1002.4499999999999</v>
      </c>
      <c r="J19" s="45">
        <f t="shared" si="6"/>
        <v>1075.8</v>
      </c>
      <c r="K19" s="45">
        <f t="shared" si="6"/>
        <v>1149.1499999999999</v>
      </c>
      <c r="L19" s="45">
        <f t="shared" si="6"/>
        <v>1222.5</v>
      </c>
      <c r="M19" s="45">
        <f t="shared" si="6"/>
        <v>1295.8499999999999</v>
      </c>
      <c r="N19" s="45">
        <f t="shared" si="6"/>
        <v>1369.1999999999998</v>
      </c>
      <c r="O19" s="45">
        <f t="shared" si="6"/>
        <v>1442.55</v>
      </c>
      <c r="P19" s="45">
        <f t="shared" si="6"/>
        <v>1515.8999999999999</v>
      </c>
      <c r="Q19" s="45">
        <f t="shared" si="6"/>
        <v>1589.25</v>
      </c>
      <c r="R19" s="45">
        <f t="shared" si="6"/>
        <v>1662.6</v>
      </c>
      <c r="S19" s="45">
        <f t="shared" si="6"/>
        <v>1735.9499999999998</v>
      </c>
      <c r="T19" s="45">
        <f t="shared" si="6"/>
        <v>1809.3</v>
      </c>
      <c r="U19" s="45">
        <f t="shared" si="6"/>
        <v>1882.6499999999999</v>
      </c>
      <c r="V19" s="45">
        <f t="shared" si="6"/>
        <v>1955.9999999999998</v>
      </c>
      <c r="W19" s="45">
        <f t="shared" si="6"/>
        <v>2029.35</v>
      </c>
      <c r="X19" s="45">
        <f t="shared" si="6"/>
        <v>2102.6999999999998</v>
      </c>
      <c r="Y19" s="45">
        <f t="shared" si="6"/>
        <v>2176.0499999999997</v>
      </c>
      <c r="Z19" s="45">
        <f t="shared" si="6"/>
        <v>2249.3999999999996</v>
      </c>
      <c r="AA19" s="45">
        <f t="shared" si="6"/>
        <v>2322.75</v>
      </c>
      <c r="AB19" s="45">
        <f t="shared" si="6"/>
        <v>2396.1</v>
      </c>
      <c r="AC19" s="45">
        <f t="shared" si="6"/>
        <v>2469.4499999999998</v>
      </c>
      <c r="AD19" s="45">
        <f t="shared" si="6"/>
        <v>2542.7999999999997</v>
      </c>
      <c r="AE19" s="45"/>
      <c r="AF19" s="45"/>
      <c r="AG19" s="45"/>
      <c r="AH19" s="45"/>
      <c r="AI19" s="45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</row>
    <row r="20" spans="1:48" x14ac:dyDescent="0.25">
      <c r="A20" s="44" t="s">
        <v>45</v>
      </c>
      <c r="B20" s="45">
        <f>B16*$P$5</f>
        <v>412.24999999999994</v>
      </c>
      <c r="C20" s="45">
        <f t="shared" ref="C20:AD20" si="7">C16*$P$5</f>
        <v>474.08749999999998</v>
      </c>
      <c r="D20" s="45">
        <f t="shared" si="7"/>
        <v>535.92499999999995</v>
      </c>
      <c r="E20" s="45">
        <f t="shared" si="7"/>
        <v>597.76249999999993</v>
      </c>
      <c r="F20" s="45">
        <f t="shared" si="7"/>
        <v>659.59999999999991</v>
      </c>
      <c r="G20" s="45">
        <f t="shared" si="7"/>
        <v>721.43749999999989</v>
      </c>
      <c r="H20" s="45">
        <f t="shared" si="7"/>
        <v>783.27499999999998</v>
      </c>
      <c r="I20" s="45">
        <f t="shared" si="7"/>
        <v>845.11249999999995</v>
      </c>
      <c r="J20" s="45">
        <f t="shared" si="7"/>
        <v>906.94999999999993</v>
      </c>
      <c r="K20" s="45">
        <f t="shared" si="7"/>
        <v>968.78749999999991</v>
      </c>
      <c r="L20" s="45">
        <f t="shared" si="7"/>
        <v>1030.625</v>
      </c>
      <c r="M20" s="45">
        <f t="shared" si="7"/>
        <v>1092.4624999999999</v>
      </c>
      <c r="N20" s="45">
        <f t="shared" si="7"/>
        <v>1154.3</v>
      </c>
      <c r="O20" s="45">
        <f t="shared" si="7"/>
        <v>1216.1374999999998</v>
      </c>
      <c r="P20" s="45">
        <f t="shared" si="7"/>
        <v>1277.9749999999999</v>
      </c>
      <c r="Q20" s="45">
        <f t="shared" si="7"/>
        <v>1339.8124999999998</v>
      </c>
      <c r="R20" s="45">
        <f t="shared" si="7"/>
        <v>1401.6499999999999</v>
      </c>
      <c r="S20" s="45">
        <f t="shared" si="7"/>
        <v>1463.4875</v>
      </c>
      <c r="T20" s="45">
        <f t="shared" si="7"/>
        <v>1525.3249999999998</v>
      </c>
      <c r="U20" s="45">
        <f t="shared" si="7"/>
        <v>1587.1624999999999</v>
      </c>
      <c r="V20" s="45">
        <f t="shared" si="7"/>
        <v>1648.9999999999998</v>
      </c>
      <c r="W20" s="45">
        <f t="shared" si="7"/>
        <v>1710.8374999999999</v>
      </c>
      <c r="X20" s="45">
        <f t="shared" si="7"/>
        <v>1772.6749999999997</v>
      </c>
      <c r="Y20" s="45">
        <f t="shared" si="7"/>
        <v>1834.5124999999998</v>
      </c>
      <c r="Z20" s="45">
        <f t="shared" si="7"/>
        <v>1896.35</v>
      </c>
      <c r="AA20" s="45">
        <f t="shared" si="7"/>
        <v>1958.1874999999998</v>
      </c>
      <c r="AB20" s="45">
        <f t="shared" si="7"/>
        <v>2020.0249999999999</v>
      </c>
      <c r="AC20" s="45">
        <f t="shared" si="7"/>
        <v>2081.8624999999997</v>
      </c>
      <c r="AD20" s="45">
        <f t="shared" si="7"/>
        <v>2143.6999999999998</v>
      </c>
      <c r="AE20" s="45"/>
      <c r="AF20" s="45"/>
      <c r="AG20" s="45"/>
      <c r="AH20" s="45"/>
      <c r="AI20" s="45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</row>
    <row r="21" spans="1:48" x14ac:dyDescent="0.25">
      <c r="A21" s="44" t="s">
        <v>46</v>
      </c>
      <c r="B21" s="45">
        <f>B16*$Q$5</f>
        <v>51</v>
      </c>
      <c r="C21" s="45">
        <f t="shared" ref="C21:AD21" si="8">C16*$Q$5</f>
        <v>58.65</v>
      </c>
      <c r="D21" s="45">
        <f t="shared" si="8"/>
        <v>66.3</v>
      </c>
      <c r="E21" s="45">
        <f t="shared" si="8"/>
        <v>73.95</v>
      </c>
      <c r="F21" s="45">
        <f t="shared" si="8"/>
        <v>81.599999999999994</v>
      </c>
      <c r="G21" s="45">
        <f t="shared" si="8"/>
        <v>89.25</v>
      </c>
      <c r="H21" s="45">
        <f t="shared" si="8"/>
        <v>96.9</v>
      </c>
      <c r="I21" s="45">
        <f t="shared" si="8"/>
        <v>104.55</v>
      </c>
      <c r="J21" s="45">
        <f t="shared" si="8"/>
        <v>112.2</v>
      </c>
      <c r="K21" s="45">
        <f t="shared" si="8"/>
        <v>119.85000000000001</v>
      </c>
      <c r="L21" s="45">
        <f t="shared" si="8"/>
        <v>127.5</v>
      </c>
      <c r="M21" s="45">
        <f t="shared" si="8"/>
        <v>135.15</v>
      </c>
      <c r="N21" s="45">
        <f t="shared" si="8"/>
        <v>142.80000000000001</v>
      </c>
      <c r="O21" s="45">
        <f t="shared" si="8"/>
        <v>150.44999999999999</v>
      </c>
      <c r="P21" s="45">
        <f t="shared" si="8"/>
        <v>158.1</v>
      </c>
      <c r="Q21" s="45">
        <f t="shared" si="8"/>
        <v>165.75</v>
      </c>
      <c r="R21" s="45">
        <f t="shared" si="8"/>
        <v>173.4</v>
      </c>
      <c r="S21" s="45">
        <f t="shared" si="8"/>
        <v>181.05</v>
      </c>
      <c r="T21" s="45">
        <f t="shared" si="8"/>
        <v>188.70000000000002</v>
      </c>
      <c r="U21" s="45">
        <f t="shared" si="8"/>
        <v>196.35</v>
      </c>
      <c r="V21" s="45">
        <f t="shared" si="8"/>
        <v>204</v>
      </c>
      <c r="W21" s="45">
        <f t="shared" si="8"/>
        <v>211.65</v>
      </c>
      <c r="X21" s="45">
        <f t="shared" si="8"/>
        <v>219.3</v>
      </c>
      <c r="Y21" s="45">
        <f t="shared" si="8"/>
        <v>226.95000000000002</v>
      </c>
      <c r="Z21" s="45">
        <f t="shared" si="8"/>
        <v>234.6</v>
      </c>
      <c r="AA21" s="45">
        <f t="shared" si="8"/>
        <v>242.25</v>
      </c>
      <c r="AB21" s="45">
        <f t="shared" si="8"/>
        <v>249.9</v>
      </c>
      <c r="AC21" s="45">
        <f t="shared" si="8"/>
        <v>257.55</v>
      </c>
      <c r="AD21" s="45">
        <f t="shared" si="8"/>
        <v>265.2</v>
      </c>
      <c r="AE21" s="45"/>
      <c r="AF21" s="45"/>
      <c r="AG21" s="45"/>
      <c r="AH21" s="45"/>
      <c r="AI21" s="45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</row>
    <row r="22" spans="1:48" x14ac:dyDescent="0.25">
      <c r="A22" s="44" t="s">
        <v>47</v>
      </c>
      <c r="B22" s="45">
        <f>MIN(B$18,$C$4)</f>
        <v>1274</v>
      </c>
      <c r="C22" s="45">
        <f t="shared" ref="C22:AD22" si="9">MIN(C$18,$C$4)</f>
        <v>1465.1000000000001</v>
      </c>
      <c r="D22" s="45">
        <f t="shared" si="9"/>
        <v>1656.2</v>
      </c>
      <c r="E22" s="45">
        <f t="shared" si="9"/>
        <v>1847.3</v>
      </c>
      <c r="F22" s="45">
        <f t="shared" si="9"/>
        <v>2038.4</v>
      </c>
      <c r="G22" s="45">
        <f t="shared" si="9"/>
        <v>2229.5</v>
      </c>
      <c r="H22" s="45">
        <f t="shared" si="9"/>
        <v>2420.6</v>
      </c>
      <c r="I22" s="45">
        <f t="shared" si="9"/>
        <v>2611.6999999999998</v>
      </c>
      <c r="J22" s="45">
        <f t="shared" si="9"/>
        <v>2802.8</v>
      </c>
      <c r="K22" s="45">
        <f t="shared" si="9"/>
        <v>2993.9</v>
      </c>
      <c r="L22" s="45">
        <f t="shared" si="9"/>
        <v>3185</v>
      </c>
      <c r="M22" s="45">
        <f t="shared" si="9"/>
        <v>3376.1</v>
      </c>
      <c r="N22" s="45">
        <f t="shared" si="9"/>
        <v>3567.2000000000003</v>
      </c>
      <c r="O22" s="45">
        <f t="shared" si="9"/>
        <v>3758.3</v>
      </c>
      <c r="P22" s="45">
        <f t="shared" si="9"/>
        <v>3949.4</v>
      </c>
      <c r="Q22" s="45">
        <f t="shared" si="9"/>
        <v>4140.5</v>
      </c>
      <c r="R22" s="45">
        <f t="shared" si="9"/>
        <v>4331.6000000000004</v>
      </c>
      <c r="S22" s="45">
        <f t="shared" si="9"/>
        <v>4522.7</v>
      </c>
      <c r="T22" s="45">
        <f t="shared" si="9"/>
        <v>4713.8</v>
      </c>
      <c r="U22" s="45">
        <f t="shared" si="9"/>
        <v>4904.8999999999996</v>
      </c>
      <c r="V22" s="45">
        <f t="shared" si="9"/>
        <v>5096</v>
      </c>
      <c r="W22" s="45">
        <f t="shared" si="9"/>
        <v>5287.1</v>
      </c>
      <c r="X22" s="45">
        <f t="shared" si="9"/>
        <v>5478.2</v>
      </c>
      <c r="Y22" s="45">
        <f t="shared" si="9"/>
        <v>5669.3</v>
      </c>
      <c r="Z22" s="45">
        <f t="shared" si="9"/>
        <v>5860.4000000000005</v>
      </c>
      <c r="AA22" s="45">
        <f t="shared" si="9"/>
        <v>6051.5</v>
      </c>
      <c r="AB22" s="45">
        <f t="shared" si="9"/>
        <v>6242.6</v>
      </c>
      <c r="AC22" s="45">
        <f t="shared" si="9"/>
        <v>6433.7</v>
      </c>
      <c r="AD22" s="45">
        <f t="shared" si="9"/>
        <v>6624.8</v>
      </c>
      <c r="AE22" s="45"/>
      <c r="AF22" s="45"/>
      <c r="AG22" s="45"/>
      <c r="AH22" s="45"/>
      <c r="AI22" s="45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</row>
    <row r="23" spans="1:48" x14ac:dyDescent="0.25">
      <c r="A23" s="44" t="s">
        <v>48</v>
      </c>
      <c r="B23" s="45">
        <f>MIN(B$19,$C$5)</f>
        <v>488.99999999999994</v>
      </c>
      <c r="C23" s="45">
        <f t="shared" ref="C23:AD23" si="10">MIN(C$19,$C$5)</f>
        <v>562.34999999999991</v>
      </c>
      <c r="D23" s="45">
        <f t="shared" si="10"/>
        <v>635.69999999999993</v>
      </c>
      <c r="E23" s="45">
        <f t="shared" si="10"/>
        <v>709.05</v>
      </c>
      <c r="F23" s="45">
        <f t="shared" si="10"/>
        <v>782.4</v>
      </c>
      <c r="G23" s="45">
        <f t="shared" si="10"/>
        <v>855.75</v>
      </c>
      <c r="H23" s="45">
        <f t="shared" si="10"/>
        <v>929.09999999999991</v>
      </c>
      <c r="I23" s="45">
        <f t="shared" si="10"/>
        <v>1002.4499999999999</v>
      </c>
      <c r="J23" s="45">
        <f t="shared" si="10"/>
        <v>1075.8</v>
      </c>
      <c r="K23" s="45">
        <f t="shared" si="10"/>
        <v>1149.1499999999999</v>
      </c>
      <c r="L23" s="45">
        <f t="shared" si="10"/>
        <v>1222.5</v>
      </c>
      <c r="M23" s="45">
        <f t="shared" si="10"/>
        <v>1295.8499999999999</v>
      </c>
      <c r="N23" s="45">
        <f t="shared" si="10"/>
        <v>1369.1999999999998</v>
      </c>
      <c r="O23" s="45">
        <f t="shared" si="10"/>
        <v>1442.55</v>
      </c>
      <c r="P23" s="45">
        <f t="shared" si="10"/>
        <v>1515.8999999999999</v>
      </c>
      <c r="Q23" s="45">
        <f t="shared" si="10"/>
        <v>1589.25</v>
      </c>
      <c r="R23" s="45">
        <f t="shared" si="10"/>
        <v>1662.6</v>
      </c>
      <c r="S23" s="45">
        <f t="shared" si="10"/>
        <v>1735.9499999999998</v>
      </c>
      <c r="T23" s="45">
        <f t="shared" si="10"/>
        <v>1809.3</v>
      </c>
      <c r="U23" s="45">
        <f t="shared" si="10"/>
        <v>1882.6499999999999</v>
      </c>
      <c r="V23" s="45">
        <f t="shared" si="10"/>
        <v>1955.9999999999998</v>
      </c>
      <c r="W23" s="45">
        <f t="shared" si="10"/>
        <v>2029.35</v>
      </c>
      <c r="X23" s="45">
        <f t="shared" si="10"/>
        <v>2102.6999999999998</v>
      </c>
      <c r="Y23" s="45">
        <f t="shared" si="10"/>
        <v>2176.0499999999997</v>
      </c>
      <c r="Z23" s="45">
        <f t="shared" si="10"/>
        <v>2249.3999999999996</v>
      </c>
      <c r="AA23" s="45">
        <f t="shared" si="10"/>
        <v>2322.75</v>
      </c>
      <c r="AB23" s="45">
        <f t="shared" si="10"/>
        <v>2396.1</v>
      </c>
      <c r="AC23" s="45">
        <f t="shared" si="10"/>
        <v>2469.4499999999998</v>
      </c>
      <c r="AD23" s="45">
        <f t="shared" si="10"/>
        <v>2542.7999999999997</v>
      </c>
      <c r="AE23" s="45"/>
      <c r="AF23" s="45"/>
      <c r="AG23" s="45"/>
      <c r="AH23" s="45"/>
      <c r="AI23" s="45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</row>
    <row r="24" spans="1:48" x14ac:dyDescent="0.25">
      <c r="A24" s="44" t="s">
        <v>49</v>
      </c>
      <c r="B24" s="45">
        <f>MIN(B$20,$C$6)</f>
        <v>412.24999999999994</v>
      </c>
      <c r="C24" s="45">
        <f t="shared" ref="C24:AD24" si="11">MIN(C$20,$C$6)</f>
        <v>474.08749999999998</v>
      </c>
      <c r="D24" s="45">
        <f t="shared" si="11"/>
        <v>535.92499999999995</v>
      </c>
      <c r="E24" s="45">
        <f t="shared" si="11"/>
        <v>597.76249999999993</v>
      </c>
      <c r="F24" s="45">
        <f t="shared" si="11"/>
        <v>659.59999999999991</v>
      </c>
      <c r="G24" s="45">
        <f t="shared" si="11"/>
        <v>721.43749999999989</v>
      </c>
      <c r="H24" s="45">
        <f t="shared" si="11"/>
        <v>783.27499999999998</v>
      </c>
      <c r="I24" s="45">
        <f t="shared" si="11"/>
        <v>845.11249999999995</v>
      </c>
      <c r="J24" s="45">
        <f t="shared" si="11"/>
        <v>906.94999999999993</v>
      </c>
      <c r="K24" s="45">
        <f t="shared" si="11"/>
        <v>968.78749999999991</v>
      </c>
      <c r="L24" s="45">
        <f t="shared" si="11"/>
        <v>1030.625</v>
      </c>
      <c r="M24" s="45">
        <f t="shared" si="11"/>
        <v>1092.4624999999999</v>
      </c>
      <c r="N24" s="45">
        <f t="shared" si="11"/>
        <v>1154.3</v>
      </c>
      <c r="O24" s="45">
        <f t="shared" si="11"/>
        <v>1200</v>
      </c>
      <c r="P24" s="45">
        <f t="shared" si="11"/>
        <v>1200</v>
      </c>
      <c r="Q24" s="45">
        <f t="shared" si="11"/>
        <v>1200</v>
      </c>
      <c r="R24" s="45">
        <f t="shared" si="11"/>
        <v>1200</v>
      </c>
      <c r="S24" s="45">
        <f t="shared" si="11"/>
        <v>1200</v>
      </c>
      <c r="T24" s="45">
        <f t="shared" si="11"/>
        <v>1200</v>
      </c>
      <c r="U24" s="45">
        <f t="shared" si="11"/>
        <v>1200</v>
      </c>
      <c r="V24" s="45">
        <f t="shared" si="11"/>
        <v>1200</v>
      </c>
      <c r="W24" s="45">
        <f t="shared" si="11"/>
        <v>1200</v>
      </c>
      <c r="X24" s="45">
        <f t="shared" si="11"/>
        <v>1200</v>
      </c>
      <c r="Y24" s="45">
        <f t="shared" si="11"/>
        <v>1200</v>
      </c>
      <c r="Z24" s="45">
        <f t="shared" si="11"/>
        <v>1200</v>
      </c>
      <c r="AA24" s="45">
        <f t="shared" si="11"/>
        <v>1200</v>
      </c>
      <c r="AB24" s="45">
        <f t="shared" si="11"/>
        <v>1200</v>
      </c>
      <c r="AC24" s="45">
        <f t="shared" si="11"/>
        <v>1200</v>
      </c>
      <c r="AD24" s="45">
        <f t="shared" si="11"/>
        <v>1200</v>
      </c>
      <c r="AE24" s="45"/>
      <c r="AF24" s="45"/>
      <c r="AG24" s="45"/>
      <c r="AH24" s="45"/>
      <c r="AI24" s="45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</row>
    <row r="25" spans="1:48" x14ac:dyDescent="0.25">
      <c r="A25" s="44" t="s">
        <v>50</v>
      </c>
      <c r="B25" s="45">
        <f>MIN(B$21,$C$7)</f>
        <v>51</v>
      </c>
      <c r="C25" s="45">
        <f t="shared" ref="C25:AD25" si="12">MIN(C$21,$C$7)</f>
        <v>58.65</v>
      </c>
      <c r="D25" s="45">
        <f t="shared" si="12"/>
        <v>66.3</v>
      </c>
      <c r="E25" s="45">
        <f t="shared" si="12"/>
        <v>73.95</v>
      </c>
      <c r="F25" s="45">
        <f t="shared" si="12"/>
        <v>81.599999999999994</v>
      </c>
      <c r="G25" s="45">
        <f t="shared" si="12"/>
        <v>89.25</v>
      </c>
      <c r="H25" s="45">
        <f t="shared" si="12"/>
        <v>96.9</v>
      </c>
      <c r="I25" s="45">
        <f t="shared" si="12"/>
        <v>104.55</v>
      </c>
      <c r="J25" s="45">
        <f t="shared" si="12"/>
        <v>112.2</v>
      </c>
      <c r="K25" s="45">
        <f t="shared" si="12"/>
        <v>119.85000000000001</v>
      </c>
      <c r="L25" s="45">
        <f t="shared" si="12"/>
        <v>127.5</v>
      </c>
      <c r="M25" s="45">
        <f t="shared" si="12"/>
        <v>135.15</v>
      </c>
      <c r="N25" s="45">
        <f t="shared" si="12"/>
        <v>142.80000000000001</v>
      </c>
      <c r="O25" s="45">
        <f t="shared" si="12"/>
        <v>150.44999999999999</v>
      </c>
      <c r="P25" s="45">
        <f t="shared" si="12"/>
        <v>158.1</v>
      </c>
      <c r="Q25" s="45">
        <f t="shared" si="12"/>
        <v>165.75</v>
      </c>
      <c r="R25" s="45">
        <f t="shared" si="12"/>
        <v>173.4</v>
      </c>
      <c r="S25" s="45">
        <f t="shared" si="12"/>
        <v>181.05</v>
      </c>
      <c r="T25" s="45">
        <f t="shared" si="12"/>
        <v>188.70000000000002</v>
      </c>
      <c r="U25" s="45">
        <f t="shared" si="12"/>
        <v>196.35</v>
      </c>
      <c r="V25" s="45">
        <f t="shared" si="12"/>
        <v>200</v>
      </c>
      <c r="W25" s="45">
        <f t="shared" si="12"/>
        <v>200</v>
      </c>
      <c r="X25" s="45">
        <f t="shared" si="12"/>
        <v>200</v>
      </c>
      <c r="Y25" s="45">
        <f t="shared" si="12"/>
        <v>200</v>
      </c>
      <c r="Z25" s="45">
        <f t="shared" si="12"/>
        <v>200</v>
      </c>
      <c r="AA25" s="45">
        <f t="shared" si="12"/>
        <v>200</v>
      </c>
      <c r="AB25" s="45">
        <f t="shared" si="12"/>
        <v>200</v>
      </c>
      <c r="AC25" s="45">
        <f t="shared" si="12"/>
        <v>200</v>
      </c>
      <c r="AD25" s="45">
        <f t="shared" si="12"/>
        <v>200</v>
      </c>
      <c r="AE25" s="45"/>
      <c r="AF25" s="45"/>
      <c r="AG25" s="45"/>
      <c r="AH25" s="45"/>
      <c r="AI25" s="45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</row>
    <row r="26" spans="1:48" x14ac:dyDescent="0.25">
      <c r="A26" s="47" t="s">
        <v>51</v>
      </c>
      <c r="B26" s="48">
        <f>IF(B22&gt;$B$4,(B22-$B$4)*$H$4,0)</f>
        <v>0</v>
      </c>
      <c r="C26" s="48">
        <v>0</v>
      </c>
      <c r="D26" s="48">
        <f>IF(D22&gt;$B$4,(D22-$B$4)*$H$4,0)</f>
        <v>0</v>
      </c>
      <c r="E26" s="48">
        <v>0</v>
      </c>
      <c r="F26" s="48">
        <f>IF(F22&gt;$B$4,(F22-$B$4)*$H$4,0)</f>
        <v>0</v>
      </c>
      <c r="G26" s="48">
        <v>0</v>
      </c>
      <c r="H26" s="48">
        <f>IF(H22&gt;$B$4,(H22-$B$4)*$H$4,0)</f>
        <v>0</v>
      </c>
      <c r="I26" s="48">
        <v>0</v>
      </c>
      <c r="J26" s="48">
        <f>IF(J22&gt;$B$4,(J22-$B$4)*$H$4,0)</f>
        <v>0</v>
      </c>
      <c r="K26" s="48">
        <v>0</v>
      </c>
      <c r="L26" s="48">
        <f>IF(L22&gt;$B$4,(L22-$B$4)*$H$4,0)</f>
        <v>0</v>
      </c>
      <c r="M26" s="48">
        <v>0</v>
      </c>
      <c r="N26" s="48">
        <f>IF(N22&gt;$B$4,(N22-$B$4)*$H$4,0)</f>
        <v>0</v>
      </c>
      <c r="O26" s="48">
        <v>0</v>
      </c>
      <c r="P26" s="48">
        <f>IF(P22&gt;$B$4,(P22-$B$4)*$H$4,0)</f>
        <v>0</v>
      </c>
      <c r="Q26" s="48">
        <v>0</v>
      </c>
      <c r="R26" s="48">
        <f>IF(R22&gt;$B$4,(R22-$B$4)*$H$4,0)</f>
        <v>0</v>
      </c>
      <c r="S26" s="48">
        <v>0</v>
      </c>
      <c r="T26" s="48">
        <f>IF(T22&gt;$B$4,(T22-$B$4)*$H$4,0)</f>
        <v>0</v>
      </c>
      <c r="U26" s="48">
        <v>0</v>
      </c>
      <c r="V26" s="48">
        <f>IF(V22&gt;$B$4,(V22-$B$4)*$H$4,0)</f>
        <v>0</v>
      </c>
      <c r="W26" s="48">
        <v>0</v>
      </c>
      <c r="X26" s="48">
        <f>IF(X22&gt;$B$4,(X22-$B$4)*$H$4,0)</f>
        <v>0</v>
      </c>
      <c r="Y26" s="48">
        <v>0</v>
      </c>
      <c r="Z26" s="48">
        <f>IF(Z22&gt;$B$4,(Z22-$B$4)*$H$4,0)</f>
        <v>0</v>
      </c>
      <c r="AA26" s="48">
        <v>0</v>
      </c>
      <c r="AB26" s="48">
        <f>IF(AB22&gt;$B$4,(AB22-$B$4)*$H$4,0)</f>
        <v>0</v>
      </c>
      <c r="AC26" s="48">
        <v>0</v>
      </c>
      <c r="AD26" s="48">
        <f>IF(AD22&gt;$B$4,(AD22-$B$4)*$H$4,0)</f>
        <v>0</v>
      </c>
      <c r="AE26" s="48">
        <v>0</v>
      </c>
      <c r="AF26" s="48">
        <f>IF(AF22&gt;$B$4,(AF22-$B$4)*$H$4,0)</f>
        <v>0</v>
      </c>
      <c r="AG26" s="48">
        <v>0</v>
      </c>
      <c r="AH26" s="48">
        <f>IF(AH22&gt;$B$4,(AH22-$B$4)*$H$4,0)</f>
        <v>0</v>
      </c>
      <c r="AI26" s="48">
        <v>0</v>
      </c>
      <c r="AJ26" s="48">
        <f>IF(AJ22&gt;$B$4,(AJ22-$B$4)*$H$4,0)</f>
        <v>0</v>
      </c>
      <c r="AK26" s="48">
        <v>0</v>
      </c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</row>
    <row r="27" spans="1:48" x14ac:dyDescent="0.25">
      <c r="A27" s="47" t="s">
        <v>52</v>
      </c>
      <c r="B27" s="48">
        <f>IF(B23&gt;$B$5,(B23-$B$5)*$H$5,0)</f>
        <v>0</v>
      </c>
      <c r="C27" s="48">
        <v>0</v>
      </c>
      <c r="D27" s="48">
        <f>IF(D23&gt;$B$5,(D23-$B$5)*$H$5,0)</f>
        <v>0</v>
      </c>
      <c r="E27" s="48">
        <v>0</v>
      </c>
      <c r="F27" s="48">
        <f>IF(F23&gt;$B$5,(F23-$B$5)*$H$5,0)</f>
        <v>0</v>
      </c>
      <c r="G27" s="48">
        <v>0</v>
      </c>
      <c r="H27" s="48">
        <f>IF(H23&gt;$B$5,(H23-$B$5)*$H$5,0)</f>
        <v>0</v>
      </c>
      <c r="I27" s="48">
        <v>0</v>
      </c>
      <c r="J27" s="48">
        <f>IF(J23&gt;$B$5,(J23-$B$5)*$H$5,0)</f>
        <v>0</v>
      </c>
      <c r="K27" s="48">
        <v>0</v>
      </c>
      <c r="L27" s="48">
        <f>IF(L23&gt;$B$5,(L23-$B$5)*$H$5,0)</f>
        <v>0</v>
      </c>
      <c r="M27" s="48">
        <v>0</v>
      </c>
      <c r="N27" s="48">
        <f>IF(N23&gt;$B$5,(N23-$B$5)*$H$5,0)</f>
        <v>0</v>
      </c>
      <c r="O27" s="48">
        <v>0</v>
      </c>
      <c r="P27" s="48">
        <f>IF(P23&gt;$B$5,(P23-$B$5)*$H$5,0)</f>
        <v>0</v>
      </c>
      <c r="Q27" s="48">
        <v>0</v>
      </c>
      <c r="R27" s="48">
        <f>IF(R23&gt;$B$5,(R23-$B$5)*$H$5,0)</f>
        <v>0</v>
      </c>
      <c r="S27" s="48">
        <v>0</v>
      </c>
      <c r="T27" s="48">
        <f>IF(T23&gt;$B$5,(T23-$B$5)*$H$5,0)</f>
        <v>0</v>
      </c>
      <c r="U27" s="48">
        <v>0</v>
      </c>
      <c r="V27" s="48">
        <f>IF(V23&gt;$B$5,(V23-$B$5)*$H$5,0)</f>
        <v>0</v>
      </c>
      <c r="W27" s="48">
        <v>0</v>
      </c>
      <c r="X27" s="48">
        <f>IF(X23&gt;$B$5,(X23-$B$5)*$H$5,0)</f>
        <v>0</v>
      </c>
      <c r="Y27" s="48">
        <v>0</v>
      </c>
      <c r="Z27" s="48">
        <f>IF(Z23&gt;$B$5,(Z23-$B$5)*$H$5,0)</f>
        <v>0</v>
      </c>
      <c r="AA27" s="48">
        <v>0</v>
      </c>
      <c r="AB27" s="48">
        <f>IF(AB23&gt;$B$5,(AB23-$B$5)*$H$5,0)</f>
        <v>0</v>
      </c>
      <c r="AC27" s="48">
        <v>0</v>
      </c>
      <c r="AD27" s="48">
        <f>IF(AD23&gt;$B$5,(AD23-$B$5)*$H$5,0)</f>
        <v>0</v>
      </c>
      <c r="AE27" s="48">
        <v>0</v>
      </c>
      <c r="AF27" s="48">
        <f>IF(AF23&gt;$B$5,(AF23-$B$5)*$H$5,0)</f>
        <v>0</v>
      </c>
      <c r="AG27" s="48">
        <v>0</v>
      </c>
      <c r="AH27" s="48">
        <f>IF(AH23&gt;$B$5,(AH23-$B$5)*$H$5,0)</f>
        <v>0</v>
      </c>
      <c r="AI27" s="48">
        <v>0</v>
      </c>
      <c r="AJ27" s="48">
        <f>IF(AJ23&gt;$B$5,(AJ23-$B$5)*$H$5,0)</f>
        <v>0</v>
      </c>
      <c r="AK27" s="48">
        <v>0</v>
      </c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</row>
    <row r="28" spans="1:48" x14ac:dyDescent="0.25">
      <c r="A28" s="47" t="s">
        <v>53</v>
      </c>
      <c r="B28" s="48">
        <f>IF(B24&gt;$B$6,(B24-$B$6)*$H$6,0)</f>
        <v>0</v>
      </c>
      <c r="C28" s="48">
        <v>0</v>
      </c>
      <c r="D28" s="48">
        <f>IF(D24&gt;$B$6,(D24-$B$6)*$H$6,0)</f>
        <v>0</v>
      </c>
      <c r="E28" s="48">
        <v>0</v>
      </c>
      <c r="F28" s="48">
        <f>IF(F24&gt;$B$6,(F24-$B$6)*$H$6,0)</f>
        <v>0</v>
      </c>
      <c r="G28" s="48">
        <v>0</v>
      </c>
      <c r="H28" s="48">
        <f>IF(H24&gt;$B$6,(H24-$B$6)*$H$6,0)</f>
        <v>0</v>
      </c>
      <c r="I28" s="48">
        <v>0</v>
      </c>
      <c r="J28" s="48">
        <f>IF(J24&gt;$B$6,(J24-$B$6)*$H$6,0)</f>
        <v>0</v>
      </c>
      <c r="K28" s="48">
        <v>0</v>
      </c>
      <c r="L28" s="48">
        <f>IF(L24&gt;$B$6,(L24-$B$6)*$H$6,0)</f>
        <v>581.875</v>
      </c>
      <c r="M28" s="48">
        <v>0</v>
      </c>
      <c r="N28" s="48">
        <f>IF(N24&gt;$B$6,(N24-$B$6)*$H$6,0)</f>
        <v>2931.6999999999989</v>
      </c>
      <c r="O28" s="48">
        <v>0</v>
      </c>
      <c r="P28" s="48">
        <f>IF(P24&gt;$B$6,(P24-$B$6)*$H$6,0)</f>
        <v>3800</v>
      </c>
      <c r="Q28" s="48">
        <v>0</v>
      </c>
      <c r="R28" s="48">
        <f>IF(R24&gt;$B$6,(R24-$B$6)*$H$6,0)</f>
        <v>3800</v>
      </c>
      <c r="S28" s="48">
        <v>0</v>
      </c>
      <c r="T28" s="48">
        <f>IF(T24&gt;$B$6,(T24-$B$6)*$H$6,0)</f>
        <v>3800</v>
      </c>
      <c r="U28" s="48">
        <v>0</v>
      </c>
      <c r="V28" s="48">
        <f>IF(V24&gt;$B$6,(V24-$B$6)*$H$6,0)</f>
        <v>3800</v>
      </c>
      <c r="W28" s="48">
        <v>0</v>
      </c>
      <c r="X28" s="48">
        <f>IF(X24&gt;$B$6,(X24-$B$6)*$H$6,0)</f>
        <v>3800</v>
      </c>
      <c r="Y28" s="48">
        <v>0</v>
      </c>
      <c r="Z28" s="48">
        <f>IF(Z24&gt;$B$6,(Z24-$B$6)*$H$6,0)</f>
        <v>3800</v>
      </c>
      <c r="AA28" s="48">
        <v>0</v>
      </c>
      <c r="AB28" s="48">
        <f>IF(AB24&gt;$B$6,(AB24-$B$6)*$H$6,0)</f>
        <v>3800</v>
      </c>
      <c r="AC28" s="48">
        <v>0</v>
      </c>
      <c r="AD28" s="48">
        <f>IF(AD24&gt;$B$6,(AD24-$B$6)*$H$6,0)</f>
        <v>3800</v>
      </c>
      <c r="AE28" s="48">
        <v>0</v>
      </c>
      <c r="AF28" s="48">
        <f>IF(AF24&gt;$B$6,(AF24-$B$6)*$H$6,0)</f>
        <v>0</v>
      </c>
      <c r="AG28" s="48">
        <v>0</v>
      </c>
      <c r="AH28" s="48">
        <f>IF(AH24&gt;$B$6,(AH24-$B$6)*$H$6,0)</f>
        <v>0</v>
      </c>
      <c r="AI28" s="48">
        <v>0</v>
      </c>
      <c r="AJ28" s="48">
        <f>IF(AJ24&gt;$B$6,(AJ24-$B$6)*$H$6,0)</f>
        <v>0</v>
      </c>
      <c r="AK28" s="48">
        <v>0</v>
      </c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</row>
    <row r="29" spans="1:48" x14ac:dyDescent="0.25">
      <c r="A29" s="47" t="s">
        <v>54</v>
      </c>
      <c r="B29" s="48">
        <f>IF(B25&gt;$B$7,(B25-$B$7)*$H$7,0)</f>
        <v>1785</v>
      </c>
      <c r="C29" s="48">
        <v>0</v>
      </c>
      <c r="D29" s="48">
        <f>IF(D25&gt;$B$7,(D25-$B$7)*$H$7,0)</f>
        <v>2320.5</v>
      </c>
      <c r="E29" s="48">
        <v>0</v>
      </c>
      <c r="F29" s="48">
        <f>IF(F25&gt;$B$7,(F25-$B$7)*$H$7,0)</f>
        <v>2856</v>
      </c>
      <c r="G29" s="48">
        <v>0</v>
      </c>
      <c r="H29" s="48">
        <f>IF(H25&gt;$B$7,(H25-$B$7)*$H$7,0)</f>
        <v>3391.5</v>
      </c>
      <c r="I29" s="48">
        <v>0</v>
      </c>
      <c r="J29" s="48">
        <f>IF(J25&gt;$B$7,(J25-$B$7)*$H$7,0)</f>
        <v>3927</v>
      </c>
      <c r="K29" s="48">
        <v>0</v>
      </c>
      <c r="L29" s="48">
        <f>IF(L25&gt;$B$7,(L25-$B$7)*$H$7,0)</f>
        <v>4462.5</v>
      </c>
      <c r="M29" s="48">
        <v>0</v>
      </c>
      <c r="N29" s="48">
        <f>IF(N25&gt;$B$7,(N25-$B$7)*$H$7,0)</f>
        <v>4998</v>
      </c>
      <c r="O29" s="48">
        <v>0</v>
      </c>
      <c r="P29" s="48">
        <f>IF(P25&gt;$B$7,(P25-$B$7)*$H$7,0)</f>
        <v>5533.5</v>
      </c>
      <c r="Q29" s="48">
        <v>0</v>
      </c>
      <c r="R29" s="48">
        <f>IF(R25&gt;$B$7,(R25-$B$7)*$H$7,0)</f>
        <v>6069</v>
      </c>
      <c r="S29" s="48">
        <v>0</v>
      </c>
      <c r="T29" s="48">
        <f>IF(T25&gt;$B$7,(T25-$B$7)*$H$7,0)</f>
        <v>6604.5000000000009</v>
      </c>
      <c r="U29" s="48">
        <v>0</v>
      </c>
      <c r="V29" s="48">
        <f>IF(V25&gt;$B$7,(V25-$B$7)*$H$7,0)</f>
        <v>7000</v>
      </c>
      <c r="W29" s="48">
        <v>0</v>
      </c>
      <c r="X29" s="48">
        <f>IF(X25&gt;$B$7,(X25-$B$7)*$H$7,0)</f>
        <v>7000</v>
      </c>
      <c r="Y29" s="48">
        <v>0</v>
      </c>
      <c r="Z29" s="48">
        <f>IF(Z25&gt;$B$7,(Z25-$B$7)*$H$7,0)</f>
        <v>7000</v>
      </c>
      <c r="AA29" s="48">
        <v>0</v>
      </c>
      <c r="AB29" s="48">
        <f>IF(AB25&gt;$B$7,(AB25-$B$7)*$H$7,0)</f>
        <v>7000</v>
      </c>
      <c r="AC29" s="48">
        <v>0</v>
      </c>
      <c r="AD29" s="48">
        <f>IF(AD25&gt;$B$7,(AD25-$B$7)*$H$7,0)</f>
        <v>7000</v>
      </c>
      <c r="AE29" s="48">
        <v>0</v>
      </c>
      <c r="AF29" s="48">
        <f>IF(AF25&gt;$B$7,(AF25-$B$7)*$H$7,0)</f>
        <v>0</v>
      </c>
      <c r="AG29" s="48">
        <v>0</v>
      </c>
      <c r="AH29" s="48">
        <f>IF(AH25&gt;$B$7,(AH25-$B$7)*$H$7,0)</f>
        <v>0</v>
      </c>
      <c r="AI29" s="48">
        <v>0</v>
      </c>
      <c r="AJ29" s="48">
        <f>IF(AJ25&gt;$B$7,(AJ25-$B$7)*$H$7,0)</f>
        <v>0</v>
      </c>
      <c r="AK29" s="48">
        <v>0</v>
      </c>
      <c r="AL29" s="49"/>
      <c r="AM29" s="49"/>
      <c r="AN29" s="49"/>
      <c r="AO29" s="49"/>
      <c r="AP29" s="49"/>
      <c r="AQ29" s="49"/>
      <c r="AR29" s="49"/>
      <c r="AS29" s="49"/>
      <c r="AT29" s="49"/>
      <c r="AU29" s="49"/>
      <c r="AV29" s="49"/>
    </row>
    <row r="30" spans="1:48" x14ac:dyDescent="0.25">
      <c r="A30" s="50" t="s">
        <v>55</v>
      </c>
      <c r="B30" s="51">
        <f>G4+G5+G6+G7</f>
        <v>700</v>
      </c>
      <c r="C30" s="51">
        <f t="shared" ref="C30:N30" si="13">B30</f>
        <v>700</v>
      </c>
      <c r="D30" s="51">
        <f t="shared" si="13"/>
        <v>700</v>
      </c>
      <c r="E30" s="51">
        <f t="shared" si="13"/>
        <v>700</v>
      </c>
      <c r="F30" s="51">
        <f>E30</f>
        <v>700</v>
      </c>
      <c r="G30" s="51">
        <f>F30</f>
        <v>700</v>
      </c>
      <c r="H30" s="51">
        <f>G30</f>
        <v>700</v>
      </c>
      <c r="I30" s="51">
        <f t="shared" si="13"/>
        <v>700</v>
      </c>
      <c r="J30" s="51">
        <f t="shared" si="13"/>
        <v>700</v>
      </c>
      <c r="K30" s="51">
        <f t="shared" si="13"/>
        <v>700</v>
      </c>
      <c r="L30" s="51">
        <f t="shared" si="13"/>
        <v>700</v>
      </c>
      <c r="M30" s="51">
        <f t="shared" si="13"/>
        <v>700</v>
      </c>
      <c r="N30" s="51">
        <f t="shared" si="13"/>
        <v>700</v>
      </c>
      <c r="O30" s="51">
        <f>N30</f>
        <v>700</v>
      </c>
      <c r="P30" s="51">
        <f>O30</f>
        <v>700</v>
      </c>
      <c r="Q30" s="51">
        <f>P30</f>
        <v>700</v>
      </c>
      <c r="R30" s="51">
        <f t="shared" ref="R30:AD30" si="14">Q30</f>
        <v>700</v>
      </c>
      <c r="S30" s="51">
        <f t="shared" si="14"/>
        <v>700</v>
      </c>
      <c r="T30" s="51">
        <f t="shared" si="14"/>
        <v>700</v>
      </c>
      <c r="U30" s="51">
        <f t="shared" si="14"/>
        <v>700</v>
      </c>
      <c r="V30" s="51">
        <f t="shared" si="14"/>
        <v>700</v>
      </c>
      <c r="W30" s="51">
        <f t="shared" si="14"/>
        <v>700</v>
      </c>
      <c r="X30" s="51">
        <f t="shared" si="14"/>
        <v>700</v>
      </c>
      <c r="Y30" s="51">
        <f t="shared" si="14"/>
        <v>700</v>
      </c>
      <c r="Z30" s="51">
        <f t="shared" si="14"/>
        <v>700</v>
      </c>
      <c r="AA30" s="51">
        <f t="shared" si="14"/>
        <v>700</v>
      </c>
      <c r="AB30" s="51">
        <f t="shared" si="14"/>
        <v>700</v>
      </c>
      <c r="AC30" s="51">
        <f t="shared" si="14"/>
        <v>700</v>
      </c>
      <c r="AD30" s="51">
        <f t="shared" si="14"/>
        <v>700</v>
      </c>
      <c r="AE30" s="51"/>
      <c r="AF30" s="51"/>
      <c r="AG30" s="51"/>
      <c r="AH30" s="51"/>
      <c r="AI30" s="51"/>
      <c r="AJ30" s="49"/>
      <c r="AK30" s="49"/>
      <c r="AL30" s="49"/>
      <c r="AM30" s="49"/>
      <c r="AN30" s="49"/>
      <c r="AO30" s="49"/>
      <c r="AP30" s="49"/>
      <c r="AQ30" s="49"/>
      <c r="AR30" s="49"/>
      <c r="AS30" s="49"/>
      <c r="AT30" s="49"/>
      <c r="AU30" s="49"/>
      <c r="AV30" s="49"/>
    </row>
    <row r="31" spans="1:48" x14ac:dyDescent="0.25">
      <c r="A31" s="52" t="s">
        <v>56</v>
      </c>
      <c r="B31" s="53">
        <f t="shared" ref="B31:AD31" si="15">B26+B27+B28+B29-B30</f>
        <v>1085</v>
      </c>
      <c r="C31" s="53">
        <f>C26+C27+C28+C29-C30</f>
        <v>-700</v>
      </c>
      <c r="D31" s="53">
        <f t="shared" si="15"/>
        <v>1620.5</v>
      </c>
      <c r="E31" s="53">
        <f t="shared" si="15"/>
        <v>-700</v>
      </c>
      <c r="F31" s="53">
        <f>F26+F27+F28+F29-F30</f>
        <v>2156</v>
      </c>
      <c r="G31" s="53">
        <f>G26+G27+G28+G29-G30</f>
        <v>-700</v>
      </c>
      <c r="H31" s="53">
        <f>H26+H27+H28+H29-H30</f>
        <v>2691.5</v>
      </c>
      <c r="I31" s="53">
        <f t="shared" si="15"/>
        <v>-700</v>
      </c>
      <c r="J31" s="53">
        <f t="shared" si="15"/>
        <v>3227</v>
      </c>
      <c r="K31" s="53">
        <f t="shared" si="15"/>
        <v>-700</v>
      </c>
      <c r="L31" s="53">
        <f>L26+L27+L28+L29-L30</f>
        <v>4344.375</v>
      </c>
      <c r="M31" s="53">
        <f t="shared" si="15"/>
        <v>-700</v>
      </c>
      <c r="N31" s="53">
        <f t="shared" si="15"/>
        <v>7229.6999999999989</v>
      </c>
      <c r="O31" s="53">
        <f t="shared" si="15"/>
        <v>-700</v>
      </c>
      <c r="P31" s="53">
        <f t="shared" si="15"/>
        <v>8633.5</v>
      </c>
      <c r="Q31" s="53">
        <f t="shared" si="15"/>
        <v>-700</v>
      </c>
      <c r="R31" s="53">
        <f t="shared" si="15"/>
        <v>9169</v>
      </c>
      <c r="S31" s="53">
        <f t="shared" si="15"/>
        <v>-700</v>
      </c>
      <c r="T31" s="53">
        <f t="shared" si="15"/>
        <v>9704.5</v>
      </c>
      <c r="U31" s="53">
        <f t="shared" si="15"/>
        <v>-700</v>
      </c>
      <c r="V31" s="53">
        <f t="shared" si="15"/>
        <v>10100</v>
      </c>
      <c r="W31" s="53">
        <f t="shared" si="15"/>
        <v>-700</v>
      </c>
      <c r="X31" s="53">
        <f t="shared" si="15"/>
        <v>10100</v>
      </c>
      <c r="Y31" s="53">
        <f t="shared" si="15"/>
        <v>-700</v>
      </c>
      <c r="Z31" s="53">
        <f t="shared" si="15"/>
        <v>10100</v>
      </c>
      <c r="AA31" s="53">
        <f t="shared" si="15"/>
        <v>-700</v>
      </c>
      <c r="AB31" s="53">
        <f t="shared" si="15"/>
        <v>10100</v>
      </c>
      <c r="AC31" s="53">
        <f t="shared" si="15"/>
        <v>-700</v>
      </c>
      <c r="AD31" s="53">
        <f t="shared" si="15"/>
        <v>10100</v>
      </c>
      <c r="AE31" s="53"/>
      <c r="AF31" s="53"/>
      <c r="AG31" s="53"/>
      <c r="AH31" s="53"/>
      <c r="AI31" s="53"/>
      <c r="AJ31" s="54"/>
      <c r="AK31" s="54"/>
      <c r="AL31" s="54"/>
      <c r="AM31" s="54"/>
      <c r="AN31" s="54"/>
      <c r="AO31" s="54"/>
      <c r="AP31" s="54"/>
      <c r="AQ31" s="54"/>
      <c r="AR31" s="54"/>
      <c r="AS31" s="54"/>
      <c r="AT31" s="54"/>
      <c r="AU31" s="54"/>
      <c r="AV31" s="54"/>
    </row>
    <row r="32" spans="1:48" x14ac:dyDescent="0.25">
      <c r="A32" s="55" t="s">
        <v>57</v>
      </c>
      <c r="B32" s="53">
        <f>-B12-B11+B31</f>
        <v>-86915</v>
      </c>
      <c r="C32" s="53">
        <f t="shared" ref="C32:AD32" si="16">B32+C31</f>
        <v>-87615</v>
      </c>
      <c r="D32" s="53">
        <f t="shared" si="16"/>
        <v>-85994.5</v>
      </c>
      <c r="E32" s="53">
        <f t="shared" si="16"/>
        <v>-86694.5</v>
      </c>
      <c r="F32" s="53">
        <f>E32+F31</f>
        <v>-84538.5</v>
      </c>
      <c r="G32" s="53">
        <f>F32+G31</f>
        <v>-85238.5</v>
      </c>
      <c r="H32" s="53">
        <f>G32+H31</f>
        <v>-82547</v>
      </c>
      <c r="I32" s="53">
        <f t="shared" si="16"/>
        <v>-83247</v>
      </c>
      <c r="J32" s="53">
        <f t="shared" si="16"/>
        <v>-80020</v>
      </c>
      <c r="K32" s="53">
        <f t="shared" si="16"/>
        <v>-80720</v>
      </c>
      <c r="L32" s="53">
        <f t="shared" si="16"/>
        <v>-76375.625</v>
      </c>
      <c r="M32" s="53">
        <f t="shared" si="16"/>
        <v>-77075.625</v>
      </c>
      <c r="N32" s="53">
        <f t="shared" si="16"/>
        <v>-69845.925000000003</v>
      </c>
      <c r="O32" s="53">
        <f t="shared" si="16"/>
        <v>-70545.925000000003</v>
      </c>
      <c r="P32" s="53">
        <f t="shared" si="16"/>
        <v>-61912.425000000003</v>
      </c>
      <c r="Q32" s="53">
        <f t="shared" si="16"/>
        <v>-62612.425000000003</v>
      </c>
      <c r="R32" s="53">
        <f t="shared" si="16"/>
        <v>-53443.425000000003</v>
      </c>
      <c r="S32" s="53">
        <f t="shared" si="16"/>
        <v>-54143.425000000003</v>
      </c>
      <c r="T32" s="53">
        <f t="shared" si="16"/>
        <v>-44438.925000000003</v>
      </c>
      <c r="U32" s="53">
        <f t="shared" si="16"/>
        <v>-45138.925000000003</v>
      </c>
      <c r="V32" s="53">
        <f t="shared" si="16"/>
        <v>-35038.925000000003</v>
      </c>
      <c r="W32" s="53">
        <f t="shared" si="16"/>
        <v>-35738.925000000003</v>
      </c>
      <c r="X32" s="53">
        <f t="shared" si="16"/>
        <v>-25638.925000000003</v>
      </c>
      <c r="Y32" s="53">
        <f t="shared" si="16"/>
        <v>-26338.925000000003</v>
      </c>
      <c r="Z32" s="53">
        <f t="shared" si="16"/>
        <v>-16238.925000000003</v>
      </c>
      <c r="AA32" s="53">
        <f t="shared" si="16"/>
        <v>-16938.925000000003</v>
      </c>
      <c r="AB32" s="53">
        <f t="shared" si="16"/>
        <v>-6838.9250000000029</v>
      </c>
      <c r="AC32" s="53">
        <f t="shared" si="16"/>
        <v>-7538.9250000000029</v>
      </c>
      <c r="AD32" s="53">
        <f t="shared" si="16"/>
        <v>2561.0749999999971</v>
      </c>
      <c r="AE32" s="53"/>
      <c r="AF32" s="53"/>
      <c r="AG32" s="53"/>
      <c r="AH32" s="53"/>
      <c r="AI32" s="53"/>
      <c r="AJ32" s="54"/>
      <c r="AK32" s="54"/>
      <c r="AL32" s="54"/>
      <c r="AM32" s="54"/>
      <c r="AN32" s="54"/>
      <c r="AO32" s="54"/>
      <c r="AP32" s="54"/>
      <c r="AQ32" s="54"/>
      <c r="AR32" s="54"/>
      <c r="AS32" s="54"/>
      <c r="AT32" s="54"/>
      <c r="AU32" s="54"/>
      <c r="AV32" s="54"/>
    </row>
    <row r="33" spans="1:48" x14ac:dyDescent="0.25">
      <c r="B33" s="56">
        <f>B32/$B$13</f>
        <v>-0.98767045454545455</v>
      </c>
      <c r="C33" s="56">
        <f t="shared" ref="C33:AD33" si="17">C32/$B$13</f>
        <v>-0.99562499999999998</v>
      </c>
      <c r="D33" s="56">
        <f t="shared" si="17"/>
        <v>-0.97721022727272733</v>
      </c>
      <c r="E33" s="56">
        <f t="shared" si="17"/>
        <v>-0.98516477272727276</v>
      </c>
      <c r="F33" s="56">
        <f t="shared" si="17"/>
        <v>-0.96066477272727269</v>
      </c>
      <c r="G33" s="56">
        <f t="shared" si="17"/>
        <v>-0.96861931818181823</v>
      </c>
      <c r="H33" s="56">
        <f t="shared" si="17"/>
        <v>-0.93803409090909096</v>
      </c>
      <c r="I33" s="56">
        <f t="shared" si="17"/>
        <v>-0.94598863636363639</v>
      </c>
      <c r="J33" s="56">
        <f t="shared" si="17"/>
        <v>-0.9093181818181818</v>
      </c>
      <c r="K33" s="56">
        <f t="shared" si="17"/>
        <v>-0.91727272727272724</v>
      </c>
      <c r="L33" s="56">
        <f t="shared" si="17"/>
        <v>-0.86790482954545456</v>
      </c>
      <c r="M33" s="56">
        <f t="shared" si="17"/>
        <v>-0.875859375</v>
      </c>
      <c r="N33" s="56">
        <f t="shared" si="17"/>
        <v>-0.79370369318181822</v>
      </c>
      <c r="O33" s="56">
        <f t="shared" si="17"/>
        <v>-0.80165823863636365</v>
      </c>
      <c r="P33" s="56">
        <f t="shared" si="17"/>
        <v>-0.70355028409090914</v>
      </c>
      <c r="Q33" s="56">
        <f t="shared" si="17"/>
        <v>-0.71150482954545458</v>
      </c>
      <c r="R33" s="56">
        <f t="shared" si="17"/>
        <v>-0.60731164772727275</v>
      </c>
      <c r="S33" s="56">
        <f t="shared" si="17"/>
        <v>-0.61526619318181819</v>
      </c>
      <c r="T33" s="56">
        <f t="shared" si="17"/>
        <v>-0.50498778409090916</v>
      </c>
      <c r="U33" s="56">
        <f t="shared" si="17"/>
        <v>-0.5129423295454546</v>
      </c>
      <c r="V33" s="56">
        <f t="shared" si="17"/>
        <v>-0.3981696022727273</v>
      </c>
      <c r="W33" s="56">
        <f t="shared" si="17"/>
        <v>-0.40612414772727273</v>
      </c>
      <c r="X33" s="56">
        <f t="shared" si="17"/>
        <v>-0.29135142045454548</v>
      </c>
      <c r="Y33" s="56">
        <f t="shared" si="17"/>
        <v>-0.29930596590909092</v>
      </c>
      <c r="Z33" s="56">
        <f t="shared" si="17"/>
        <v>-0.18453323863636367</v>
      </c>
      <c r="AA33" s="56">
        <f t="shared" si="17"/>
        <v>-0.19248778409090914</v>
      </c>
      <c r="AB33" s="56">
        <f t="shared" si="17"/>
        <v>-7.7715056818181846E-2</v>
      </c>
      <c r="AC33" s="56">
        <f t="shared" si="17"/>
        <v>-8.566960227272731E-2</v>
      </c>
      <c r="AD33" s="56">
        <f t="shared" si="17"/>
        <v>2.9103124999999966E-2</v>
      </c>
      <c r="AE33" s="56"/>
      <c r="AF33" s="56"/>
      <c r="AG33" s="56"/>
      <c r="AH33" s="56"/>
      <c r="AI33" s="56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</row>
    <row r="34" spans="1:48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</row>
    <row r="35" spans="1:48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</row>
    <row r="36" spans="1:48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57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</row>
    <row r="37" spans="1:48" x14ac:dyDescent="0.25">
      <c r="K37" s="57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</row>
    <row r="38" spans="1:48" x14ac:dyDescent="0.25">
      <c r="K38" s="57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</row>
    <row r="39" spans="1:48" x14ac:dyDescent="0.25">
      <c r="K39" s="57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</row>
    <row r="40" spans="1:48" x14ac:dyDescent="0.25"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</row>
    <row r="41" spans="1:48" x14ac:dyDescent="0.25"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</row>
    <row r="42" spans="1:48" x14ac:dyDescent="0.25"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</row>
    <row r="43" spans="1:48" x14ac:dyDescent="0.25"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</row>
    <row r="44" spans="1:48" x14ac:dyDescent="0.25"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</row>
    <row r="45" spans="1:48" x14ac:dyDescent="0.25"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</row>
  </sheetData>
  <mergeCells count="3">
    <mergeCell ref="D2:E2"/>
    <mergeCell ref="F2:G2"/>
    <mergeCell ref="H2:I2"/>
  </mergeCells>
  <conditionalFormatting sqref="B32:AD32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PLANTILLA</vt:lpstr>
      <vt:lpstr>Economia</vt:lpstr>
      <vt:lpstr>EscolaJedi</vt:lpstr>
      <vt:lpstr>Ahch-To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2019-06-21T14:48:35Z</dcterms:modified>
</cp:coreProperties>
</file>