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330"/>
  <workbookPr filterPrivacy="1" codeName="ThisWorkbook" defaultThemeVersion="124226"/>
  <xr:revisionPtr revIDLastSave="0" documentId="13_ncr:1_{5948C1DC-7BA6-4B5F-9D7C-D13FDED7F42A}" xr6:coauthVersionLast="33" xr6:coauthVersionMax="33" xr10:uidLastSave="{00000000-0000-0000-0000-000000000000}"/>
  <bookViews>
    <workbookView xWindow="240" yWindow="105" windowWidth="14805" windowHeight="8010" firstSheet="2" activeTab="5" xr2:uid="{00000000-000D-0000-FFFF-FFFF00000000}"/>
  </bookViews>
  <sheets>
    <sheet name="Resistencia" sheetId="6" r:id="rId1"/>
    <sheet name="CambioENTRENADOR" sheetId="9" r:id="rId2"/>
    <sheet name="Hall_of_Fame" sheetId="22" r:id="rId3"/>
    <sheet name="CA_Calcutator" sheetId="25" r:id="rId4"/>
    <sheet name="PLANNING" sheetId="24" r:id="rId5"/>
    <sheet name="PLANTILLA" sheetId="1" r:id="rId6"/>
    <sheet name="CAPITAN" sheetId="12" r:id="rId7"/>
    <sheet name="Evaluacion Jugadores" sheetId="3" r:id="rId8"/>
    <sheet name="LAT" sheetId="10" r:id="rId9"/>
    <sheet name="Calculador de Sueldo" sheetId="2" r:id="rId10"/>
    <sheet name="Empleados" sheetId="4" r:id="rId11"/>
  </sheets>
  <calcPr calcId="179017"/>
</workbook>
</file>

<file path=xl/calcChain.xml><?xml version="1.0" encoding="utf-8"?>
<calcChain xmlns="http://schemas.openxmlformats.org/spreadsheetml/2006/main">
  <c r="Y9" i="1" l="1"/>
  <c r="Y7" i="1"/>
  <c r="Y15" i="1"/>
  <c r="Y11" i="1"/>
  <c r="Y14" i="1"/>
  <c r="Y13" i="1"/>
  <c r="Y8" i="1"/>
  <c r="Y12" i="1"/>
  <c r="P4" i="24"/>
  <c r="Y6" i="1"/>
  <c r="Y4" i="1"/>
  <c r="U6" i="10" l="1"/>
  <c r="U7" i="10"/>
  <c r="U8" i="10"/>
  <c r="U9" i="10"/>
  <c r="U12" i="10"/>
  <c r="U13" i="10"/>
  <c r="U14" i="10"/>
  <c r="U15" i="10"/>
  <c r="U11" i="10"/>
  <c r="T12" i="10"/>
  <c r="T13" i="10"/>
  <c r="T14" i="10"/>
  <c r="T15" i="10"/>
  <c r="T11" i="10"/>
  <c r="S12" i="10"/>
  <c r="S13" i="10"/>
  <c r="S14" i="10"/>
  <c r="S15" i="10"/>
  <c r="S11" i="10"/>
  <c r="R12" i="10"/>
  <c r="R13" i="10"/>
  <c r="R14" i="10"/>
  <c r="R15" i="10"/>
  <c r="R11" i="10"/>
  <c r="Q12" i="10"/>
  <c r="Q13" i="10"/>
  <c r="Q14" i="10"/>
  <c r="Q15" i="10"/>
  <c r="Q11" i="10"/>
  <c r="P12" i="10"/>
  <c r="P13" i="10"/>
  <c r="P14" i="10"/>
  <c r="P15" i="10"/>
  <c r="P11" i="10"/>
  <c r="L6" i="10" l="1"/>
  <c r="L7" i="10"/>
  <c r="L8" i="10"/>
  <c r="L9" i="10"/>
  <c r="M9" i="10" s="1"/>
  <c r="L11" i="10"/>
  <c r="L12" i="10"/>
  <c r="L13" i="10"/>
  <c r="L15" i="10"/>
  <c r="L14" i="10"/>
  <c r="E5" i="10"/>
  <c r="F5" i="10"/>
  <c r="G5" i="10"/>
  <c r="H5" i="10"/>
  <c r="I5" i="10"/>
  <c r="J5" i="10"/>
  <c r="K5" i="10"/>
  <c r="E6" i="10"/>
  <c r="F6" i="10"/>
  <c r="G6" i="10"/>
  <c r="H6" i="10"/>
  <c r="I6" i="10"/>
  <c r="J6" i="10"/>
  <c r="K6" i="10"/>
  <c r="E7" i="10"/>
  <c r="F7" i="10"/>
  <c r="G7" i="10"/>
  <c r="H7" i="10"/>
  <c r="I7" i="10"/>
  <c r="J7" i="10"/>
  <c r="K7" i="10"/>
  <c r="E8" i="10"/>
  <c r="F8" i="10"/>
  <c r="G8" i="10"/>
  <c r="H8" i="10"/>
  <c r="I8" i="10"/>
  <c r="J8" i="10"/>
  <c r="K8" i="10"/>
  <c r="E9" i="10"/>
  <c r="F9" i="10"/>
  <c r="G9" i="10"/>
  <c r="H9" i="10"/>
  <c r="I9" i="10"/>
  <c r="J9" i="10"/>
  <c r="K9" i="10"/>
  <c r="E10" i="10"/>
  <c r="F10" i="10"/>
  <c r="G10" i="10"/>
  <c r="H10" i="10"/>
  <c r="I10" i="10"/>
  <c r="J10" i="10"/>
  <c r="K10" i="10"/>
  <c r="E11" i="10"/>
  <c r="F11" i="10"/>
  <c r="G11" i="10"/>
  <c r="H11" i="10"/>
  <c r="I11" i="10"/>
  <c r="J11" i="10"/>
  <c r="K11" i="10"/>
  <c r="E12" i="10"/>
  <c r="F12" i="10"/>
  <c r="G12" i="10"/>
  <c r="H12" i="10"/>
  <c r="I12" i="10"/>
  <c r="J12" i="10"/>
  <c r="K12" i="10"/>
  <c r="E13" i="10"/>
  <c r="F13" i="10"/>
  <c r="G13" i="10"/>
  <c r="H13" i="10"/>
  <c r="I13" i="10"/>
  <c r="J13" i="10"/>
  <c r="K13" i="10"/>
  <c r="E14" i="10"/>
  <c r="F14" i="10"/>
  <c r="G14" i="10"/>
  <c r="H14" i="10"/>
  <c r="I14" i="10"/>
  <c r="J14" i="10"/>
  <c r="K14" i="10"/>
  <c r="E15" i="10"/>
  <c r="F15" i="10"/>
  <c r="G15" i="10"/>
  <c r="H15" i="10"/>
  <c r="I15" i="10"/>
  <c r="J15" i="10"/>
  <c r="K15" i="10"/>
  <c r="E16" i="10"/>
  <c r="F16" i="10"/>
  <c r="G16" i="10"/>
  <c r="H16" i="10"/>
  <c r="I16" i="10"/>
  <c r="J16" i="10"/>
  <c r="K16" i="10"/>
  <c r="E17" i="10"/>
  <c r="F17" i="10"/>
  <c r="G17" i="10"/>
  <c r="H17" i="10"/>
  <c r="I17" i="10"/>
  <c r="J17" i="10"/>
  <c r="K17" i="10"/>
  <c r="E18" i="10"/>
  <c r="F18" i="10"/>
  <c r="G18" i="10"/>
  <c r="H18" i="10"/>
  <c r="I18" i="10"/>
  <c r="J18" i="10"/>
  <c r="K18" i="10"/>
  <c r="E19" i="10"/>
  <c r="F19" i="10"/>
  <c r="G19" i="10"/>
  <c r="H19" i="10"/>
  <c r="I19" i="10"/>
  <c r="J19" i="10"/>
  <c r="K19" i="10"/>
  <c r="E20" i="10"/>
  <c r="F20" i="10"/>
  <c r="G20" i="10"/>
  <c r="H20" i="10"/>
  <c r="I20" i="10"/>
  <c r="J20" i="10"/>
  <c r="K20" i="10"/>
  <c r="E21" i="10"/>
  <c r="F21" i="10"/>
  <c r="G21" i="10"/>
  <c r="H21" i="10"/>
  <c r="I21" i="10"/>
  <c r="J21" i="10"/>
  <c r="K21" i="10"/>
  <c r="F4" i="10"/>
  <c r="G4" i="10"/>
  <c r="H4" i="10"/>
  <c r="I4" i="10"/>
  <c r="J4" i="10"/>
  <c r="K4" i="10"/>
  <c r="E4" i="10"/>
  <c r="F3" i="10"/>
  <c r="G3" i="10"/>
  <c r="H3" i="10"/>
  <c r="I3" i="10"/>
  <c r="J3" i="10"/>
  <c r="K3" i="10"/>
  <c r="E3" i="10"/>
  <c r="A5" i="10"/>
  <c r="B5" i="10"/>
  <c r="C5" i="10"/>
  <c r="A6" i="10"/>
  <c r="B6" i="10"/>
  <c r="C6" i="10"/>
  <c r="A7" i="10"/>
  <c r="B7" i="10"/>
  <c r="C7" i="10"/>
  <c r="A8" i="10"/>
  <c r="B8" i="10"/>
  <c r="C8" i="10"/>
  <c r="A9" i="10"/>
  <c r="B9" i="10"/>
  <c r="C9" i="10"/>
  <c r="A10" i="10"/>
  <c r="B10" i="10"/>
  <c r="C10" i="10"/>
  <c r="A11" i="10"/>
  <c r="B11" i="10"/>
  <c r="C11" i="10"/>
  <c r="A12" i="10"/>
  <c r="B12" i="10"/>
  <c r="C12" i="10"/>
  <c r="A13" i="10"/>
  <c r="B13" i="10"/>
  <c r="C13" i="10"/>
  <c r="A14" i="10"/>
  <c r="B14" i="10"/>
  <c r="C14" i="10"/>
  <c r="A15" i="10"/>
  <c r="B15" i="10"/>
  <c r="C15" i="10"/>
  <c r="A16" i="10"/>
  <c r="B16" i="10"/>
  <c r="C16" i="10"/>
  <c r="A17" i="10"/>
  <c r="B17" i="10"/>
  <c r="C17" i="10"/>
  <c r="A18" i="10"/>
  <c r="B18" i="10"/>
  <c r="C18" i="10"/>
  <c r="A19" i="10"/>
  <c r="B19" i="10"/>
  <c r="C19" i="10"/>
  <c r="A20" i="10"/>
  <c r="B20" i="10"/>
  <c r="C20" i="10"/>
  <c r="A21" i="10"/>
  <c r="B21" i="10"/>
  <c r="C21" i="10"/>
  <c r="C4" i="10"/>
  <c r="B4" i="10"/>
  <c r="A4" i="10"/>
  <c r="O7" i="10" l="1"/>
  <c r="O11" i="10"/>
  <c r="M8" i="10"/>
  <c r="N8" i="10"/>
  <c r="O15" i="10"/>
  <c r="O8" i="10"/>
  <c r="M11" i="10"/>
  <c r="M15" i="10"/>
  <c r="N9" i="10"/>
  <c r="N15" i="10"/>
  <c r="M7" i="10"/>
  <c r="N7" i="10"/>
  <c r="N11" i="10"/>
  <c r="M14" i="10"/>
  <c r="O6" i="10"/>
  <c r="M12" i="10"/>
  <c r="N13" i="10"/>
  <c r="O14" i="10"/>
  <c r="M13" i="10"/>
  <c r="N12" i="10"/>
  <c r="O13" i="10"/>
  <c r="M6" i="10"/>
  <c r="N14" i="10"/>
  <c r="O12" i="10"/>
  <c r="N6" i="10"/>
  <c r="AC13" i="3" l="1"/>
  <c r="AG13" i="3"/>
  <c r="AJ13" i="3"/>
  <c r="AK13" i="3"/>
  <c r="AL13" i="3"/>
  <c r="AM13" i="3"/>
  <c r="AN13" i="3"/>
  <c r="AS13" i="3"/>
  <c r="AT13" i="3"/>
  <c r="AV13" i="3" s="1"/>
  <c r="AU13" i="3"/>
  <c r="AW13" i="3"/>
  <c r="AY13" i="3" s="1"/>
  <c r="AX13" i="3"/>
  <c r="AZ13" i="3"/>
  <c r="BA13" i="3"/>
  <c r="BB13" i="3"/>
  <c r="BC13" i="3"/>
  <c r="BD13" i="3"/>
  <c r="BE13" i="3"/>
  <c r="BF13" i="3"/>
  <c r="BG13" i="3"/>
  <c r="BH13" i="3"/>
  <c r="BK13" i="3"/>
  <c r="BL13" i="3"/>
  <c r="BM13" i="3"/>
  <c r="BN13" i="3"/>
  <c r="BP13" i="3"/>
  <c r="BQ13" i="3"/>
  <c r="BR13" i="3"/>
  <c r="BT13" i="3"/>
  <c r="BU13" i="3"/>
  <c r="BV13" i="3"/>
  <c r="BW13" i="3"/>
  <c r="BX13" i="3"/>
  <c r="BY13" i="3"/>
  <c r="BZ13" i="3"/>
  <c r="CA13" i="3"/>
  <c r="CB13" i="3"/>
  <c r="CD13" i="3" s="1"/>
  <c r="CC13" i="3"/>
  <c r="CE13" i="3"/>
  <c r="R4" i="3"/>
  <c r="S4" i="3"/>
  <c r="T4" i="3"/>
  <c r="S5" i="3"/>
  <c r="S6" i="3"/>
  <c r="T6" i="3"/>
  <c r="R7" i="3"/>
  <c r="S7" i="3"/>
  <c r="R8" i="3"/>
  <c r="S8" i="3"/>
  <c r="R9" i="3"/>
  <c r="S9" i="3"/>
  <c r="T9" i="3"/>
  <c r="S10" i="3"/>
  <c r="S11" i="3"/>
  <c r="R12" i="3"/>
  <c r="S12" i="3"/>
  <c r="T12" i="3"/>
  <c r="R13" i="3"/>
  <c r="AO13" i="3" s="1"/>
  <c r="S13" i="3"/>
  <c r="R14" i="3"/>
  <c r="S14" i="3"/>
  <c r="T14" i="3"/>
  <c r="R15" i="3"/>
  <c r="S15" i="3"/>
  <c r="T15" i="3"/>
  <c r="R16" i="3"/>
  <c r="S16" i="3"/>
  <c r="T16" i="3"/>
  <c r="R17" i="3"/>
  <c r="S17" i="3"/>
  <c r="T17" i="3"/>
  <c r="R18" i="3"/>
  <c r="S18" i="3"/>
  <c r="T18" i="3"/>
  <c r="R19" i="3"/>
  <c r="S19" i="3"/>
  <c r="T19" i="3"/>
  <c r="R20" i="3"/>
  <c r="S20" i="3"/>
  <c r="T20" i="3"/>
  <c r="J4" i="3"/>
  <c r="K4" i="3"/>
  <c r="L4" i="3"/>
  <c r="M4" i="3"/>
  <c r="N4" i="3"/>
  <c r="O4" i="3"/>
  <c r="P4" i="3"/>
  <c r="Q4" i="3"/>
  <c r="J5" i="3"/>
  <c r="K5" i="3"/>
  <c r="L5" i="3"/>
  <c r="R5" i="3" s="1"/>
  <c r="M5" i="3"/>
  <c r="N5" i="3"/>
  <c r="O5" i="3"/>
  <c r="P5" i="3"/>
  <c r="Q5" i="3"/>
  <c r="J6" i="3"/>
  <c r="K6" i="3"/>
  <c r="L6" i="3"/>
  <c r="R6" i="3" s="1"/>
  <c r="M6" i="3"/>
  <c r="N6" i="3"/>
  <c r="O6" i="3"/>
  <c r="P6" i="3"/>
  <c r="Q6" i="3"/>
  <c r="J7" i="3"/>
  <c r="K7" i="3"/>
  <c r="L7" i="3"/>
  <c r="T7" i="3" s="1"/>
  <c r="M7" i="3"/>
  <c r="N7" i="3"/>
  <c r="O7" i="3"/>
  <c r="P7" i="3"/>
  <c r="Q7" i="3"/>
  <c r="J8" i="3"/>
  <c r="K8" i="3"/>
  <c r="L8" i="3"/>
  <c r="T8" i="3" s="1"/>
  <c r="M8" i="3"/>
  <c r="N8" i="3"/>
  <c r="O8" i="3"/>
  <c r="P8" i="3"/>
  <c r="Q8" i="3"/>
  <c r="J9" i="3"/>
  <c r="K9" i="3"/>
  <c r="L9" i="3"/>
  <c r="M9" i="3"/>
  <c r="N9" i="3"/>
  <c r="O9" i="3"/>
  <c r="P9" i="3"/>
  <c r="Q9" i="3"/>
  <c r="J10" i="3"/>
  <c r="K10" i="3"/>
  <c r="L10" i="3"/>
  <c r="T10" i="3" s="1"/>
  <c r="M10" i="3"/>
  <c r="N10" i="3"/>
  <c r="O10" i="3"/>
  <c r="P10" i="3"/>
  <c r="Q10" i="3"/>
  <c r="J11" i="3"/>
  <c r="K11" i="3"/>
  <c r="L11" i="3"/>
  <c r="R11" i="3" s="1"/>
  <c r="M11" i="3"/>
  <c r="N11" i="3"/>
  <c r="O11" i="3"/>
  <c r="P11" i="3"/>
  <c r="Q11" i="3"/>
  <c r="J12" i="3"/>
  <c r="K12" i="3"/>
  <c r="L12" i="3"/>
  <c r="M12" i="3"/>
  <c r="N12" i="3"/>
  <c r="O12" i="3"/>
  <c r="P12" i="3"/>
  <c r="Q12" i="3"/>
  <c r="J13" i="3"/>
  <c r="K13" i="3"/>
  <c r="L13" i="3"/>
  <c r="W13" i="3" s="1"/>
  <c r="Y13" i="3" s="1"/>
  <c r="M13" i="3"/>
  <c r="N13" i="3"/>
  <c r="O13" i="3"/>
  <c r="P13" i="3"/>
  <c r="Q13" i="3"/>
  <c r="J14" i="3"/>
  <c r="K14" i="3"/>
  <c r="L14" i="3"/>
  <c r="M14" i="3"/>
  <c r="N14" i="3"/>
  <c r="O14" i="3"/>
  <c r="P14" i="3"/>
  <c r="Q14" i="3"/>
  <c r="J15" i="3"/>
  <c r="K15" i="3"/>
  <c r="L15" i="3"/>
  <c r="M15" i="3"/>
  <c r="N15" i="3"/>
  <c r="O15" i="3"/>
  <c r="P15" i="3"/>
  <c r="Q15" i="3"/>
  <c r="J16" i="3"/>
  <c r="K16" i="3"/>
  <c r="L16" i="3"/>
  <c r="M16" i="3"/>
  <c r="N16" i="3"/>
  <c r="O16" i="3"/>
  <c r="P16" i="3"/>
  <c r="Q16" i="3"/>
  <c r="J17" i="3"/>
  <c r="K17" i="3"/>
  <c r="L17" i="3"/>
  <c r="M17" i="3"/>
  <c r="N17" i="3"/>
  <c r="O17" i="3"/>
  <c r="P17" i="3"/>
  <c r="Q17" i="3"/>
  <c r="J18" i="3"/>
  <c r="K18" i="3"/>
  <c r="L18" i="3"/>
  <c r="M18" i="3"/>
  <c r="N18" i="3"/>
  <c r="O18" i="3"/>
  <c r="P18" i="3"/>
  <c r="Q18" i="3"/>
  <c r="J19" i="3"/>
  <c r="K19" i="3"/>
  <c r="L19" i="3"/>
  <c r="M19" i="3"/>
  <c r="N19" i="3"/>
  <c r="O19" i="3"/>
  <c r="P19" i="3"/>
  <c r="Q19" i="3"/>
  <c r="J20" i="3"/>
  <c r="K20" i="3"/>
  <c r="L20" i="3"/>
  <c r="M20" i="3"/>
  <c r="N20" i="3"/>
  <c r="O20" i="3"/>
  <c r="P20" i="3"/>
  <c r="Q20" i="3"/>
  <c r="A20" i="3"/>
  <c r="B20" i="3"/>
  <c r="D20" i="3"/>
  <c r="E20" i="3"/>
  <c r="F20" i="3"/>
  <c r="G20" i="3" s="1"/>
  <c r="H20" i="3"/>
  <c r="A19" i="3"/>
  <c r="B19" i="3"/>
  <c r="D19" i="3"/>
  <c r="E19" i="3"/>
  <c r="F19" i="3"/>
  <c r="H19" i="3" s="1"/>
  <c r="G19" i="3"/>
  <c r="A4" i="3"/>
  <c r="B4" i="3"/>
  <c r="D4" i="3"/>
  <c r="E4" i="3"/>
  <c r="F4" i="3"/>
  <c r="H4" i="3" s="1"/>
  <c r="A5" i="3"/>
  <c r="B5" i="3"/>
  <c r="D5" i="3"/>
  <c r="E5" i="3"/>
  <c r="F5" i="3"/>
  <c r="G5" i="3" s="1"/>
  <c r="A6" i="3"/>
  <c r="B6" i="3"/>
  <c r="D6" i="3"/>
  <c r="E6" i="3"/>
  <c r="F6" i="3"/>
  <c r="G6" i="3" s="1"/>
  <c r="A7" i="3"/>
  <c r="B7" i="3"/>
  <c r="D7" i="3"/>
  <c r="E7" i="3"/>
  <c r="F7" i="3"/>
  <c r="G7" i="3" s="1"/>
  <c r="A8" i="3"/>
  <c r="B8" i="3"/>
  <c r="D8" i="3"/>
  <c r="E8" i="3"/>
  <c r="F8" i="3"/>
  <c r="G8" i="3" s="1"/>
  <c r="A9" i="3"/>
  <c r="B9" i="3"/>
  <c r="D9" i="3"/>
  <c r="E9" i="3"/>
  <c r="F9" i="3"/>
  <c r="H9" i="3" s="1"/>
  <c r="G9" i="3"/>
  <c r="A10" i="3"/>
  <c r="B10" i="3"/>
  <c r="D10" i="3"/>
  <c r="E10" i="3"/>
  <c r="F10" i="3"/>
  <c r="G10" i="3" s="1"/>
  <c r="H10" i="3"/>
  <c r="A11" i="3"/>
  <c r="B11" i="3"/>
  <c r="D11" i="3"/>
  <c r="E11" i="3"/>
  <c r="F11" i="3"/>
  <c r="G11" i="3" s="1"/>
  <c r="H11" i="3"/>
  <c r="A12" i="3"/>
  <c r="B12" i="3"/>
  <c r="D12" i="3"/>
  <c r="E12" i="3"/>
  <c r="F12" i="3"/>
  <c r="H12" i="3" s="1"/>
  <c r="G12" i="3"/>
  <c r="A13" i="3"/>
  <c r="B13" i="3"/>
  <c r="D13" i="3"/>
  <c r="E13" i="3"/>
  <c r="F13" i="3"/>
  <c r="G13" i="3" s="1"/>
  <c r="I13" i="3"/>
  <c r="A14" i="3"/>
  <c r="B14" i="3"/>
  <c r="D14" i="3"/>
  <c r="E14" i="3"/>
  <c r="F14" i="3"/>
  <c r="H14" i="3" s="1"/>
  <c r="G14" i="3"/>
  <c r="A15" i="3"/>
  <c r="B15" i="3"/>
  <c r="D15" i="3"/>
  <c r="E15" i="3"/>
  <c r="F15" i="3"/>
  <c r="G15" i="3" s="1"/>
  <c r="A16" i="3"/>
  <c r="B16" i="3"/>
  <c r="D16" i="3"/>
  <c r="E16" i="3"/>
  <c r="F16" i="3"/>
  <c r="G16" i="3" s="1"/>
  <c r="A17" i="3"/>
  <c r="B17" i="3"/>
  <c r="D17" i="3"/>
  <c r="E17" i="3"/>
  <c r="F17" i="3"/>
  <c r="H17" i="3" s="1"/>
  <c r="A18" i="3"/>
  <c r="B18" i="3"/>
  <c r="D18" i="3"/>
  <c r="E18" i="3"/>
  <c r="F18" i="3"/>
  <c r="G18" i="3"/>
  <c r="H18" i="3"/>
  <c r="D3" i="3"/>
  <c r="Q6" i="12"/>
  <c r="R6" i="12"/>
  <c r="S6" i="12"/>
  <c r="P6" i="12"/>
  <c r="O6" i="12"/>
  <c r="Q3" i="12"/>
  <c r="R3" i="12"/>
  <c r="S3" i="12"/>
  <c r="P3" i="12"/>
  <c r="O3" i="12"/>
  <c r="Q5" i="12"/>
  <c r="R5" i="12"/>
  <c r="S5" i="12"/>
  <c r="P5" i="12"/>
  <c r="O5" i="12"/>
  <c r="Q4" i="12"/>
  <c r="R4" i="12"/>
  <c r="S4" i="12"/>
  <c r="Q7" i="12"/>
  <c r="R7" i="12"/>
  <c r="S7" i="12"/>
  <c r="Q8" i="12"/>
  <c r="R8" i="12"/>
  <c r="S8" i="12"/>
  <c r="Q9" i="12"/>
  <c r="R9" i="12"/>
  <c r="S9" i="12"/>
  <c r="Q10" i="12"/>
  <c r="R10" i="12"/>
  <c r="S10" i="12"/>
  <c r="Q11" i="12"/>
  <c r="R11" i="12"/>
  <c r="S11" i="12"/>
  <c r="Q12" i="12"/>
  <c r="R12" i="12"/>
  <c r="S12" i="12"/>
  <c r="Q13" i="12"/>
  <c r="R13" i="12"/>
  <c r="S13" i="12"/>
  <c r="P13" i="12"/>
  <c r="O13" i="12"/>
  <c r="P12" i="12"/>
  <c r="O12" i="12"/>
  <c r="P11" i="12"/>
  <c r="O11" i="12"/>
  <c r="P9" i="12"/>
  <c r="O9" i="12"/>
  <c r="P8" i="12"/>
  <c r="O8" i="12"/>
  <c r="P7" i="12"/>
  <c r="O7" i="12"/>
  <c r="A4" i="12"/>
  <c r="B4" i="12"/>
  <c r="C4" i="12"/>
  <c r="G4" i="12" s="1"/>
  <c r="D4" i="12"/>
  <c r="E4" i="12"/>
  <c r="F4" i="12"/>
  <c r="A5" i="12"/>
  <c r="B5" i="12"/>
  <c r="C5" i="12"/>
  <c r="D5" i="12"/>
  <c r="E5" i="12" s="1"/>
  <c r="F5" i="12" s="1"/>
  <c r="G5" i="12"/>
  <c r="H5" i="12"/>
  <c r="A6" i="12"/>
  <c r="B6" i="12"/>
  <c r="C6" i="12"/>
  <c r="D6" i="12"/>
  <c r="E6" i="12"/>
  <c r="I6" i="12" s="1"/>
  <c r="F6" i="12"/>
  <c r="G6" i="12"/>
  <c r="H6" i="12" s="1"/>
  <c r="J6" i="12" s="1"/>
  <c r="A7" i="12"/>
  <c r="B7" i="12"/>
  <c r="C7" i="12"/>
  <c r="G7" i="12" s="1"/>
  <c r="D7" i="12"/>
  <c r="E7" i="12" s="1"/>
  <c r="F7" i="12" s="1"/>
  <c r="A8" i="12"/>
  <c r="B8" i="12"/>
  <c r="C8" i="12"/>
  <c r="G8" i="12" s="1"/>
  <c r="D8" i="12"/>
  <c r="E8" i="12"/>
  <c r="F8" i="12"/>
  <c r="A9" i="12"/>
  <c r="B9" i="12"/>
  <c r="C9" i="12"/>
  <c r="D9" i="12"/>
  <c r="E9" i="12" s="1"/>
  <c r="F9" i="12" s="1"/>
  <c r="G9" i="12"/>
  <c r="I9" i="12" s="1"/>
  <c r="H9" i="12"/>
  <c r="A10" i="12"/>
  <c r="B10" i="12"/>
  <c r="C10" i="12"/>
  <c r="D10" i="12"/>
  <c r="E10" i="12"/>
  <c r="I10" i="12" s="1"/>
  <c r="F10" i="12"/>
  <c r="G10" i="12"/>
  <c r="H10" i="12" s="1"/>
  <c r="J10" i="12" s="1"/>
  <c r="A11" i="12"/>
  <c r="B11" i="12"/>
  <c r="C11" i="12"/>
  <c r="G11" i="12" s="1"/>
  <c r="D11" i="12"/>
  <c r="E11" i="12" s="1"/>
  <c r="F11" i="12" s="1"/>
  <c r="A12" i="12"/>
  <c r="B12" i="12"/>
  <c r="C12" i="12"/>
  <c r="G12" i="12" s="1"/>
  <c r="D12" i="12"/>
  <c r="E12" i="12"/>
  <c r="F12" i="12"/>
  <c r="A13" i="12"/>
  <c r="B13" i="12"/>
  <c r="C13" i="12"/>
  <c r="D13" i="12"/>
  <c r="E13" i="12" s="1"/>
  <c r="F13" i="12" s="1"/>
  <c r="G13" i="12"/>
  <c r="I13" i="12" s="1"/>
  <c r="H13" i="12"/>
  <c r="J13" i="12" s="1"/>
  <c r="A14" i="12"/>
  <c r="B14" i="12"/>
  <c r="C14" i="12"/>
  <c r="D14" i="12"/>
  <c r="E14" i="12"/>
  <c r="I14" i="12" s="1"/>
  <c r="F14" i="12"/>
  <c r="G14" i="12"/>
  <c r="H14" i="12" s="1"/>
  <c r="J14" i="12" s="1"/>
  <c r="A15" i="12"/>
  <c r="B15" i="12"/>
  <c r="C15" i="12"/>
  <c r="G15" i="12" s="1"/>
  <c r="D15" i="12"/>
  <c r="E15" i="12" s="1"/>
  <c r="F15" i="12" s="1"/>
  <c r="A16" i="12"/>
  <c r="B16" i="12"/>
  <c r="C16" i="12"/>
  <c r="G16" i="12" s="1"/>
  <c r="D16" i="12"/>
  <c r="E16" i="12"/>
  <c r="F16" i="12"/>
  <c r="A17" i="12"/>
  <c r="B17" i="12"/>
  <c r="C17" i="12"/>
  <c r="D17" i="12"/>
  <c r="E17" i="12" s="1"/>
  <c r="F17" i="12" s="1"/>
  <c r="G17" i="12"/>
  <c r="I17" i="12" s="1"/>
  <c r="H17" i="12"/>
  <c r="J17" i="12" s="1"/>
  <c r="A18" i="12"/>
  <c r="B18" i="12"/>
  <c r="C18" i="12"/>
  <c r="D18" i="12"/>
  <c r="E18" i="12"/>
  <c r="I18" i="12" s="1"/>
  <c r="F18" i="12"/>
  <c r="G18" i="12"/>
  <c r="H18" i="12" s="1"/>
  <c r="J18" i="12" s="1"/>
  <c r="A19" i="12"/>
  <c r="B19" i="12"/>
  <c r="C19" i="12"/>
  <c r="G19" i="12" s="1"/>
  <c r="D19" i="12"/>
  <c r="E19" i="12" s="1"/>
  <c r="F19" i="12" s="1"/>
  <c r="A20" i="12"/>
  <c r="B20" i="12"/>
  <c r="C20" i="12"/>
  <c r="G20" i="12" s="1"/>
  <c r="D20" i="12"/>
  <c r="E20" i="12"/>
  <c r="F20" i="12"/>
  <c r="D3" i="12"/>
  <c r="C3" i="12"/>
  <c r="B3" i="12"/>
  <c r="A3" i="12"/>
  <c r="O14" i="25"/>
  <c r="O15" i="25"/>
  <c r="O16" i="25"/>
  <c r="O13" i="25"/>
  <c r="R12" i="25"/>
  <c r="R10" i="3" l="1"/>
  <c r="AE13" i="3"/>
  <c r="AD13" i="3"/>
  <c r="AF13" i="3" s="1"/>
  <c r="BS13" i="3"/>
  <c r="BJ13" i="3"/>
  <c r="AA13" i="3"/>
  <c r="BI13" i="3"/>
  <c r="AQ13" i="3"/>
  <c r="AI13" i="3"/>
  <c r="Z13" i="3"/>
  <c r="AB13" i="3" s="1"/>
  <c r="AP13" i="3"/>
  <c r="AR13" i="3" s="1"/>
  <c r="AH13" i="3"/>
  <c r="X13" i="3"/>
  <c r="T13" i="3"/>
  <c r="BO13" i="3"/>
  <c r="U13" i="3"/>
  <c r="V13" i="3" s="1"/>
  <c r="T11" i="3"/>
  <c r="T5" i="3"/>
  <c r="H6" i="3"/>
  <c r="G17" i="3"/>
  <c r="G4" i="3"/>
  <c r="H13" i="3"/>
  <c r="H5" i="3"/>
  <c r="H16" i="3"/>
  <c r="H8" i="3"/>
  <c r="H15" i="3"/>
  <c r="H7" i="3"/>
  <c r="H16" i="12"/>
  <c r="J16" i="12" s="1"/>
  <c r="I16" i="12"/>
  <c r="H20" i="12"/>
  <c r="J20" i="12" s="1"/>
  <c r="I20" i="12"/>
  <c r="H12" i="12"/>
  <c r="J12" i="12" s="1"/>
  <c r="I12" i="12"/>
  <c r="H15" i="12"/>
  <c r="J15" i="12" s="1"/>
  <c r="I15" i="12"/>
  <c r="J5" i="12"/>
  <c r="I8" i="12"/>
  <c r="H8" i="12"/>
  <c r="J8" i="12" s="1"/>
  <c r="H7" i="12"/>
  <c r="J7" i="12" s="1"/>
  <c r="I7" i="12"/>
  <c r="H11" i="12"/>
  <c r="J11" i="12" s="1"/>
  <c r="I11" i="12"/>
  <c r="H19" i="12"/>
  <c r="J19" i="12" s="1"/>
  <c r="I19" i="12"/>
  <c r="J9" i="12"/>
  <c r="I5" i="12"/>
  <c r="I4" i="12"/>
  <c r="H4" i="12"/>
  <c r="J4" i="12" s="1"/>
  <c r="G30" i="24"/>
  <c r="Y33" i="24"/>
  <c r="Y31" i="24"/>
  <c r="Y28" i="24"/>
  <c r="Y27" i="24"/>
  <c r="Y22" i="24"/>
  <c r="Y14" i="24"/>
  <c r="Y4" i="24"/>
  <c r="Y5" i="24"/>
  <c r="Y6" i="24"/>
  <c r="Y7" i="24"/>
  <c r="Y9" i="24"/>
  <c r="Y10" i="24"/>
  <c r="Y13" i="24"/>
  <c r="Y15" i="24"/>
  <c r="Y3" i="24"/>
  <c r="H14" i="25"/>
  <c r="H15" i="25"/>
  <c r="H16" i="25"/>
  <c r="H17" i="25"/>
  <c r="H13" i="25"/>
  <c r="H6" i="25"/>
  <c r="H5" i="25"/>
  <c r="H4" i="25"/>
  <c r="H3" i="25"/>
  <c r="A3" i="25"/>
  <c r="A4" i="25"/>
  <c r="A5" i="25"/>
  <c r="A6" i="25"/>
  <c r="H2" i="25" s="1"/>
  <c r="A7" i="25"/>
  <c r="A8" i="25"/>
  <c r="A9" i="25"/>
  <c r="A10" i="25"/>
  <c r="A11" i="25"/>
  <c r="A12" i="25"/>
  <c r="A13" i="25"/>
  <c r="A14" i="25"/>
  <c r="A15" i="25"/>
  <c r="A16" i="25"/>
  <c r="A17" i="25"/>
  <c r="A18" i="25"/>
  <c r="A19" i="25"/>
  <c r="A2" i="25"/>
  <c r="K1" i="25"/>
  <c r="R1" i="25" s="1"/>
  <c r="O5" i="25" l="1"/>
  <c r="O4" i="25"/>
  <c r="O2" i="25"/>
  <c r="O3" i="25"/>
  <c r="AE19" i="1"/>
  <c r="AE21" i="1"/>
  <c r="AE20" i="1"/>
  <c r="AE18" i="1"/>
  <c r="AE16" i="1"/>
  <c r="AE5" i="1"/>
  <c r="AS8" i="24" l="1"/>
  <c r="AS26" i="24"/>
  <c r="AE10" i="1" l="1"/>
  <c r="AB22" i="24" l="1"/>
  <c r="AB23" i="24"/>
  <c r="AB24" i="24"/>
  <c r="AB25" i="24"/>
  <c r="AB26" i="24"/>
  <c r="AB27" i="24"/>
  <c r="AB28" i="24"/>
  <c r="AB29" i="24"/>
  <c r="AB30" i="24"/>
  <c r="AB31" i="24"/>
  <c r="AB32" i="24"/>
  <c r="AB33" i="24"/>
  <c r="AB21" i="24"/>
  <c r="AJ26" i="24"/>
  <c r="AJ29" i="24"/>
  <c r="AJ30" i="24"/>
  <c r="AH36" i="24"/>
  <c r="AH35" i="24"/>
  <c r="AH34" i="24"/>
  <c r="AH33" i="24"/>
  <c r="AH32" i="24"/>
  <c r="AH31" i="24"/>
  <c r="AH30" i="24"/>
  <c r="AH29" i="24"/>
  <c r="AH28" i="24"/>
  <c r="AH27" i="24"/>
  <c r="AH26" i="24"/>
  <c r="AH25" i="24"/>
  <c r="AH24" i="24"/>
  <c r="AH23" i="24"/>
  <c r="AH22" i="24"/>
  <c r="AE33" i="24"/>
  <c r="AE32" i="24"/>
  <c r="AE31" i="24"/>
  <c r="AE30" i="24"/>
  <c r="AE29" i="24"/>
  <c r="AE28" i="24"/>
  <c r="AE27" i="24"/>
  <c r="AE26" i="24"/>
  <c r="AE25" i="24"/>
  <c r="AE24" i="24"/>
  <c r="AE22" i="24"/>
  <c r="AM23" i="24"/>
  <c r="AM24" i="24"/>
  <c r="AM25" i="24"/>
  <c r="AM26" i="24"/>
  <c r="AM27" i="24"/>
  <c r="AM28" i="24"/>
  <c r="AM29" i="24"/>
  <c r="AM30" i="24"/>
  <c r="AM31" i="24"/>
  <c r="AM32" i="24"/>
  <c r="AM33" i="24"/>
  <c r="AM34" i="24"/>
  <c r="AM35" i="24"/>
  <c r="AM36" i="24"/>
  <c r="AM22" i="24"/>
  <c r="AH21" i="24"/>
  <c r="N26" i="24"/>
  <c r="Y26" i="24"/>
  <c r="Z26" i="24"/>
  <c r="AO22" i="24"/>
  <c r="AO23" i="24"/>
  <c r="AO24" i="24"/>
  <c r="AO25" i="24"/>
  <c r="AO26" i="24"/>
  <c r="AO27" i="24"/>
  <c r="AO28" i="24"/>
  <c r="AO31" i="24"/>
  <c r="AO32" i="24"/>
  <c r="AO33" i="24"/>
  <c r="AO34" i="24"/>
  <c r="AO35" i="24"/>
  <c r="AO36" i="24"/>
  <c r="AO21" i="24"/>
  <c r="Y35" i="24"/>
  <c r="Z35" i="24"/>
  <c r="Y36" i="24"/>
  <c r="Z36" i="24"/>
  <c r="Y34" i="24"/>
  <c r="Z34" i="24"/>
  <c r="Y30" i="24"/>
  <c r="Z30" i="24"/>
  <c r="Y29" i="24"/>
  <c r="Z29" i="24"/>
  <c r="N35" i="24"/>
  <c r="N36" i="24"/>
  <c r="N34" i="24"/>
  <c r="P36" i="24"/>
  <c r="O36" i="24"/>
  <c r="H36" i="24"/>
  <c r="G36" i="24"/>
  <c r="P35" i="24"/>
  <c r="O35" i="24"/>
  <c r="H35" i="24"/>
  <c r="G35" i="24"/>
  <c r="N30" i="24"/>
  <c r="AH13" i="24"/>
  <c r="AH9" i="24"/>
  <c r="AH7" i="24"/>
  <c r="AH3" i="24"/>
  <c r="N29" i="24"/>
  <c r="O22" i="24" l="1"/>
  <c r="Q22" i="24"/>
  <c r="R22" i="24"/>
  <c r="S22" i="24"/>
  <c r="T22" i="24"/>
  <c r="U22" i="24"/>
  <c r="O23" i="24"/>
  <c r="Q23" i="24"/>
  <c r="R23" i="24"/>
  <c r="S23" i="24"/>
  <c r="T23" i="24"/>
  <c r="U23" i="24"/>
  <c r="O24" i="24"/>
  <c r="Q24" i="24"/>
  <c r="R24" i="24"/>
  <c r="S24" i="24"/>
  <c r="T24" i="24"/>
  <c r="U24" i="24"/>
  <c r="O25" i="24"/>
  <c r="Q25" i="24"/>
  <c r="R25" i="24"/>
  <c r="S25" i="24"/>
  <c r="T25" i="24"/>
  <c r="U25" i="24"/>
  <c r="O26" i="24"/>
  <c r="R26" i="24"/>
  <c r="T26" i="24"/>
  <c r="U26" i="24"/>
  <c r="O27" i="24"/>
  <c r="Q27" i="24"/>
  <c r="R27" i="24"/>
  <c r="S27" i="24"/>
  <c r="T27" i="24"/>
  <c r="U27" i="24"/>
  <c r="O28" i="24"/>
  <c r="Q28" i="24"/>
  <c r="R28" i="24"/>
  <c r="S28" i="24"/>
  <c r="T28" i="24"/>
  <c r="U28" i="24"/>
  <c r="O29" i="24"/>
  <c r="O30" i="24"/>
  <c r="O31" i="24"/>
  <c r="Q31" i="24"/>
  <c r="R31" i="24"/>
  <c r="S31" i="24"/>
  <c r="T31" i="24"/>
  <c r="U31" i="24"/>
  <c r="O32" i="24"/>
  <c r="Q32" i="24"/>
  <c r="R32" i="24"/>
  <c r="S32" i="24"/>
  <c r="T32" i="24"/>
  <c r="U32" i="24"/>
  <c r="O33" i="24"/>
  <c r="Q33" i="24"/>
  <c r="R33" i="24"/>
  <c r="S33" i="24"/>
  <c r="T33" i="24"/>
  <c r="U33" i="24"/>
  <c r="Q21" i="24"/>
  <c r="R21" i="24"/>
  <c r="S21" i="24"/>
  <c r="T21" i="24"/>
  <c r="U21" i="24"/>
  <c r="O21" i="24"/>
  <c r="N22" i="24"/>
  <c r="N23" i="24"/>
  <c r="N24" i="24"/>
  <c r="N25" i="24"/>
  <c r="N27" i="24"/>
  <c r="N28" i="24"/>
  <c r="N31" i="24"/>
  <c r="N32" i="24"/>
  <c r="N33" i="24"/>
  <c r="N21" i="24"/>
  <c r="H22" i="24"/>
  <c r="J22" i="24"/>
  <c r="H23" i="24"/>
  <c r="J23" i="24"/>
  <c r="H24" i="24"/>
  <c r="H25" i="24"/>
  <c r="G26" i="24"/>
  <c r="J26" i="24"/>
  <c r="L26" i="24"/>
  <c r="M26" i="24"/>
  <c r="H27" i="24"/>
  <c r="J27" i="24"/>
  <c r="H28" i="24"/>
  <c r="J28" i="24"/>
  <c r="G29" i="24"/>
  <c r="H31" i="24"/>
  <c r="J31" i="24"/>
  <c r="H32" i="24"/>
  <c r="J32" i="24"/>
  <c r="H33" i="24"/>
  <c r="J33" i="24"/>
  <c r="G34" i="24"/>
  <c r="H34" i="24"/>
  <c r="H21" i="24"/>
  <c r="AS25" i="24"/>
  <c r="D21" i="24"/>
  <c r="AH15" i="24" l="1"/>
  <c r="AH14" i="24"/>
  <c r="AH10" i="24"/>
  <c r="AH6" i="24"/>
  <c r="AH5" i="24"/>
  <c r="AH4" i="24"/>
  <c r="AB15" i="24"/>
  <c r="AB14" i="24"/>
  <c r="AB13" i="24"/>
  <c r="AB9" i="24"/>
  <c r="AB7" i="24"/>
  <c r="AB6" i="24"/>
  <c r="AB5" i="24"/>
  <c r="AB4" i="24"/>
  <c r="AB3" i="24"/>
  <c r="AJ4" i="24" l="1"/>
  <c r="P22" i="24" s="1"/>
  <c r="AJ22" i="24" s="1"/>
  <c r="AJ5" i="24"/>
  <c r="P23" i="24" s="1"/>
  <c r="AJ23" i="24" s="1"/>
  <c r="AJ6" i="24"/>
  <c r="P24" i="24" s="1"/>
  <c r="AJ24" i="24" s="1"/>
  <c r="AJ7" i="24"/>
  <c r="P25" i="24" s="1"/>
  <c r="AJ25" i="24" s="1"/>
  <c r="AJ9" i="24"/>
  <c r="P27" i="24" s="1"/>
  <c r="AJ27" i="24" s="1"/>
  <c r="AJ10" i="24"/>
  <c r="P28" i="24" s="1"/>
  <c r="AJ28" i="24" s="1"/>
  <c r="AJ13" i="24"/>
  <c r="P31" i="24" s="1"/>
  <c r="AJ31" i="24" s="1"/>
  <c r="AJ14" i="24"/>
  <c r="P32" i="24" s="1"/>
  <c r="AJ32" i="24" s="1"/>
  <c r="AJ15" i="24"/>
  <c r="P33" i="24" s="1"/>
  <c r="AJ33" i="24" s="1"/>
  <c r="AJ3" i="24"/>
  <c r="P21" i="24" s="1"/>
  <c r="AJ21" i="24" s="1"/>
  <c r="AI4" i="24"/>
  <c r="AK4" i="24"/>
  <c r="AL4" i="24"/>
  <c r="AM4" i="24"/>
  <c r="AN4" i="24"/>
  <c r="AO4" i="24"/>
  <c r="AI5" i="24"/>
  <c r="AK5" i="24"/>
  <c r="AL5" i="24"/>
  <c r="AM5" i="24"/>
  <c r="AN5" i="24"/>
  <c r="AO5" i="24"/>
  <c r="AI6" i="24"/>
  <c r="AK6" i="24"/>
  <c r="AL6" i="24"/>
  <c r="AM6" i="24"/>
  <c r="AN6" i="24"/>
  <c r="AO6" i="24"/>
  <c r="AI7" i="24"/>
  <c r="AK7" i="24"/>
  <c r="AL7" i="24"/>
  <c r="AM7" i="24"/>
  <c r="AN7" i="24"/>
  <c r="AO7" i="24"/>
  <c r="AI8" i="24"/>
  <c r="AK8" i="24"/>
  <c r="AL8" i="24"/>
  <c r="AM8" i="24"/>
  <c r="AN8" i="24"/>
  <c r="AO8" i="24"/>
  <c r="AI9" i="24"/>
  <c r="AK9" i="24"/>
  <c r="AL9" i="24"/>
  <c r="AM9" i="24"/>
  <c r="AN9" i="24"/>
  <c r="AO9" i="24"/>
  <c r="AI10" i="24"/>
  <c r="AK10" i="24"/>
  <c r="AL10" i="24"/>
  <c r="AM10" i="24"/>
  <c r="AN10" i="24"/>
  <c r="AO10" i="24"/>
  <c r="AI11" i="24"/>
  <c r="AK11" i="24"/>
  <c r="AL11" i="24"/>
  <c r="AM11" i="24"/>
  <c r="AN11" i="24"/>
  <c r="AO11" i="24"/>
  <c r="AI12" i="24"/>
  <c r="AK12" i="24"/>
  <c r="AL12" i="24"/>
  <c r="AM12" i="24"/>
  <c r="AN12" i="24"/>
  <c r="AO12" i="24"/>
  <c r="AI13" i="24"/>
  <c r="AK13" i="24"/>
  <c r="AL13" i="24"/>
  <c r="AM13" i="24"/>
  <c r="AN13" i="24"/>
  <c r="AO13" i="24"/>
  <c r="AI14" i="24"/>
  <c r="AK14" i="24"/>
  <c r="AL14" i="24"/>
  <c r="AM14" i="24"/>
  <c r="AN14" i="24"/>
  <c r="AO14" i="24"/>
  <c r="AI15" i="24"/>
  <c r="AK15" i="24"/>
  <c r="AL15" i="24"/>
  <c r="AM15" i="24"/>
  <c r="AN15" i="24"/>
  <c r="AO15" i="24"/>
  <c r="AI16" i="24"/>
  <c r="AK16" i="24"/>
  <c r="AL16" i="24"/>
  <c r="AM16" i="24"/>
  <c r="AN16" i="24"/>
  <c r="AO16" i="24"/>
  <c r="AI17" i="24"/>
  <c r="AK17" i="24"/>
  <c r="AL17" i="24"/>
  <c r="AM17" i="24"/>
  <c r="AN17" i="24"/>
  <c r="AO17" i="24"/>
  <c r="AI18" i="24"/>
  <c r="AK18" i="24"/>
  <c r="AL18" i="24"/>
  <c r="AM18" i="24"/>
  <c r="AN18" i="24"/>
  <c r="AO18" i="24"/>
  <c r="AA8" i="1" l="1"/>
  <c r="AA15" i="1"/>
  <c r="AA11" i="1"/>
  <c r="AA14" i="1"/>
  <c r="AA6" i="1" l="1"/>
  <c r="N19" i="1" l="1"/>
  <c r="I18" i="3" s="1"/>
  <c r="AJ18" i="3" l="1"/>
  <c r="AZ18" i="3"/>
  <c r="BH18" i="3"/>
  <c r="BP18" i="3"/>
  <c r="BX18" i="3"/>
  <c r="AC18" i="3"/>
  <c r="AK18" i="3"/>
  <c r="AS18" i="3"/>
  <c r="BA18" i="3"/>
  <c r="BC18" i="3" s="1"/>
  <c r="BI18" i="3"/>
  <c r="BQ18" i="3"/>
  <c r="BY18" i="3"/>
  <c r="CA18" i="3" s="1"/>
  <c r="AD18" i="3"/>
  <c r="AF18" i="3" s="1"/>
  <c r="AL18" i="3"/>
  <c r="AT18" i="3"/>
  <c r="AV18" i="3" s="1"/>
  <c r="BB18" i="3"/>
  <c r="BJ18" i="3"/>
  <c r="BR18" i="3"/>
  <c r="BZ18" i="3"/>
  <c r="W18" i="3"/>
  <c r="Y18" i="3" s="1"/>
  <c r="AE18" i="3"/>
  <c r="AM18" i="3"/>
  <c r="AU18" i="3"/>
  <c r="BK18" i="3"/>
  <c r="BS18" i="3"/>
  <c r="Z18" i="3"/>
  <c r="AB18" i="3" s="1"/>
  <c r="AH18" i="3"/>
  <c r="AP18" i="3"/>
  <c r="AR18" i="3" s="1"/>
  <c r="AX18" i="3"/>
  <c r="BF18" i="3"/>
  <c r="BN18" i="3"/>
  <c r="BV18" i="3"/>
  <c r="BO18" i="3"/>
  <c r="BU18" i="3"/>
  <c r="AG18" i="3"/>
  <c r="BW18" i="3"/>
  <c r="X18" i="3"/>
  <c r="BM18" i="3"/>
  <c r="AA18" i="3"/>
  <c r="AW18" i="3"/>
  <c r="AY18" i="3" s="1"/>
  <c r="BT18" i="3"/>
  <c r="BD18" i="3"/>
  <c r="AI18" i="3"/>
  <c r="BE18" i="3"/>
  <c r="CB18" i="3"/>
  <c r="CD18" i="3" s="1"/>
  <c r="AN18" i="3"/>
  <c r="BG18" i="3"/>
  <c r="CC18" i="3"/>
  <c r="AO18" i="3"/>
  <c r="BL18" i="3"/>
  <c r="CE18" i="3"/>
  <c r="AQ18" i="3"/>
  <c r="U18" i="3"/>
  <c r="V18" i="3"/>
  <c r="N3" i="24"/>
  <c r="H3" i="24"/>
  <c r="I3" i="24"/>
  <c r="J3" i="24"/>
  <c r="K3" i="24"/>
  <c r="L3" i="24"/>
  <c r="M3" i="24"/>
  <c r="G3" i="24"/>
  <c r="E3" i="24"/>
  <c r="E21" i="24" s="1"/>
  <c r="Y21" i="24" s="1"/>
  <c r="I2" i="1"/>
  <c r="O2" i="1"/>
  <c r="Q2" i="1"/>
  <c r="V2" i="1"/>
  <c r="T2" i="1"/>
  <c r="N4" i="1"/>
  <c r="I3" i="3" s="1"/>
  <c r="D24" i="24" l="1"/>
  <c r="D25" i="24"/>
  <c r="N7" i="24"/>
  <c r="H7" i="24"/>
  <c r="I7" i="24"/>
  <c r="J7" i="24"/>
  <c r="K7" i="24"/>
  <c r="L7" i="24"/>
  <c r="M7" i="24"/>
  <c r="G7" i="24"/>
  <c r="E7" i="24"/>
  <c r="E25" i="24" s="1"/>
  <c r="Y25" i="24" s="1"/>
  <c r="N20" i="1" l="1"/>
  <c r="I19" i="3" s="1"/>
  <c r="U19" i="3" l="1"/>
  <c r="V19" i="3" s="1"/>
  <c r="W19" i="3"/>
  <c r="Y19" i="3" s="1"/>
  <c r="AE19" i="3"/>
  <c r="AM19" i="3"/>
  <c r="AU19" i="3"/>
  <c r="BK19" i="3"/>
  <c r="BS19" i="3"/>
  <c r="X19" i="3"/>
  <c r="AN19" i="3"/>
  <c r="BD19" i="3"/>
  <c r="BL19" i="3"/>
  <c r="BT19" i="3"/>
  <c r="CB19" i="3"/>
  <c r="CD19" i="3" s="1"/>
  <c r="AG19" i="3"/>
  <c r="AO19" i="3"/>
  <c r="AW19" i="3"/>
  <c r="AY19" i="3" s="1"/>
  <c r="BE19" i="3"/>
  <c r="BM19" i="3"/>
  <c r="BU19" i="3"/>
  <c r="CC19" i="3"/>
  <c r="Z19" i="3"/>
  <c r="AB19" i="3" s="1"/>
  <c r="AH19" i="3"/>
  <c r="AP19" i="3"/>
  <c r="AR19" i="3" s="1"/>
  <c r="AX19" i="3"/>
  <c r="BF19" i="3"/>
  <c r="BN19" i="3"/>
  <c r="BV19" i="3"/>
  <c r="AC19" i="3"/>
  <c r="AK19" i="3"/>
  <c r="AS19" i="3"/>
  <c r="BA19" i="3"/>
  <c r="BC19" i="3" s="1"/>
  <c r="BI19" i="3"/>
  <c r="BQ19" i="3"/>
  <c r="BY19" i="3"/>
  <c r="CA19" i="3" s="1"/>
  <c r="BR19" i="3"/>
  <c r="AZ19" i="3"/>
  <c r="AI19" i="3"/>
  <c r="BX19" i="3"/>
  <c r="AJ19" i="3"/>
  <c r="BZ19" i="3"/>
  <c r="AT19" i="3"/>
  <c r="AV19" i="3" s="1"/>
  <c r="AD19" i="3"/>
  <c r="AF19" i="3" s="1"/>
  <c r="BW19" i="3"/>
  <c r="BB19" i="3"/>
  <c r="BG19" i="3"/>
  <c r="AL19" i="3"/>
  <c r="BH19" i="3"/>
  <c r="CE19" i="3"/>
  <c r="AQ19" i="3"/>
  <c r="BJ19" i="3"/>
  <c r="BO19" i="3"/>
  <c r="AA19" i="3"/>
  <c r="BP19" i="3"/>
  <c r="N21" i="1"/>
  <c r="I20" i="3" s="1"/>
  <c r="Z20" i="3" l="1"/>
  <c r="AB20" i="3" s="1"/>
  <c r="AH20" i="3"/>
  <c r="AP20" i="3"/>
  <c r="AR20" i="3" s="1"/>
  <c r="AX20" i="3"/>
  <c r="BF20" i="3"/>
  <c r="BN20" i="3"/>
  <c r="BV20" i="3"/>
  <c r="BY20" i="3"/>
  <c r="CA20" i="3" s="1"/>
  <c r="AA20" i="3"/>
  <c r="AI20" i="3"/>
  <c r="AQ20" i="3"/>
  <c r="BG20" i="3"/>
  <c r="BO20" i="3"/>
  <c r="BW20" i="3"/>
  <c r="CE20" i="3"/>
  <c r="BQ20" i="3"/>
  <c r="AJ20" i="3"/>
  <c r="AZ20" i="3"/>
  <c r="BH20" i="3"/>
  <c r="BP20" i="3"/>
  <c r="BX20" i="3"/>
  <c r="AC20" i="3"/>
  <c r="AK20" i="3"/>
  <c r="AS20" i="3"/>
  <c r="BA20" i="3"/>
  <c r="BC20" i="3" s="1"/>
  <c r="BI20" i="3"/>
  <c r="X20" i="3"/>
  <c r="AN20" i="3"/>
  <c r="BD20" i="3"/>
  <c r="BL20" i="3"/>
  <c r="BT20" i="3"/>
  <c r="CB20" i="3"/>
  <c r="CD20" i="3" s="1"/>
  <c r="AE20" i="3"/>
  <c r="BB20" i="3"/>
  <c r="BU20" i="3"/>
  <c r="AL20" i="3"/>
  <c r="BE20" i="3"/>
  <c r="AD20" i="3"/>
  <c r="AF20" i="3" s="1"/>
  <c r="BS20" i="3"/>
  <c r="AG20" i="3"/>
  <c r="BZ20" i="3"/>
  <c r="AM20" i="3"/>
  <c r="BJ20" i="3"/>
  <c r="CC20" i="3"/>
  <c r="AO20" i="3"/>
  <c r="BK20" i="3"/>
  <c r="W20" i="3"/>
  <c r="Y20" i="3" s="1"/>
  <c r="AT20" i="3"/>
  <c r="AV20" i="3" s="1"/>
  <c r="BM20" i="3"/>
  <c r="AU20" i="3"/>
  <c r="BR20" i="3"/>
  <c r="AW20" i="3"/>
  <c r="AY20" i="3" s="1"/>
  <c r="U20" i="3"/>
  <c r="V20" i="3"/>
  <c r="AE17" i="1"/>
  <c r="N6" i="24" l="1"/>
  <c r="H6" i="24"/>
  <c r="I6" i="24"/>
  <c r="J6" i="24"/>
  <c r="AD6" i="24" s="1"/>
  <c r="J24" i="24" s="1"/>
  <c r="K6" i="24"/>
  <c r="L6" i="24"/>
  <c r="M6" i="24"/>
  <c r="G6" i="24"/>
  <c r="E6" i="24"/>
  <c r="E24" i="24" s="1"/>
  <c r="Y24" i="24" s="1"/>
  <c r="N7" i="1"/>
  <c r="I6" i="3" s="1"/>
  <c r="AC6" i="3" l="1"/>
  <c r="AK6" i="3"/>
  <c r="AS6" i="3"/>
  <c r="BA6" i="3"/>
  <c r="BC6" i="3" s="1"/>
  <c r="BI6" i="3"/>
  <c r="BQ6" i="3"/>
  <c r="BY6" i="3"/>
  <c r="CA6" i="3" s="1"/>
  <c r="W6" i="3"/>
  <c r="Y6" i="3" s="1"/>
  <c r="AE6" i="3"/>
  <c r="AM6" i="3"/>
  <c r="AU6" i="3"/>
  <c r="BK6" i="3"/>
  <c r="BS6" i="3"/>
  <c r="X6" i="3"/>
  <c r="AN6" i="3"/>
  <c r="BD6" i="3"/>
  <c r="BL6" i="3"/>
  <c r="BT6" i="3"/>
  <c r="CB6" i="3"/>
  <c r="CD6" i="3" s="1"/>
  <c r="AG6" i="3"/>
  <c r="AO6" i="3"/>
  <c r="AW6" i="3"/>
  <c r="AY6" i="3" s="1"/>
  <c r="BE6" i="3"/>
  <c r="BM6" i="3"/>
  <c r="BU6" i="3"/>
  <c r="CC6" i="3"/>
  <c r="AA6" i="3"/>
  <c r="AI6" i="3"/>
  <c r="AQ6" i="3"/>
  <c r="BG6" i="3"/>
  <c r="BO6" i="3"/>
  <c r="BW6" i="3"/>
  <c r="CE6" i="3"/>
  <c r="AD6" i="3"/>
  <c r="AF6" i="3" s="1"/>
  <c r="AZ6" i="3"/>
  <c r="BV6" i="3"/>
  <c r="AH6" i="3"/>
  <c r="BB6" i="3"/>
  <c r="BX6" i="3"/>
  <c r="AJ6" i="3"/>
  <c r="BF6" i="3"/>
  <c r="BZ6" i="3"/>
  <c r="AL6" i="3"/>
  <c r="BH6" i="3"/>
  <c r="AP6" i="3"/>
  <c r="AR6" i="3" s="1"/>
  <c r="BJ6" i="3"/>
  <c r="BN6" i="3"/>
  <c r="AX6" i="3"/>
  <c r="BR6" i="3"/>
  <c r="Z6" i="3"/>
  <c r="AB6" i="3" s="1"/>
  <c r="AT6" i="3"/>
  <c r="AV6" i="3" s="1"/>
  <c r="BP6" i="3"/>
  <c r="U6" i="3"/>
  <c r="V6" i="3"/>
  <c r="N9" i="1"/>
  <c r="I8" i="3" s="1"/>
  <c r="AA8" i="3" l="1"/>
  <c r="AI8" i="3"/>
  <c r="AQ8" i="3"/>
  <c r="BG8" i="3"/>
  <c r="BO8" i="3"/>
  <c r="BW8" i="3"/>
  <c r="CE8" i="3"/>
  <c r="AC8" i="3"/>
  <c r="AK8" i="3"/>
  <c r="AS8" i="3"/>
  <c r="BA8" i="3"/>
  <c r="BC8" i="3" s="1"/>
  <c r="BI8" i="3"/>
  <c r="BQ8" i="3"/>
  <c r="BY8" i="3"/>
  <c r="CA8" i="3" s="1"/>
  <c r="AD8" i="3"/>
  <c r="AF8" i="3" s="1"/>
  <c r="AL8" i="3"/>
  <c r="AT8" i="3"/>
  <c r="AV8" i="3" s="1"/>
  <c r="BB8" i="3"/>
  <c r="BJ8" i="3"/>
  <c r="BR8" i="3"/>
  <c r="BZ8" i="3"/>
  <c r="W8" i="3"/>
  <c r="Y8" i="3" s="1"/>
  <c r="AE8" i="3"/>
  <c r="AM8" i="3"/>
  <c r="AU8" i="3"/>
  <c r="BK8" i="3"/>
  <c r="BS8" i="3"/>
  <c r="AG8" i="3"/>
  <c r="AO8" i="3"/>
  <c r="AW8" i="3"/>
  <c r="AY8" i="3" s="1"/>
  <c r="BE8" i="3"/>
  <c r="BM8" i="3"/>
  <c r="BU8" i="3"/>
  <c r="CC8" i="3"/>
  <c r="AJ8" i="3"/>
  <c r="BF8" i="3"/>
  <c r="CB8" i="3"/>
  <c r="CD8" i="3" s="1"/>
  <c r="AN8" i="3"/>
  <c r="BH8" i="3"/>
  <c r="AP8" i="3"/>
  <c r="AR8" i="3" s="1"/>
  <c r="BL8" i="3"/>
  <c r="X8" i="3"/>
  <c r="BN8" i="3"/>
  <c r="Z8" i="3"/>
  <c r="AB8" i="3" s="1"/>
  <c r="BP8" i="3"/>
  <c r="AX8" i="3"/>
  <c r="BT8" i="3"/>
  <c r="AH8" i="3"/>
  <c r="BD8" i="3"/>
  <c r="BX8" i="3"/>
  <c r="AZ8" i="3"/>
  <c r="BV8" i="3"/>
  <c r="V8" i="3"/>
  <c r="U8" i="3"/>
  <c r="AA10" i="1"/>
  <c r="AC26" i="24" l="1"/>
  <c r="AF26" i="24"/>
  <c r="D22" i="24"/>
  <c r="D23" i="24"/>
  <c r="AD4" i="24" l="1"/>
  <c r="AD5" i="24"/>
  <c r="AD23" i="24" s="1"/>
  <c r="AD15" i="24"/>
  <c r="AD14" i="24"/>
  <c r="U21" i="1"/>
  <c r="AP21" i="1"/>
  <c r="AO21" i="1"/>
  <c r="AN21" i="1"/>
  <c r="AM21" i="1"/>
  <c r="AL21" i="1"/>
  <c r="AK21" i="1"/>
  <c r="AJ21" i="1"/>
  <c r="AI21" i="1"/>
  <c r="AH21" i="1"/>
  <c r="AG21" i="1"/>
  <c r="W21" i="1"/>
  <c r="R21" i="1"/>
  <c r="S21" i="1"/>
  <c r="P21" i="1"/>
  <c r="K21" i="1"/>
  <c r="L21" i="1"/>
  <c r="J21" i="1"/>
  <c r="C19" i="25" l="1"/>
  <c r="B19" i="25"/>
  <c r="N15" i="24"/>
  <c r="N14" i="24"/>
  <c r="N13" i="24"/>
  <c r="N10" i="24"/>
  <c r="N9" i="24"/>
  <c r="N5" i="24"/>
  <c r="N4" i="24"/>
  <c r="H5" i="24"/>
  <c r="I5" i="24"/>
  <c r="AC5" i="24" s="1"/>
  <c r="J5" i="24"/>
  <c r="K5" i="24"/>
  <c r="AE5" i="24" s="1"/>
  <c r="K23" i="24" s="1"/>
  <c r="L5" i="24"/>
  <c r="AF5" i="24" s="1"/>
  <c r="M5" i="24"/>
  <c r="G5" i="24"/>
  <c r="AA5" i="24" s="1"/>
  <c r="G23" i="24" s="1"/>
  <c r="E5" i="24"/>
  <c r="E23" i="24" s="1"/>
  <c r="Y23" i="24" s="1"/>
  <c r="H4" i="24"/>
  <c r="I4" i="24"/>
  <c r="AC4" i="24" s="1"/>
  <c r="I22" i="24" s="1"/>
  <c r="J4" i="24"/>
  <c r="K4" i="24"/>
  <c r="AE4" i="24" s="1"/>
  <c r="K22" i="24" s="1"/>
  <c r="L4" i="24"/>
  <c r="AF4" i="24" s="1"/>
  <c r="L22" i="24" s="1"/>
  <c r="M4" i="24"/>
  <c r="AG4" i="24" s="1"/>
  <c r="M22" i="24" s="1"/>
  <c r="G4" i="24"/>
  <c r="AA4" i="24" s="1"/>
  <c r="G22" i="24" s="1"/>
  <c r="E4" i="24"/>
  <c r="E22" i="24" s="1"/>
  <c r="H13" i="24"/>
  <c r="I13" i="24"/>
  <c r="AC13" i="24" s="1"/>
  <c r="I31" i="24" s="1"/>
  <c r="J13" i="24"/>
  <c r="K13" i="24"/>
  <c r="AE13" i="24" s="1"/>
  <c r="K31" i="24" s="1"/>
  <c r="M13" i="24"/>
  <c r="AG13" i="24" s="1"/>
  <c r="M31" i="24" s="1"/>
  <c r="H14" i="24"/>
  <c r="I14" i="24"/>
  <c r="AC14" i="24" s="1"/>
  <c r="I32" i="24" s="1"/>
  <c r="J14" i="24"/>
  <c r="K14" i="24"/>
  <c r="AE14" i="24" s="1"/>
  <c r="K32" i="24" s="1"/>
  <c r="M14" i="24"/>
  <c r="AG14" i="24" s="1"/>
  <c r="M32" i="24" s="1"/>
  <c r="H15" i="24"/>
  <c r="I15" i="24"/>
  <c r="AC15" i="24" s="1"/>
  <c r="I33" i="24" s="1"/>
  <c r="J15" i="24"/>
  <c r="M15" i="24"/>
  <c r="AG15" i="24" s="1"/>
  <c r="M33" i="24" s="1"/>
  <c r="H9" i="24"/>
  <c r="I9" i="24"/>
  <c r="AC9" i="24" s="1"/>
  <c r="I27" i="24" s="1"/>
  <c r="J9" i="24"/>
  <c r="M9" i="24"/>
  <c r="AG9" i="24" s="1"/>
  <c r="M27" i="24" s="1"/>
  <c r="H10" i="24"/>
  <c r="I10" i="24"/>
  <c r="AC10" i="24" s="1"/>
  <c r="I28" i="24" s="1"/>
  <c r="J10" i="24"/>
  <c r="M10" i="24"/>
  <c r="AG10" i="24" s="1"/>
  <c r="M28" i="24" s="1"/>
  <c r="G15" i="24"/>
  <c r="AA15" i="24" s="1"/>
  <c r="G33" i="24" s="1"/>
  <c r="G14" i="24"/>
  <c r="AA14" i="24" s="1"/>
  <c r="G32" i="24" s="1"/>
  <c r="G13" i="24"/>
  <c r="AA13" i="24" s="1"/>
  <c r="G31" i="24" s="1"/>
  <c r="G10" i="24"/>
  <c r="AA10" i="24" s="1"/>
  <c r="G28" i="24" s="1"/>
  <c r="G9" i="24"/>
  <c r="AA9" i="24" s="1"/>
  <c r="G27" i="24" s="1"/>
  <c r="E15" i="24"/>
  <c r="E33" i="24" s="1"/>
  <c r="E14" i="24"/>
  <c r="E32" i="24" s="1"/>
  <c r="Y32" i="24" s="1"/>
  <c r="E13" i="24"/>
  <c r="E31" i="24" s="1"/>
  <c r="E10" i="24"/>
  <c r="E28" i="24" s="1"/>
  <c r="E9" i="24"/>
  <c r="E27" i="24" s="1"/>
  <c r="AL36" i="24"/>
  <c r="AN34" i="24"/>
  <c r="AN33" i="24"/>
  <c r="AL33" i="24"/>
  <c r="AK33" i="24"/>
  <c r="AL32" i="24"/>
  <c r="AL28" i="24"/>
  <c r="AD28" i="24"/>
  <c r="AN27" i="24"/>
  <c r="AL27" i="24"/>
  <c r="AD27" i="24"/>
  <c r="AN26" i="24"/>
  <c r="AK26" i="24"/>
  <c r="AL26" i="24"/>
  <c r="AN25" i="24"/>
  <c r="AK25" i="24"/>
  <c r="AN24" i="24"/>
  <c r="AK24" i="24"/>
  <c r="AI24" i="24"/>
  <c r="AN23" i="24"/>
  <c r="AK23" i="24"/>
  <c r="AN22" i="24"/>
  <c r="AL22" i="24"/>
  <c r="AI21" i="24"/>
  <c r="AH19" i="24"/>
  <c r="AN21" i="24"/>
  <c r="Z20" i="24"/>
  <c r="Y20" i="24"/>
  <c r="F20" i="24"/>
  <c r="E20" i="24"/>
  <c r="D20" i="24"/>
  <c r="AN36" i="24"/>
  <c r="AK36" i="24"/>
  <c r="AJ36" i="24"/>
  <c r="AG18" i="24"/>
  <c r="AF18" i="24"/>
  <c r="AF36" i="24" s="1"/>
  <c r="AE18" i="24"/>
  <c r="AD18" i="24"/>
  <c r="AD36" i="24" s="1"/>
  <c r="AC18" i="24"/>
  <c r="AC36" i="24" s="1"/>
  <c r="AB18" i="24"/>
  <c r="AB36" i="24" s="1"/>
  <c r="AA18" i="24"/>
  <c r="AA36" i="24" s="1"/>
  <c r="V18" i="24"/>
  <c r="AP17" i="24"/>
  <c r="AN35" i="24"/>
  <c r="AL35" i="24"/>
  <c r="AK35" i="24"/>
  <c r="AJ35" i="24"/>
  <c r="AI35" i="24"/>
  <c r="AG17" i="24"/>
  <c r="AF17" i="24"/>
  <c r="AF35" i="24" s="1"/>
  <c r="AE17" i="24"/>
  <c r="AD17" i="24"/>
  <c r="AD35" i="24" s="1"/>
  <c r="AC17" i="24"/>
  <c r="AC35" i="24" s="1"/>
  <c r="AB17" i="24"/>
  <c r="AB35" i="24" s="1"/>
  <c r="AA17" i="24"/>
  <c r="AA35" i="24" s="1"/>
  <c r="V17" i="24"/>
  <c r="AL34" i="24"/>
  <c r="AK34" i="24"/>
  <c r="P34" i="24"/>
  <c r="AJ34" i="24" s="1"/>
  <c r="O34" i="24"/>
  <c r="AI34" i="24" s="1"/>
  <c r="AG16" i="24"/>
  <c r="AF16" i="24"/>
  <c r="AF34" i="24" s="1"/>
  <c r="AE16" i="24"/>
  <c r="AD16" i="24"/>
  <c r="AD34" i="24" s="1"/>
  <c r="AC16" i="24"/>
  <c r="AC34" i="24" s="1"/>
  <c r="AB16" i="24"/>
  <c r="AB34" i="24" s="1"/>
  <c r="AA16" i="24"/>
  <c r="AA34" i="24" s="1"/>
  <c r="V16" i="24"/>
  <c r="AI33" i="24"/>
  <c r="AD33" i="24"/>
  <c r="V15" i="24"/>
  <c r="AE15" i="1" s="1"/>
  <c r="AN32" i="24"/>
  <c r="AK32" i="24"/>
  <c r="AD32" i="24"/>
  <c r="V14" i="24"/>
  <c r="AE12" i="1" s="1"/>
  <c r="AN31" i="24"/>
  <c r="AL31" i="24"/>
  <c r="AK31" i="24"/>
  <c r="AD31" i="24"/>
  <c r="V13" i="24"/>
  <c r="AE14" i="1" s="1"/>
  <c r="AN30" i="24"/>
  <c r="AL30" i="24"/>
  <c r="AK30" i="24"/>
  <c r="AG12" i="24"/>
  <c r="AF12" i="24"/>
  <c r="AF30" i="24" s="1"/>
  <c r="AE12" i="24"/>
  <c r="AD12" i="24"/>
  <c r="AD30" i="24" s="1"/>
  <c r="AC12" i="24"/>
  <c r="AC30" i="24" s="1"/>
  <c r="AB12" i="24"/>
  <c r="AA12" i="24"/>
  <c r="AA30" i="24" s="1"/>
  <c r="V12" i="24"/>
  <c r="AN29" i="24"/>
  <c r="AL29" i="24"/>
  <c r="AK29" i="24"/>
  <c r="AI29" i="24"/>
  <c r="AG11" i="24"/>
  <c r="AF11" i="24"/>
  <c r="AF29" i="24" s="1"/>
  <c r="AE11" i="24"/>
  <c r="AD11" i="24"/>
  <c r="AD29" i="24" s="1"/>
  <c r="AC11" i="24"/>
  <c r="AC29" i="24" s="1"/>
  <c r="AB11" i="24"/>
  <c r="AA11" i="24"/>
  <c r="AA29" i="24" s="1"/>
  <c r="V11" i="24"/>
  <c r="AN28" i="24"/>
  <c r="AI28" i="24"/>
  <c r="V10" i="24"/>
  <c r="AE13" i="1" s="1"/>
  <c r="AK27" i="24"/>
  <c r="AI27" i="24"/>
  <c r="V9" i="24"/>
  <c r="AE11" i="1" s="1"/>
  <c r="AG8" i="24"/>
  <c r="AF8" i="24"/>
  <c r="AE8" i="24"/>
  <c r="AD8" i="24"/>
  <c r="AD26" i="24" s="1"/>
  <c r="AC8" i="24"/>
  <c r="AB8" i="24"/>
  <c r="AA8" i="24"/>
  <c r="AA26" i="24" s="1"/>
  <c r="V8" i="24"/>
  <c r="AL25" i="24"/>
  <c r="AG7" i="24"/>
  <c r="M25" i="24" s="1"/>
  <c r="AF7" i="24"/>
  <c r="AE7" i="24"/>
  <c r="K25" i="24" s="1"/>
  <c r="AD7" i="24"/>
  <c r="J25" i="24" s="1"/>
  <c r="AC7" i="24"/>
  <c r="AA7" i="24"/>
  <c r="G25" i="24" s="1"/>
  <c r="V7" i="24"/>
  <c r="AE9" i="1" s="1"/>
  <c r="AL24" i="24"/>
  <c r="AG6" i="24"/>
  <c r="M24" i="24" s="1"/>
  <c r="AF6" i="24"/>
  <c r="AE6" i="24"/>
  <c r="K24" i="24" s="1"/>
  <c r="AC6" i="24"/>
  <c r="AA6" i="24"/>
  <c r="G24" i="24" s="1"/>
  <c r="V6" i="24"/>
  <c r="AE7" i="1" s="1"/>
  <c r="AL23" i="24"/>
  <c r="AG5" i="24"/>
  <c r="M23" i="24" s="1"/>
  <c r="V5" i="24"/>
  <c r="AE8" i="1" s="1"/>
  <c r="AK22" i="24"/>
  <c r="AD22" i="24"/>
  <c r="V4" i="24"/>
  <c r="AE6" i="1" s="1"/>
  <c r="AO3" i="24"/>
  <c r="AN3" i="24"/>
  <c r="AM3" i="24"/>
  <c r="AM21" i="24" s="1"/>
  <c r="AL3" i="24"/>
  <c r="AL21" i="24" s="1"/>
  <c r="AK3" i="24"/>
  <c r="AI3" i="24"/>
  <c r="AP3" i="24" s="1"/>
  <c r="AG3" i="24"/>
  <c r="M21" i="24" s="1"/>
  <c r="AF3" i="24"/>
  <c r="AE3" i="24"/>
  <c r="AD3" i="24"/>
  <c r="AC3" i="24"/>
  <c r="AA3" i="24"/>
  <c r="G21" i="24" s="1"/>
  <c r="AA21" i="24" s="1"/>
  <c r="V3" i="24"/>
  <c r="AE4" i="1" s="1"/>
  <c r="AH1" i="24"/>
  <c r="D19" i="25" l="1"/>
  <c r="F19" i="25" s="1"/>
  <c r="L24" i="24"/>
  <c r="AF24" i="24" s="1"/>
  <c r="L23" i="24"/>
  <c r="AF23" i="24" s="1"/>
  <c r="L25" i="24"/>
  <c r="AF25" i="24" s="1"/>
  <c r="I21" i="24"/>
  <c r="AC21" i="24" s="1"/>
  <c r="J21" i="24"/>
  <c r="AD21" i="24" s="1"/>
  <c r="L21" i="24"/>
  <c r="AF21" i="24" s="1"/>
  <c r="I25" i="24"/>
  <c r="AC25" i="24" s="1"/>
  <c r="K21" i="24"/>
  <c r="AE21" i="24" s="1"/>
  <c r="I24" i="24"/>
  <c r="AC24" i="24" s="1"/>
  <c r="I23" i="24"/>
  <c r="AC23" i="24" s="1"/>
  <c r="AP15" i="24"/>
  <c r="AP14" i="24"/>
  <c r="AP7" i="24"/>
  <c r="AA25" i="24"/>
  <c r="AD25" i="24"/>
  <c r="AD24" i="24"/>
  <c r="AA24" i="24"/>
  <c r="AA22" i="24"/>
  <c r="AA32" i="24"/>
  <c r="AA33" i="24"/>
  <c r="AC22" i="24"/>
  <c r="AC28" i="24"/>
  <c r="AC33" i="24"/>
  <c r="AC27" i="24"/>
  <c r="AA27" i="24"/>
  <c r="AC32" i="24"/>
  <c r="AA28" i="24"/>
  <c r="AC31" i="24"/>
  <c r="AA23" i="24"/>
  <c r="AF22" i="24"/>
  <c r="AA31" i="24"/>
  <c r="N1" i="24"/>
  <c r="N19" i="24"/>
  <c r="AP35" i="24"/>
  <c r="AP24" i="24"/>
  <c r="AI23" i="24"/>
  <c r="V23" i="24"/>
  <c r="AK21" i="24"/>
  <c r="V21" i="24"/>
  <c r="AI31" i="24"/>
  <c r="V31" i="24"/>
  <c r="AP34" i="24"/>
  <c r="AI22" i="24"/>
  <c r="V22" i="24"/>
  <c r="V29" i="24"/>
  <c r="AI25" i="24"/>
  <c r="AK28" i="24"/>
  <c r="V28" i="24"/>
  <c r="AP9" i="24"/>
  <c r="V34" i="24"/>
  <c r="AP11" i="24"/>
  <c r="AP12" i="24"/>
  <c r="V24" i="24"/>
  <c r="AP5" i="24"/>
  <c r="AP27" i="24"/>
  <c r="AP6" i="24"/>
  <c r="AP8" i="24"/>
  <c r="V27" i="24"/>
  <c r="V33" i="24"/>
  <c r="V35" i="24"/>
  <c r="AI30" i="24"/>
  <c r="AP30" i="24" s="1"/>
  <c r="V30" i="24"/>
  <c r="AP13" i="24"/>
  <c r="AP16" i="24"/>
  <c r="AP18" i="24"/>
  <c r="AP4" i="24"/>
  <c r="AI36" i="24"/>
  <c r="AP36" i="24" s="1"/>
  <c r="V36" i="24"/>
  <c r="AP29" i="24"/>
  <c r="V26" i="24"/>
  <c r="AI26" i="24"/>
  <c r="AP10" i="24"/>
  <c r="AP33" i="24"/>
  <c r="E19" i="25" l="1"/>
  <c r="AP28" i="24"/>
  <c r="V25" i="24"/>
  <c r="V32" i="24"/>
  <c r="AI32" i="24"/>
  <c r="AP21" i="24"/>
  <c r="AP26" i="24"/>
  <c r="AP22" i="24"/>
  <c r="AP23" i="24"/>
  <c r="AP25" i="24"/>
  <c r="AP31" i="24"/>
  <c r="AP32" i="24" l="1"/>
  <c r="AP6" i="1" l="1"/>
  <c r="W6" i="1"/>
  <c r="U6" i="1"/>
  <c r="S6" i="1"/>
  <c r="R6" i="1"/>
  <c r="P6" i="1"/>
  <c r="N6" i="1"/>
  <c r="I5" i="3" s="1"/>
  <c r="J6" i="1"/>
  <c r="K6" i="1"/>
  <c r="L6" i="1"/>
  <c r="Z5" i="3" l="1"/>
  <c r="AB5" i="3" s="1"/>
  <c r="AH5" i="3"/>
  <c r="AP5" i="3"/>
  <c r="AR5" i="3" s="1"/>
  <c r="AX5" i="3"/>
  <c r="BF5" i="3"/>
  <c r="BN5" i="3"/>
  <c r="BV5" i="3"/>
  <c r="AJ5" i="3"/>
  <c r="AZ5" i="3"/>
  <c r="BH5" i="3"/>
  <c r="BP5" i="3"/>
  <c r="BX5" i="3"/>
  <c r="AC5" i="3"/>
  <c r="AK5" i="3"/>
  <c r="AS5" i="3"/>
  <c r="BA5" i="3"/>
  <c r="BC5" i="3" s="1"/>
  <c r="BI5" i="3"/>
  <c r="BQ5" i="3"/>
  <c r="BY5" i="3"/>
  <c r="CA5" i="3" s="1"/>
  <c r="AD5" i="3"/>
  <c r="AF5" i="3" s="1"/>
  <c r="AL5" i="3"/>
  <c r="AT5" i="3"/>
  <c r="AV5" i="3" s="1"/>
  <c r="BB5" i="3"/>
  <c r="BJ5" i="3"/>
  <c r="BR5" i="3"/>
  <c r="BZ5" i="3"/>
  <c r="X5" i="3"/>
  <c r="AN5" i="3"/>
  <c r="BD5" i="3"/>
  <c r="BL5" i="3"/>
  <c r="BT5" i="3"/>
  <c r="CB5" i="3"/>
  <c r="CD5" i="3" s="1"/>
  <c r="AE5" i="3"/>
  <c r="BU5" i="3"/>
  <c r="AG5" i="3"/>
  <c r="BW5" i="3"/>
  <c r="AI5" i="3"/>
  <c r="BE5" i="3"/>
  <c r="AM5" i="3"/>
  <c r="BG5" i="3"/>
  <c r="CC5" i="3"/>
  <c r="AO5" i="3"/>
  <c r="BK5" i="3"/>
  <c r="CE5" i="3"/>
  <c r="AU5" i="3"/>
  <c r="BO5" i="3"/>
  <c r="AA5" i="3"/>
  <c r="AW5" i="3"/>
  <c r="AY5" i="3" s="1"/>
  <c r="BS5" i="3"/>
  <c r="W5" i="3"/>
  <c r="Y5" i="3" s="1"/>
  <c r="BM5" i="3"/>
  <c r="AQ5" i="3"/>
  <c r="U5" i="3"/>
  <c r="V5" i="3"/>
  <c r="AH6" i="1"/>
  <c r="B4" i="25"/>
  <c r="I6" i="25" s="1"/>
  <c r="I17" i="25" s="1"/>
  <c r="C4" i="25"/>
  <c r="J6" i="25" s="1"/>
  <c r="J17" i="25" s="1"/>
  <c r="AK6" i="1"/>
  <c r="AN6" i="1"/>
  <c r="AI6" i="1"/>
  <c r="AL6" i="1"/>
  <c r="AJ6" i="1"/>
  <c r="AM6" i="1"/>
  <c r="AG6" i="1"/>
  <c r="AO6" i="1"/>
  <c r="K17" i="25" l="1"/>
  <c r="K6" i="25"/>
  <c r="D4" i="25"/>
  <c r="W8" i="1"/>
  <c r="U8" i="1"/>
  <c r="AP8" i="1"/>
  <c r="R8" i="1"/>
  <c r="S8" i="1"/>
  <c r="P8" i="1"/>
  <c r="N8" i="1"/>
  <c r="I7" i="3" s="1"/>
  <c r="J8" i="1"/>
  <c r="K8" i="1"/>
  <c r="L8" i="1"/>
  <c r="X7" i="3" l="1"/>
  <c r="AN7" i="3"/>
  <c r="BD7" i="3"/>
  <c r="BL7" i="3"/>
  <c r="BT7" i="3"/>
  <c r="CB7" i="3"/>
  <c r="CD7" i="3" s="1"/>
  <c r="Z7" i="3"/>
  <c r="AB7" i="3" s="1"/>
  <c r="AH7" i="3"/>
  <c r="AP7" i="3"/>
  <c r="AR7" i="3" s="1"/>
  <c r="AX7" i="3"/>
  <c r="BF7" i="3"/>
  <c r="BN7" i="3"/>
  <c r="BV7" i="3"/>
  <c r="AA7" i="3"/>
  <c r="AI7" i="3"/>
  <c r="AQ7" i="3"/>
  <c r="BG7" i="3"/>
  <c r="BO7" i="3"/>
  <c r="BW7" i="3"/>
  <c r="CE7" i="3"/>
  <c r="AJ7" i="3"/>
  <c r="AZ7" i="3"/>
  <c r="BH7" i="3"/>
  <c r="BP7" i="3"/>
  <c r="BX7" i="3"/>
  <c r="AD7" i="3"/>
  <c r="AF7" i="3" s="1"/>
  <c r="AL7" i="3"/>
  <c r="AT7" i="3"/>
  <c r="AV7" i="3" s="1"/>
  <c r="BB7" i="3"/>
  <c r="BJ7" i="3"/>
  <c r="BR7" i="3"/>
  <c r="BZ7" i="3"/>
  <c r="AG7" i="3"/>
  <c r="BY7" i="3"/>
  <c r="CA7" i="3" s="1"/>
  <c r="AK7" i="3"/>
  <c r="BE7" i="3"/>
  <c r="AM7" i="3"/>
  <c r="BI7" i="3"/>
  <c r="CC7" i="3"/>
  <c r="AO7" i="3"/>
  <c r="BK7" i="3"/>
  <c r="W7" i="3"/>
  <c r="Y7" i="3" s="1"/>
  <c r="AS7" i="3"/>
  <c r="BM7" i="3"/>
  <c r="AU7" i="3"/>
  <c r="BQ7" i="3"/>
  <c r="AE7" i="3"/>
  <c r="BA7" i="3"/>
  <c r="BC7" i="3" s="1"/>
  <c r="BU7" i="3"/>
  <c r="BS7" i="3"/>
  <c r="AW7" i="3"/>
  <c r="AY7" i="3" s="1"/>
  <c r="AC7" i="3"/>
  <c r="U7" i="3"/>
  <c r="V7" i="3"/>
  <c r="E4" i="25"/>
  <c r="L6" i="25" s="1"/>
  <c r="F4" i="25"/>
  <c r="M6" i="25" s="1"/>
  <c r="AG8" i="1"/>
  <c r="C6" i="25"/>
  <c r="J2" i="25" s="1"/>
  <c r="J13" i="25" s="1"/>
  <c r="B6" i="25"/>
  <c r="I2" i="25" s="1"/>
  <c r="I13" i="25" s="1"/>
  <c r="AM8" i="1"/>
  <c r="AK8" i="1"/>
  <c r="AJ8" i="1"/>
  <c r="AN8" i="1"/>
  <c r="AI8" i="1"/>
  <c r="AH8" i="1"/>
  <c r="AL8" i="1"/>
  <c r="AO8" i="1"/>
  <c r="Q13" i="25" l="1"/>
  <c r="K2" i="25"/>
  <c r="S4" i="25"/>
  <c r="Q2" i="25"/>
  <c r="P2" i="25"/>
  <c r="P13" i="25"/>
  <c r="T4" i="25"/>
  <c r="D6" i="25"/>
  <c r="AF2" i="1"/>
  <c r="AE2" i="1"/>
  <c r="AD2" i="1"/>
  <c r="R2" i="25" l="1"/>
  <c r="K13" i="25"/>
  <c r="E6" i="25"/>
  <c r="L2" i="25" s="1"/>
  <c r="F6" i="25"/>
  <c r="M2" i="25" s="1"/>
  <c r="AP7" i="1"/>
  <c r="AG7" i="1"/>
  <c r="AH7" i="1"/>
  <c r="AI7" i="1"/>
  <c r="AJ7" i="1"/>
  <c r="AK7" i="1"/>
  <c r="AL7" i="1"/>
  <c r="AM7" i="1"/>
  <c r="AN7" i="1"/>
  <c r="AO7" i="1"/>
  <c r="U7" i="1"/>
  <c r="W7" i="1"/>
  <c r="R7" i="1"/>
  <c r="S7" i="1"/>
  <c r="P7" i="1"/>
  <c r="J7" i="1"/>
  <c r="K7" i="1"/>
  <c r="L7" i="1"/>
  <c r="B5" i="25" l="1"/>
  <c r="I5" i="25" s="1"/>
  <c r="I16" i="25" s="1"/>
  <c r="C5" i="25"/>
  <c r="J5" i="25" s="1"/>
  <c r="J16" i="25" s="1"/>
  <c r="A3" i="3"/>
  <c r="B3" i="3"/>
  <c r="E3" i="3"/>
  <c r="F3" i="3"/>
  <c r="G3" i="3" s="1"/>
  <c r="J3" i="3"/>
  <c r="K3" i="3"/>
  <c r="L3" i="3"/>
  <c r="M3" i="3"/>
  <c r="N3" i="3"/>
  <c r="O3" i="3"/>
  <c r="P3" i="3"/>
  <c r="Q3" i="3"/>
  <c r="Q16" i="25" l="1"/>
  <c r="K5" i="25"/>
  <c r="Q5" i="25"/>
  <c r="P5" i="25"/>
  <c r="P16" i="25"/>
  <c r="D5" i="25"/>
  <c r="R3" i="3"/>
  <c r="T3" i="3"/>
  <c r="H3" i="3"/>
  <c r="S3" i="3"/>
  <c r="CE3" i="3"/>
  <c r="AP19" i="1"/>
  <c r="AG19" i="1"/>
  <c r="AH19" i="1"/>
  <c r="AI19" i="1"/>
  <c r="AJ19" i="1"/>
  <c r="AK19" i="1"/>
  <c r="AL19" i="1"/>
  <c r="AM19" i="1"/>
  <c r="AN19" i="1"/>
  <c r="AO19" i="1"/>
  <c r="U19" i="1"/>
  <c r="W19" i="1"/>
  <c r="R19" i="1"/>
  <c r="S19" i="1"/>
  <c r="P19" i="1"/>
  <c r="J19" i="1"/>
  <c r="K19" i="1"/>
  <c r="L19" i="1"/>
  <c r="AP4" i="1"/>
  <c r="AG4" i="1"/>
  <c r="AH4" i="1"/>
  <c r="AI4" i="1"/>
  <c r="AJ4" i="1"/>
  <c r="AK4" i="1"/>
  <c r="AL4" i="1"/>
  <c r="AM4" i="1"/>
  <c r="AN4" i="1"/>
  <c r="AO4" i="1"/>
  <c r="U4" i="1"/>
  <c r="W4" i="1"/>
  <c r="R4" i="1"/>
  <c r="S4" i="1"/>
  <c r="P4" i="1"/>
  <c r="J4" i="1"/>
  <c r="K4" i="1"/>
  <c r="L4" i="1"/>
  <c r="K16" i="25" l="1"/>
  <c r="R5" i="25"/>
  <c r="F5" i="25"/>
  <c r="M5" i="25" s="1"/>
  <c r="E5" i="25"/>
  <c r="L5" i="25" s="1"/>
  <c r="C2" i="25"/>
  <c r="B2" i="25"/>
  <c r="B17" i="25"/>
  <c r="C17" i="25"/>
  <c r="CB3" i="3"/>
  <c r="CD3" i="3" s="1"/>
  <c r="CC3" i="3"/>
  <c r="BZ3" i="3"/>
  <c r="BX3" i="3"/>
  <c r="BY3" i="3"/>
  <c r="CA3" i="3" s="1"/>
  <c r="BV3" i="3"/>
  <c r="BW3" i="3"/>
  <c r="BT3" i="3"/>
  <c r="BU3" i="3"/>
  <c r="BR3" i="3"/>
  <c r="BS3" i="3"/>
  <c r="BP3" i="3"/>
  <c r="BQ3" i="3"/>
  <c r="BN3" i="3"/>
  <c r="BO3" i="3"/>
  <c r="BL3" i="3"/>
  <c r="BM3" i="3"/>
  <c r="BJ3" i="3"/>
  <c r="BK3" i="3"/>
  <c r="BH3" i="3"/>
  <c r="BI3" i="3"/>
  <c r="BF3" i="3"/>
  <c r="BG3" i="3"/>
  <c r="BD3" i="3"/>
  <c r="BE3" i="3"/>
  <c r="BA3" i="3"/>
  <c r="BC3" i="3" s="1"/>
  <c r="BB3" i="3"/>
  <c r="AX3" i="3"/>
  <c r="AZ3" i="3"/>
  <c r="AU3" i="3"/>
  <c r="AW3" i="3"/>
  <c r="AY3" i="3" s="1"/>
  <c r="AS3" i="3"/>
  <c r="AT3" i="3"/>
  <c r="AV3" i="3" s="1"/>
  <c r="AP3" i="3"/>
  <c r="AR3" i="3" s="1"/>
  <c r="AQ3" i="3"/>
  <c r="AN3" i="3"/>
  <c r="AO3" i="3"/>
  <c r="AL3" i="3"/>
  <c r="AM3" i="3"/>
  <c r="AJ3" i="3"/>
  <c r="AK3" i="3"/>
  <c r="AH3" i="3"/>
  <c r="AI3" i="3"/>
  <c r="AE3" i="3"/>
  <c r="AG3" i="3"/>
  <c r="AC3" i="3"/>
  <c r="AD3" i="3"/>
  <c r="AF3" i="3" s="1"/>
  <c r="Z3" i="3"/>
  <c r="AB3" i="3" s="1"/>
  <c r="AA3" i="3"/>
  <c r="W3" i="3"/>
  <c r="Y3" i="3" s="1"/>
  <c r="X3" i="3"/>
  <c r="U3" i="3"/>
  <c r="V3" i="3" s="1"/>
  <c r="U5" i="1"/>
  <c r="AP5" i="1"/>
  <c r="W5" i="1"/>
  <c r="R5" i="1"/>
  <c r="S5" i="1"/>
  <c r="P5" i="1"/>
  <c r="N5" i="1"/>
  <c r="I4" i="3" s="1"/>
  <c r="J5" i="1"/>
  <c r="K5" i="1"/>
  <c r="L5" i="1"/>
  <c r="W4" i="3" l="1"/>
  <c r="Y4" i="3" s="1"/>
  <c r="AE4" i="3"/>
  <c r="AM4" i="3"/>
  <c r="AU4" i="3"/>
  <c r="BK4" i="3"/>
  <c r="BS4" i="3"/>
  <c r="AG4" i="3"/>
  <c r="AO4" i="3"/>
  <c r="AW4" i="3"/>
  <c r="AY4" i="3" s="1"/>
  <c r="BE4" i="3"/>
  <c r="BM4" i="3"/>
  <c r="BU4" i="3"/>
  <c r="CC4" i="3"/>
  <c r="Z4" i="3"/>
  <c r="AB4" i="3" s="1"/>
  <c r="AH4" i="3"/>
  <c r="AP4" i="3"/>
  <c r="AR4" i="3" s="1"/>
  <c r="AX4" i="3"/>
  <c r="BF4" i="3"/>
  <c r="BN4" i="3"/>
  <c r="BV4" i="3"/>
  <c r="AA4" i="3"/>
  <c r="AI4" i="3"/>
  <c r="AQ4" i="3"/>
  <c r="BG4" i="3"/>
  <c r="BO4" i="3"/>
  <c r="BW4" i="3"/>
  <c r="CE4" i="3"/>
  <c r="AC4" i="3"/>
  <c r="AK4" i="3"/>
  <c r="AS4" i="3"/>
  <c r="BA4" i="3"/>
  <c r="BC4" i="3" s="1"/>
  <c r="BI4" i="3"/>
  <c r="BQ4" i="3"/>
  <c r="BY4" i="3"/>
  <c r="CA4" i="3" s="1"/>
  <c r="AT4" i="3"/>
  <c r="AV4" i="3" s="1"/>
  <c r="BR4" i="3"/>
  <c r="BH4" i="3"/>
  <c r="AD4" i="3"/>
  <c r="AF4" i="3" s="1"/>
  <c r="AZ4" i="3"/>
  <c r="BT4" i="3"/>
  <c r="CB4" i="3"/>
  <c r="CD4" i="3" s="1"/>
  <c r="BB4" i="3"/>
  <c r="BX4" i="3"/>
  <c r="AL4" i="3"/>
  <c r="AJ4" i="3"/>
  <c r="BD4" i="3"/>
  <c r="BZ4" i="3"/>
  <c r="BL4" i="3"/>
  <c r="X4" i="3"/>
  <c r="BP4" i="3"/>
  <c r="AN4" i="3"/>
  <c r="BJ4" i="3"/>
  <c r="U4" i="3"/>
  <c r="V4" i="3"/>
  <c r="R13" i="25"/>
  <c r="D17" i="25"/>
  <c r="B3" i="25"/>
  <c r="C3" i="25"/>
  <c r="AG5" i="1"/>
  <c r="AO5" i="1"/>
  <c r="AN5" i="1"/>
  <c r="AM5" i="1"/>
  <c r="AL5" i="1"/>
  <c r="AK5" i="1"/>
  <c r="AJ5" i="1"/>
  <c r="AI5" i="1"/>
  <c r="AH5" i="1"/>
  <c r="AC18" i="1"/>
  <c r="AC15" i="1"/>
  <c r="L15" i="24" s="1"/>
  <c r="AF15" i="24" s="1"/>
  <c r="L33" i="24" s="1"/>
  <c r="AC14" i="1"/>
  <c r="L13" i="24" s="1"/>
  <c r="AF13" i="24" s="1"/>
  <c r="L31" i="24" s="1"/>
  <c r="AC10" i="1"/>
  <c r="AC11" i="1"/>
  <c r="L9" i="24" s="1"/>
  <c r="AF9" i="24" s="1"/>
  <c r="L27" i="24" s="1"/>
  <c r="AC13" i="1"/>
  <c r="L10" i="24" s="1"/>
  <c r="AF10" i="24" s="1"/>
  <c r="L28" i="24" s="1"/>
  <c r="AC12" i="1"/>
  <c r="L14" i="24" s="1"/>
  <c r="AF14" i="24" s="1"/>
  <c r="L32" i="24" s="1"/>
  <c r="E17" i="25" l="1"/>
  <c r="F17" i="25"/>
  <c r="D3" i="25"/>
  <c r="F3" i="25" s="1"/>
  <c r="AF32" i="24"/>
  <c r="AF31" i="24"/>
  <c r="AF28" i="24"/>
  <c r="AF27" i="24"/>
  <c r="AF33" i="24"/>
  <c r="AI20" i="1"/>
  <c r="AI14" i="1"/>
  <c r="E3" i="25" l="1"/>
  <c r="AB18" i="1"/>
  <c r="AB15" i="1"/>
  <c r="K15" i="24" s="1"/>
  <c r="AE15" i="24" s="1"/>
  <c r="K33" i="24" s="1"/>
  <c r="AB11" i="1"/>
  <c r="K9" i="24" s="1"/>
  <c r="AE9" i="24" s="1"/>
  <c r="K27" i="24" s="1"/>
  <c r="AB13" i="1"/>
  <c r="K10" i="24" s="1"/>
  <c r="AE10" i="24" s="1"/>
  <c r="K28" i="24" s="1"/>
  <c r="N11" i="1" l="1"/>
  <c r="I10" i="3" s="1"/>
  <c r="AP11" i="1"/>
  <c r="U11" i="1"/>
  <c r="W11" i="1"/>
  <c r="R11" i="1"/>
  <c r="S11" i="1"/>
  <c r="P11" i="1"/>
  <c r="J11" i="1"/>
  <c r="K11" i="1"/>
  <c r="L11" i="1"/>
  <c r="U10" i="3" l="1"/>
  <c r="V10" i="3" s="1"/>
  <c r="AG10" i="3"/>
  <c r="AO10" i="3"/>
  <c r="AW10" i="3"/>
  <c r="AY10" i="3" s="1"/>
  <c r="BE10" i="3"/>
  <c r="BM10" i="3"/>
  <c r="BU10" i="3"/>
  <c r="CC10" i="3"/>
  <c r="AA10" i="3"/>
  <c r="AI10" i="3"/>
  <c r="AQ10" i="3"/>
  <c r="BG10" i="3"/>
  <c r="BO10" i="3"/>
  <c r="BW10" i="3"/>
  <c r="CE10" i="3"/>
  <c r="AJ10" i="3"/>
  <c r="AZ10" i="3"/>
  <c r="BH10" i="3"/>
  <c r="BP10" i="3"/>
  <c r="BX10" i="3"/>
  <c r="AC10" i="3"/>
  <c r="AK10" i="3"/>
  <c r="AS10" i="3"/>
  <c r="BA10" i="3"/>
  <c r="BC10" i="3" s="1"/>
  <c r="BI10" i="3"/>
  <c r="BQ10" i="3"/>
  <c r="BY10" i="3"/>
  <c r="CA10" i="3" s="1"/>
  <c r="W10" i="3"/>
  <c r="Y10" i="3" s="1"/>
  <c r="AE10" i="3"/>
  <c r="AM10" i="3"/>
  <c r="AU10" i="3"/>
  <c r="BK10" i="3"/>
  <c r="BS10" i="3"/>
  <c r="AP10" i="3"/>
  <c r="AR10" i="3" s="1"/>
  <c r="X10" i="3"/>
  <c r="AT10" i="3"/>
  <c r="AV10" i="3" s="1"/>
  <c r="BN10" i="3"/>
  <c r="Z10" i="3"/>
  <c r="AB10" i="3" s="1"/>
  <c r="BR10" i="3"/>
  <c r="BZ10" i="3"/>
  <c r="AD10" i="3"/>
  <c r="AF10" i="3" s="1"/>
  <c r="AX10" i="3"/>
  <c r="BT10" i="3"/>
  <c r="BB10" i="3"/>
  <c r="BV10" i="3"/>
  <c r="AH10" i="3"/>
  <c r="BD10" i="3"/>
  <c r="AN10" i="3"/>
  <c r="BJ10" i="3"/>
  <c r="BL10" i="3"/>
  <c r="BF10" i="3"/>
  <c r="CB10" i="3"/>
  <c r="CD10" i="3" s="1"/>
  <c r="AL10" i="3"/>
  <c r="B9" i="25"/>
  <c r="C9" i="25"/>
  <c r="AJ11" i="1"/>
  <c r="AI11" i="1"/>
  <c r="AN11" i="1"/>
  <c r="AM11" i="1"/>
  <c r="AL11" i="1"/>
  <c r="AO11" i="1"/>
  <c r="AH11" i="1"/>
  <c r="AG11" i="1"/>
  <c r="AK11" i="1"/>
  <c r="D9" i="25" l="1"/>
  <c r="E9" i="25" s="1"/>
  <c r="U12" i="1"/>
  <c r="AP12" i="1"/>
  <c r="W12" i="1"/>
  <c r="R12" i="1"/>
  <c r="S12" i="1"/>
  <c r="P12" i="1"/>
  <c r="N12" i="1"/>
  <c r="I11" i="3" s="1"/>
  <c r="J12" i="1"/>
  <c r="K12" i="1"/>
  <c r="L12" i="1"/>
  <c r="AJ11" i="3" l="1"/>
  <c r="AZ11" i="3"/>
  <c r="BH11" i="3"/>
  <c r="BP11" i="3"/>
  <c r="BX11" i="3"/>
  <c r="AD11" i="3"/>
  <c r="AF11" i="3" s="1"/>
  <c r="AL11" i="3"/>
  <c r="AT11" i="3"/>
  <c r="AV11" i="3" s="1"/>
  <c r="BB11" i="3"/>
  <c r="BJ11" i="3"/>
  <c r="BR11" i="3"/>
  <c r="BZ11" i="3"/>
  <c r="W11" i="3"/>
  <c r="Y11" i="3" s="1"/>
  <c r="AE11" i="3"/>
  <c r="AM11" i="3"/>
  <c r="AU11" i="3"/>
  <c r="BK11" i="3"/>
  <c r="BS11" i="3"/>
  <c r="X11" i="3"/>
  <c r="AN11" i="3"/>
  <c r="BD11" i="3"/>
  <c r="BL11" i="3"/>
  <c r="BT11" i="3"/>
  <c r="CB11" i="3"/>
  <c r="CD11" i="3" s="1"/>
  <c r="Z11" i="3"/>
  <c r="AB11" i="3" s="1"/>
  <c r="AH11" i="3"/>
  <c r="AP11" i="3"/>
  <c r="AR11" i="3" s="1"/>
  <c r="AX11" i="3"/>
  <c r="BF11" i="3"/>
  <c r="BN11" i="3"/>
  <c r="BV11" i="3"/>
  <c r="AS11" i="3"/>
  <c r="BO11" i="3"/>
  <c r="AA11" i="3"/>
  <c r="AW11" i="3"/>
  <c r="AY11" i="3" s="1"/>
  <c r="BQ11" i="3"/>
  <c r="AK11" i="3"/>
  <c r="AC11" i="3"/>
  <c r="BU11" i="3"/>
  <c r="AG11" i="3"/>
  <c r="BA11" i="3"/>
  <c r="BC11" i="3" s="1"/>
  <c r="BW11" i="3"/>
  <c r="AI11" i="3"/>
  <c r="BE11" i="3"/>
  <c r="BY11" i="3"/>
  <c r="CA11" i="3" s="1"/>
  <c r="CC11" i="3"/>
  <c r="BG11" i="3"/>
  <c r="AQ11" i="3"/>
  <c r="BM11" i="3"/>
  <c r="AO11" i="3"/>
  <c r="BI11" i="3"/>
  <c r="CE11" i="3"/>
  <c r="V11" i="3"/>
  <c r="U11" i="3"/>
  <c r="F9" i="25"/>
  <c r="C10" i="25"/>
  <c r="J4" i="25" s="1"/>
  <c r="J15" i="25" s="1"/>
  <c r="B10" i="25"/>
  <c r="I4" i="25" s="1"/>
  <c r="I15" i="25" s="1"/>
  <c r="AJ12" i="1"/>
  <c r="AI12" i="1"/>
  <c r="AN12" i="1"/>
  <c r="AM12" i="1"/>
  <c r="AL12" i="1"/>
  <c r="AO12" i="1"/>
  <c r="AH12" i="1"/>
  <c r="AG12" i="1"/>
  <c r="AK12" i="1"/>
  <c r="Q15" i="25" l="1"/>
  <c r="K4" i="25"/>
  <c r="P4" i="25"/>
  <c r="P15" i="25"/>
  <c r="Q4" i="25"/>
  <c r="D10" i="25"/>
  <c r="R4" i="25" l="1"/>
  <c r="K15" i="25"/>
  <c r="R15" i="25"/>
  <c r="E10" i="25"/>
  <c r="L4" i="25" s="1"/>
  <c r="F10" i="25"/>
  <c r="M4" i="25" s="1"/>
  <c r="AP15" i="1" l="1"/>
  <c r="W15" i="1"/>
  <c r="U15" i="1"/>
  <c r="S15" i="1"/>
  <c r="R15" i="1"/>
  <c r="P15" i="1"/>
  <c r="N15" i="1"/>
  <c r="I14" i="3" s="1"/>
  <c r="L15" i="1"/>
  <c r="K15" i="1"/>
  <c r="J15" i="1"/>
  <c r="AP14" i="1"/>
  <c r="AO14" i="1"/>
  <c r="AN14" i="1"/>
  <c r="AM14" i="1"/>
  <c r="AK14" i="1"/>
  <c r="AJ14" i="1"/>
  <c r="AH14" i="1"/>
  <c r="AG14" i="1"/>
  <c r="AL14" i="1"/>
  <c r="W14" i="1"/>
  <c r="U14" i="1"/>
  <c r="S14" i="1"/>
  <c r="R14" i="1"/>
  <c r="P14" i="1"/>
  <c r="L14" i="1"/>
  <c r="K14" i="1"/>
  <c r="J14" i="1"/>
  <c r="AP17" i="1"/>
  <c r="W17" i="1"/>
  <c r="U17" i="1"/>
  <c r="S17" i="1"/>
  <c r="R17" i="1"/>
  <c r="P17" i="1"/>
  <c r="N17" i="1"/>
  <c r="I16" i="3" s="1"/>
  <c r="L17" i="1"/>
  <c r="K17" i="1"/>
  <c r="J17" i="1"/>
  <c r="AP18" i="1"/>
  <c r="W18" i="1"/>
  <c r="U18" i="1"/>
  <c r="S18" i="1"/>
  <c r="R18" i="1"/>
  <c r="P18" i="1"/>
  <c r="N18" i="1"/>
  <c r="I17" i="3" s="1"/>
  <c r="L18" i="1"/>
  <c r="K18" i="1"/>
  <c r="J18" i="1"/>
  <c r="AP10" i="1"/>
  <c r="W10" i="1"/>
  <c r="U10" i="1"/>
  <c r="S10" i="1"/>
  <c r="R10" i="1"/>
  <c r="P10" i="1"/>
  <c r="N10" i="1"/>
  <c r="I9" i="3" s="1"/>
  <c r="L10" i="1"/>
  <c r="K10" i="1"/>
  <c r="J10" i="1"/>
  <c r="AP13" i="1"/>
  <c r="W13" i="1"/>
  <c r="U13" i="1"/>
  <c r="S13" i="1"/>
  <c r="R13" i="1"/>
  <c r="P13" i="1"/>
  <c r="N13" i="1"/>
  <c r="I12" i="3" s="1"/>
  <c r="L13" i="1"/>
  <c r="K13" i="1"/>
  <c r="J13" i="1"/>
  <c r="AP20" i="1"/>
  <c r="AO20" i="1"/>
  <c r="AN20" i="1"/>
  <c r="AM20" i="1"/>
  <c r="AL20" i="1"/>
  <c r="AK20" i="1"/>
  <c r="AJ20" i="1"/>
  <c r="AH20" i="1"/>
  <c r="AG20" i="1"/>
  <c r="W20" i="1"/>
  <c r="U20" i="1"/>
  <c r="S20" i="1"/>
  <c r="R20" i="1"/>
  <c r="P20" i="1"/>
  <c r="L20" i="1"/>
  <c r="K20" i="1"/>
  <c r="J20" i="1"/>
  <c r="AP16" i="1"/>
  <c r="W16" i="1"/>
  <c r="U16" i="1"/>
  <c r="S16" i="1"/>
  <c r="R16" i="1"/>
  <c r="P16" i="1"/>
  <c r="N16" i="1"/>
  <c r="I15" i="3" s="1"/>
  <c r="L16" i="1"/>
  <c r="K16" i="1"/>
  <c r="J16" i="1"/>
  <c r="AP9" i="1"/>
  <c r="W9" i="1"/>
  <c r="U9" i="1"/>
  <c r="S9" i="1"/>
  <c r="R9" i="1"/>
  <c r="P9" i="1"/>
  <c r="L9" i="1"/>
  <c r="K9" i="1"/>
  <c r="J9" i="1"/>
  <c r="AD9" i="3" l="1"/>
  <c r="AF9" i="3" s="1"/>
  <c r="AL9" i="3"/>
  <c r="AT9" i="3"/>
  <c r="AV9" i="3" s="1"/>
  <c r="BB9" i="3"/>
  <c r="BJ9" i="3"/>
  <c r="BR9" i="3"/>
  <c r="BZ9" i="3"/>
  <c r="X9" i="3"/>
  <c r="AN9" i="3"/>
  <c r="BD9" i="3"/>
  <c r="BL9" i="3"/>
  <c r="BT9" i="3"/>
  <c r="CB9" i="3"/>
  <c r="CD9" i="3" s="1"/>
  <c r="AG9" i="3"/>
  <c r="AO9" i="3"/>
  <c r="AW9" i="3"/>
  <c r="AY9" i="3" s="1"/>
  <c r="BE9" i="3"/>
  <c r="BM9" i="3"/>
  <c r="BU9" i="3"/>
  <c r="CC9" i="3"/>
  <c r="Z9" i="3"/>
  <c r="AB9" i="3" s="1"/>
  <c r="AH9" i="3"/>
  <c r="AP9" i="3"/>
  <c r="AR9" i="3" s="1"/>
  <c r="AX9" i="3"/>
  <c r="BF9" i="3"/>
  <c r="BN9" i="3"/>
  <c r="BV9" i="3"/>
  <c r="AJ9" i="3"/>
  <c r="AZ9" i="3"/>
  <c r="BH9" i="3"/>
  <c r="BP9" i="3"/>
  <c r="BX9" i="3"/>
  <c r="AM9" i="3"/>
  <c r="BI9" i="3"/>
  <c r="CE9" i="3"/>
  <c r="AQ9" i="3"/>
  <c r="BK9" i="3"/>
  <c r="W9" i="3"/>
  <c r="Y9" i="3" s="1"/>
  <c r="AS9" i="3"/>
  <c r="BO9" i="3"/>
  <c r="AA9" i="3"/>
  <c r="AU9" i="3"/>
  <c r="BQ9" i="3"/>
  <c r="AC9" i="3"/>
  <c r="BS9" i="3"/>
  <c r="AE9" i="3"/>
  <c r="BA9" i="3"/>
  <c r="BC9" i="3" s="1"/>
  <c r="BW9" i="3"/>
  <c r="AK9" i="3"/>
  <c r="BG9" i="3"/>
  <c r="AI9" i="3"/>
  <c r="BY9" i="3"/>
  <c r="CA9" i="3" s="1"/>
  <c r="AG17" i="3"/>
  <c r="AO17" i="3"/>
  <c r="AW17" i="3"/>
  <c r="AY17" i="3" s="1"/>
  <c r="BE17" i="3"/>
  <c r="BM17" i="3"/>
  <c r="BU17" i="3"/>
  <c r="CC17" i="3"/>
  <c r="AC17" i="3"/>
  <c r="Z17" i="3"/>
  <c r="AB17" i="3" s="1"/>
  <c r="AH17" i="3"/>
  <c r="AP17" i="3"/>
  <c r="AR17" i="3" s="1"/>
  <c r="AX17" i="3"/>
  <c r="BF17" i="3"/>
  <c r="BN17" i="3"/>
  <c r="BV17" i="3"/>
  <c r="AA17" i="3"/>
  <c r="AI17" i="3"/>
  <c r="AQ17" i="3"/>
  <c r="BG17" i="3"/>
  <c r="BO17" i="3"/>
  <c r="BW17" i="3"/>
  <c r="CE17" i="3"/>
  <c r="BA17" i="3"/>
  <c r="BC17" i="3" s="1"/>
  <c r="AJ17" i="3"/>
  <c r="AZ17" i="3"/>
  <c r="BH17" i="3"/>
  <c r="BP17" i="3"/>
  <c r="BX17" i="3"/>
  <c r="AK17" i="3"/>
  <c r="W17" i="3"/>
  <c r="Y17" i="3" s="1"/>
  <c r="AE17" i="3"/>
  <c r="AM17" i="3"/>
  <c r="AU17" i="3"/>
  <c r="BK17" i="3"/>
  <c r="BS17" i="3"/>
  <c r="AN17" i="3"/>
  <c r="BL17" i="3"/>
  <c r="AT17" i="3"/>
  <c r="AV17" i="3" s="1"/>
  <c r="BR17" i="3"/>
  <c r="BT17" i="3"/>
  <c r="AL17" i="3"/>
  <c r="AS17" i="3"/>
  <c r="BQ17" i="3"/>
  <c r="X17" i="3"/>
  <c r="BB17" i="3"/>
  <c r="BY17" i="3"/>
  <c r="CA17" i="3" s="1"/>
  <c r="AD17" i="3"/>
  <c r="AF17" i="3" s="1"/>
  <c r="BD17" i="3"/>
  <c r="BZ17" i="3"/>
  <c r="BI17" i="3"/>
  <c r="CB17" i="3"/>
  <c r="CD17" i="3" s="1"/>
  <c r="BJ17" i="3"/>
  <c r="AC14" i="3"/>
  <c r="AK14" i="3"/>
  <c r="AS14" i="3"/>
  <c r="BA14" i="3"/>
  <c r="BC14" i="3" s="1"/>
  <c r="BI14" i="3"/>
  <c r="BQ14" i="3"/>
  <c r="BY14" i="3"/>
  <c r="CA14" i="3" s="1"/>
  <c r="W14" i="3"/>
  <c r="Y14" i="3" s="1"/>
  <c r="AE14" i="3"/>
  <c r="AM14" i="3"/>
  <c r="AU14" i="3"/>
  <c r="BK14" i="3"/>
  <c r="BS14" i="3"/>
  <c r="AG14" i="3"/>
  <c r="AO14" i="3"/>
  <c r="AA14" i="3"/>
  <c r="AI14" i="3"/>
  <c r="AQ14" i="3"/>
  <c r="BG14" i="3"/>
  <c r="BO14" i="3"/>
  <c r="AD14" i="3"/>
  <c r="AF14" i="3" s="1"/>
  <c r="AT14" i="3"/>
  <c r="AV14" i="3" s="1"/>
  <c r="BF14" i="3"/>
  <c r="BT14" i="3"/>
  <c r="AL14" i="3"/>
  <c r="BH14" i="3"/>
  <c r="BU14" i="3"/>
  <c r="CE14" i="3"/>
  <c r="AH14" i="3"/>
  <c r="AW14" i="3"/>
  <c r="AY14" i="3" s="1"/>
  <c r="BJ14" i="3"/>
  <c r="BV14" i="3"/>
  <c r="BM14" i="3"/>
  <c r="AJ14" i="3"/>
  <c r="AX14" i="3"/>
  <c r="BL14" i="3"/>
  <c r="BW14" i="3"/>
  <c r="AZ14" i="3"/>
  <c r="BX14" i="3"/>
  <c r="Z14" i="3"/>
  <c r="AB14" i="3" s="1"/>
  <c r="AP14" i="3"/>
  <c r="AR14" i="3" s="1"/>
  <c r="BD14" i="3"/>
  <c r="BP14" i="3"/>
  <c r="CB14" i="3"/>
  <c r="CD14" i="3" s="1"/>
  <c r="AN14" i="3"/>
  <c r="BE14" i="3"/>
  <c r="BN14" i="3"/>
  <c r="BB14" i="3"/>
  <c r="BR14" i="3"/>
  <c r="BZ14" i="3"/>
  <c r="CC14" i="3"/>
  <c r="X14" i="3"/>
  <c r="AD16" i="3"/>
  <c r="AF16" i="3" s="1"/>
  <c r="AL16" i="3"/>
  <c r="AT16" i="3"/>
  <c r="AV16" i="3" s="1"/>
  <c r="BB16" i="3"/>
  <c r="BJ16" i="3"/>
  <c r="BR16" i="3"/>
  <c r="BZ16" i="3"/>
  <c r="AX16" i="3"/>
  <c r="W16" i="3"/>
  <c r="Y16" i="3" s="1"/>
  <c r="AE16" i="3"/>
  <c r="AM16" i="3"/>
  <c r="AU16" i="3"/>
  <c r="BK16" i="3"/>
  <c r="BS16" i="3"/>
  <c r="BV16" i="3"/>
  <c r="X16" i="3"/>
  <c r="AN16" i="3"/>
  <c r="BD16" i="3"/>
  <c r="BL16" i="3"/>
  <c r="BT16" i="3"/>
  <c r="CB16" i="3"/>
  <c r="CD16" i="3" s="1"/>
  <c r="AP16" i="3"/>
  <c r="AR16" i="3" s="1"/>
  <c r="AG16" i="3"/>
  <c r="AO16" i="3"/>
  <c r="AW16" i="3"/>
  <c r="AY16" i="3" s="1"/>
  <c r="BE16" i="3"/>
  <c r="BM16" i="3"/>
  <c r="BU16" i="3"/>
  <c r="CC16" i="3"/>
  <c r="Z16" i="3"/>
  <c r="AB16" i="3" s="1"/>
  <c r="BF16" i="3"/>
  <c r="AH16" i="3"/>
  <c r="BN16" i="3"/>
  <c r="AJ16" i="3"/>
  <c r="AZ16" i="3"/>
  <c r="BH16" i="3"/>
  <c r="BP16" i="3"/>
  <c r="BX16" i="3"/>
  <c r="AK16" i="3"/>
  <c r="BQ16" i="3"/>
  <c r="AS16" i="3"/>
  <c r="BY16" i="3"/>
  <c r="CA16" i="3" s="1"/>
  <c r="AI16" i="3"/>
  <c r="AQ16" i="3"/>
  <c r="BW16" i="3"/>
  <c r="CE16" i="3"/>
  <c r="BA16" i="3"/>
  <c r="BC16" i="3" s="1"/>
  <c r="AA16" i="3"/>
  <c r="BG16" i="3"/>
  <c r="AC16" i="3"/>
  <c r="BI16" i="3"/>
  <c r="BO16" i="3"/>
  <c r="Z15" i="3"/>
  <c r="AB15" i="3" s="1"/>
  <c r="AH15" i="3"/>
  <c r="AP15" i="3"/>
  <c r="AR15" i="3" s="1"/>
  <c r="AX15" i="3"/>
  <c r="BF15" i="3"/>
  <c r="BN15" i="3"/>
  <c r="AD15" i="3"/>
  <c r="AF15" i="3" s="1"/>
  <c r="AM15" i="3"/>
  <c r="BE15" i="3"/>
  <c r="BO15" i="3"/>
  <c r="BW15" i="3"/>
  <c r="CE15" i="3"/>
  <c r="AI15" i="3"/>
  <c r="BS15" i="3"/>
  <c r="AE15" i="3"/>
  <c r="AN15" i="3"/>
  <c r="AW15" i="3"/>
  <c r="AY15" i="3" s="1"/>
  <c r="BG15" i="3"/>
  <c r="BP15" i="3"/>
  <c r="BX15" i="3"/>
  <c r="W15" i="3"/>
  <c r="Y15" i="3" s="1"/>
  <c r="AO15" i="3"/>
  <c r="BH15" i="3"/>
  <c r="BQ15" i="3"/>
  <c r="BY15" i="3"/>
  <c r="CA15" i="3" s="1"/>
  <c r="BA15" i="3"/>
  <c r="BC15" i="3" s="1"/>
  <c r="X15" i="3"/>
  <c r="AG15" i="3"/>
  <c r="AQ15" i="3"/>
  <c r="AZ15" i="3"/>
  <c r="BI15" i="3"/>
  <c r="BR15" i="3"/>
  <c r="BZ15" i="3"/>
  <c r="BJ15" i="3"/>
  <c r="AK15" i="3"/>
  <c r="AT15" i="3"/>
  <c r="AV15" i="3" s="1"/>
  <c r="BL15" i="3"/>
  <c r="BU15" i="3"/>
  <c r="CC15" i="3"/>
  <c r="AC15" i="3"/>
  <c r="BM15" i="3"/>
  <c r="AL15" i="3"/>
  <c r="BV15" i="3"/>
  <c r="AS15" i="3"/>
  <c r="CB15" i="3"/>
  <c r="CD15" i="3" s="1"/>
  <c r="AA15" i="3"/>
  <c r="AJ15" i="3"/>
  <c r="BT15" i="3"/>
  <c r="AU15" i="3"/>
  <c r="BB15" i="3"/>
  <c r="BD15" i="3"/>
  <c r="BK15" i="3"/>
  <c r="W12" i="3"/>
  <c r="Y12" i="3" s="1"/>
  <c r="AE12" i="3"/>
  <c r="AM12" i="3"/>
  <c r="AU12" i="3"/>
  <c r="BK12" i="3"/>
  <c r="BS12" i="3"/>
  <c r="AG12" i="3"/>
  <c r="AO12" i="3"/>
  <c r="AW12" i="3"/>
  <c r="AY12" i="3" s="1"/>
  <c r="BE12" i="3"/>
  <c r="BM12" i="3"/>
  <c r="BU12" i="3"/>
  <c r="CC12" i="3"/>
  <c r="Z12" i="3"/>
  <c r="AB12" i="3" s="1"/>
  <c r="AH12" i="3"/>
  <c r="AP12" i="3"/>
  <c r="AR12" i="3" s="1"/>
  <c r="AX12" i="3"/>
  <c r="BF12" i="3"/>
  <c r="BN12" i="3"/>
  <c r="BV12" i="3"/>
  <c r="AA12" i="3"/>
  <c r="AI12" i="3"/>
  <c r="AQ12" i="3"/>
  <c r="BG12" i="3"/>
  <c r="BO12" i="3"/>
  <c r="BW12" i="3"/>
  <c r="CE12" i="3"/>
  <c r="AC12" i="3"/>
  <c r="AK12" i="3"/>
  <c r="AS12" i="3"/>
  <c r="BA12" i="3"/>
  <c r="BC12" i="3" s="1"/>
  <c r="BI12" i="3"/>
  <c r="BQ12" i="3"/>
  <c r="BY12" i="3"/>
  <c r="CA12" i="3" s="1"/>
  <c r="BR12" i="3"/>
  <c r="AD12" i="3"/>
  <c r="AF12" i="3" s="1"/>
  <c r="AZ12" i="3"/>
  <c r="BT12" i="3"/>
  <c r="BB12" i="3"/>
  <c r="BX12" i="3"/>
  <c r="AJ12" i="3"/>
  <c r="BD12" i="3"/>
  <c r="BZ12" i="3"/>
  <c r="AN12" i="3"/>
  <c r="AL12" i="3"/>
  <c r="BH12" i="3"/>
  <c r="CB12" i="3"/>
  <c r="CD12" i="3" s="1"/>
  <c r="BJ12" i="3"/>
  <c r="X12" i="3"/>
  <c r="AT12" i="3"/>
  <c r="AV12" i="3" s="1"/>
  <c r="BP12" i="3"/>
  <c r="BL12" i="3"/>
  <c r="U14" i="3"/>
  <c r="V14" i="3"/>
  <c r="U17" i="3"/>
  <c r="V17" i="3"/>
  <c r="V16" i="3"/>
  <c r="U16" i="3"/>
  <c r="U15" i="3"/>
  <c r="V15" i="3"/>
  <c r="U9" i="3"/>
  <c r="V9" i="3"/>
  <c r="U12" i="3"/>
  <c r="V12" i="3"/>
  <c r="C12" i="25"/>
  <c r="B12" i="25"/>
  <c r="C7" i="25"/>
  <c r="J3" i="25" s="1"/>
  <c r="J14" i="25" s="1"/>
  <c r="B7" i="25"/>
  <c r="I3" i="25" s="1"/>
  <c r="I14" i="25" s="1"/>
  <c r="B18" i="25"/>
  <c r="C18" i="25"/>
  <c r="B16" i="25"/>
  <c r="C16" i="25"/>
  <c r="C15" i="25"/>
  <c r="B15" i="25"/>
  <c r="B13" i="25"/>
  <c r="C13" i="25"/>
  <c r="B14" i="25"/>
  <c r="C14" i="25"/>
  <c r="C8" i="25"/>
  <c r="B8" i="25"/>
  <c r="AI13" i="1"/>
  <c r="C11" i="25"/>
  <c r="B11" i="25"/>
  <c r="S2" i="1"/>
  <c r="R2" i="1"/>
  <c r="U2" i="1"/>
  <c r="N2" i="1"/>
  <c r="AG9" i="1"/>
  <c r="AK9" i="1"/>
  <c r="AO9" i="1"/>
  <c r="AI9" i="1"/>
  <c r="AM9" i="1"/>
  <c r="AJ9" i="1"/>
  <c r="AN9" i="1"/>
  <c r="AH9" i="1"/>
  <c r="AL9" i="1"/>
  <c r="AL17" i="1"/>
  <c r="AI17" i="1"/>
  <c r="AJ16" i="1"/>
  <c r="AI16" i="1"/>
  <c r="AM10" i="1"/>
  <c r="AI10" i="1"/>
  <c r="AJ18" i="1"/>
  <c r="AI18" i="1"/>
  <c r="AL15" i="1"/>
  <c r="AI15" i="1"/>
  <c r="AN10" i="1"/>
  <c r="AN18" i="1"/>
  <c r="AN15" i="1"/>
  <c r="AN13" i="1"/>
  <c r="AN16" i="1"/>
  <c r="AK10" i="1"/>
  <c r="AM15" i="1"/>
  <c r="AO16" i="1"/>
  <c r="AO17" i="1"/>
  <c r="AH18" i="1"/>
  <c r="AM13" i="1"/>
  <c r="AL10" i="1"/>
  <c r="AH10" i="1"/>
  <c r="AO10" i="1"/>
  <c r="AK18" i="1"/>
  <c r="AK17" i="1"/>
  <c r="AJ15" i="1"/>
  <c r="AH17" i="1"/>
  <c r="AJ17" i="1"/>
  <c r="AH15" i="1"/>
  <c r="AO15" i="1"/>
  <c r="AH16" i="1"/>
  <c r="AJ13" i="1"/>
  <c r="AK16" i="1"/>
  <c r="AJ10" i="1"/>
  <c r="AO18" i="1"/>
  <c r="AN17" i="1"/>
  <c r="AM17" i="1"/>
  <c r="AK15" i="1"/>
  <c r="AG16" i="1"/>
  <c r="AL16" i="1"/>
  <c r="AK13" i="1"/>
  <c r="AO13" i="1"/>
  <c r="AG18" i="1"/>
  <c r="AL18" i="1"/>
  <c r="AM16" i="1"/>
  <c r="AG13" i="1"/>
  <c r="AL13" i="1"/>
  <c r="AM18" i="1"/>
  <c r="AH13" i="1"/>
  <c r="AG10" i="1"/>
  <c r="AG17" i="1"/>
  <c r="AG15" i="1"/>
  <c r="R16" i="25" l="1"/>
  <c r="Q14" i="25"/>
  <c r="K3" i="25"/>
  <c r="P3" i="25"/>
  <c r="P14" i="25"/>
  <c r="Q3" i="25"/>
  <c r="R3" i="25" s="1"/>
  <c r="D18" i="25"/>
  <c r="D16" i="25"/>
  <c r="D7" i="25"/>
  <c r="D12" i="25"/>
  <c r="D13" i="25"/>
  <c r="D15" i="25"/>
  <c r="D11" i="25"/>
  <c r="F11" i="25" s="1"/>
  <c r="D14" i="25"/>
  <c r="D8" i="25"/>
  <c r="K14" i="25" l="1"/>
  <c r="R14" i="25"/>
  <c r="E13" i="25"/>
  <c r="F16" i="25"/>
  <c r="E15" i="25"/>
  <c r="E18" i="25"/>
  <c r="F18" i="25"/>
  <c r="F13" i="25"/>
  <c r="E16" i="25"/>
  <c r="E11" i="25"/>
  <c r="E12" i="25"/>
  <c r="F12" i="25"/>
  <c r="E7" i="25"/>
  <c r="L3" i="25" s="1"/>
  <c r="F7" i="25"/>
  <c r="M3" i="25" s="1"/>
  <c r="F15" i="25"/>
  <c r="E8" i="25"/>
  <c r="F8" i="25"/>
  <c r="E14" i="25"/>
  <c r="F14" i="25"/>
  <c r="R18" i="25" l="1"/>
  <c r="K18" i="25"/>
  <c r="S3" i="25"/>
  <c r="T3" i="25"/>
  <c r="K9" i="9"/>
  <c r="O4" i="12" l="1"/>
  <c r="O10" i="12"/>
  <c r="P10" i="12"/>
  <c r="E3" i="12"/>
  <c r="G3" i="12"/>
  <c r="P4" i="12" l="1"/>
  <c r="P18" i="12"/>
  <c r="I3" i="12"/>
  <c r="H3" i="12"/>
  <c r="F3" i="12"/>
  <c r="C4" i="2"/>
  <c r="C7" i="2"/>
  <c r="P14" i="12" l="1"/>
  <c r="P19" i="12"/>
  <c r="P20" i="12" s="1"/>
  <c r="J3" i="12"/>
  <c r="Q18" i="12"/>
  <c r="Q19" i="12" s="1"/>
  <c r="Q20" i="12" s="1"/>
  <c r="P16" i="12"/>
  <c r="P17" i="12" s="1"/>
  <c r="P21" i="12" l="1"/>
  <c r="Q16" i="12"/>
  <c r="Q17" i="12" s="1"/>
  <c r="Q21" i="12" s="1"/>
  <c r="Q14" i="12"/>
  <c r="O43" i="9" l="1"/>
  <c r="Q43" i="9" s="1"/>
  <c r="S43" i="9"/>
  <c r="T43" i="9"/>
  <c r="O44" i="9"/>
  <c r="Q44" i="9" s="1"/>
  <c r="S44" i="9"/>
  <c r="T44" i="9"/>
  <c r="O45" i="9"/>
  <c r="Q45" i="9" s="1"/>
  <c r="S45" i="9"/>
  <c r="U45" i="9" s="1"/>
  <c r="T45" i="9"/>
  <c r="O46" i="9"/>
  <c r="Q46" i="9" s="1"/>
  <c r="S46" i="9"/>
  <c r="T46" i="9"/>
  <c r="O47" i="9"/>
  <c r="Q47" i="9" s="1"/>
  <c r="S47" i="9"/>
  <c r="T47" i="9"/>
  <c r="O48" i="9"/>
  <c r="Q48" i="9" s="1"/>
  <c r="S48" i="9"/>
  <c r="T48" i="9"/>
  <c r="O49" i="9"/>
  <c r="Q49" i="9" s="1"/>
  <c r="S49" i="9"/>
  <c r="T49" i="9"/>
  <c r="O50" i="9"/>
  <c r="Q50" i="9" s="1"/>
  <c r="S50" i="9"/>
  <c r="T50" i="9"/>
  <c r="O51" i="9"/>
  <c r="Q51" i="9" s="1"/>
  <c r="S51" i="9"/>
  <c r="T51" i="9"/>
  <c r="O52" i="9"/>
  <c r="Q52" i="9" s="1"/>
  <c r="S52" i="9"/>
  <c r="T52" i="9"/>
  <c r="O53" i="9"/>
  <c r="Q53" i="9" s="1"/>
  <c r="S53" i="9"/>
  <c r="T53" i="9"/>
  <c r="O54" i="9"/>
  <c r="Q54" i="9" s="1"/>
  <c r="S54" i="9"/>
  <c r="T54" i="9"/>
  <c r="O55" i="9"/>
  <c r="Q55" i="9" s="1"/>
  <c r="S55" i="9"/>
  <c r="T55" i="9"/>
  <c r="O56" i="9"/>
  <c r="Q56" i="9" s="1"/>
  <c r="S56" i="9"/>
  <c r="T56" i="9"/>
  <c r="O57" i="9"/>
  <c r="Q57" i="9" s="1"/>
  <c r="S57" i="9"/>
  <c r="T57" i="9"/>
  <c r="O58" i="9"/>
  <c r="Q58" i="9" s="1"/>
  <c r="S58" i="9"/>
  <c r="T58" i="9"/>
  <c r="O59" i="9"/>
  <c r="Q59" i="9" s="1"/>
  <c r="S59" i="9"/>
  <c r="T59" i="9"/>
  <c r="O60" i="9"/>
  <c r="Q60" i="9" s="1"/>
  <c r="S60" i="9"/>
  <c r="T60" i="9"/>
  <c r="O61" i="9"/>
  <c r="Q61" i="9" s="1"/>
  <c r="S61" i="9"/>
  <c r="T61" i="9"/>
  <c r="O62" i="9"/>
  <c r="Q62" i="9" s="1"/>
  <c r="S62" i="9"/>
  <c r="T62" i="9"/>
  <c r="O63" i="9"/>
  <c r="Q63" i="9" s="1"/>
  <c r="S63" i="9"/>
  <c r="T63" i="9"/>
  <c r="O64" i="9"/>
  <c r="Q64" i="9" s="1"/>
  <c r="S64" i="9"/>
  <c r="T64" i="9"/>
  <c r="O65" i="9"/>
  <c r="Q65" i="9" s="1"/>
  <c r="S65" i="9"/>
  <c r="T65" i="9"/>
  <c r="O66" i="9"/>
  <c r="Q66" i="9" s="1"/>
  <c r="S66" i="9"/>
  <c r="T66" i="9"/>
  <c r="O67" i="9"/>
  <c r="Q67" i="9" s="1"/>
  <c r="S67" i="9"/>
  <c r="T67" i="9"/>
  <c r="O68" i="9"/>
  <c r="Q68" i="9" s="1"/>
  <c r="S68" i="9"/>
  <c r="T68" i="9"/>
  <c r="O69" i="9"/>
  <c r="Q69" i="9" s="1"/>
  <c r="S69" i="9"/>
  <c r="T69" i="9"/>
  <c r="O70" i="9"/>
  <c r="Q70" i="9" s="1"/>
  <c r="S70" i="9"/>
  <c r="T70" i="9"/>
  <c r="O71" i="9"/>
  <c r="Q71" i="9" s="1"/>
  <c r="S71" i="9"/>
  <c r="T71" i="9"/>
  <c r="O72" i="9"/>
  <c r="Q72" i="9" s="1"/>
  <c r="S72" i="9"/>
  <c r="T72" i="9"/>
  <c r="O73" i="9"/>
  <c r="Q73" i="9" s="1"/>
  <c r="S73" i="9"/>
  <c r="T73" i="9"/>
  <c r="O74" i="9"/>
  <c r="Q74" i="9" s="1"/>
  <c r="S74" i="9"/>
  <c r="T74" i="9"/>
  <c r="O75" i="9"/>
  <c r="Q75" i="9" s="1"/>
  <c r="S75" i="9"/>
  <c r="T75" i="9"/>
  <c r="O76" i="9"/>
  <c r="Q76" i="9" s="1"/>
  <c r="S76" i="9"/>
  <c r="T76" i="9"/>
  <c r="B33" i="9"/>
  <c r="B31" i="9"/>
  <c r="B32" i="9" s="1"/>
  <c r="U65" i="9" l="1"/>
  <c r="U57" i="9"/>
  <c r="U73" i="9"/>
  <c r="U49" i="9"/>
  <c r="U74" i="9"/>
  <c r="U58" i="9"/>
  <c r="U50" i="9"/>
  <c r="U61" i="9"/>
  <c r="U66" i="9"/>
  <c r="U62" i="9"/>
  <c r="U46" i="9"/>
  <c r="U69" i="9"/>
  <c r="U53" i="9"/>
  <c r="U70" i="9"/>
  <c r="U54" i="9"/>
  <c r="U76" i="9"/>
  <c r="U75" i="9"/>
  <c r="U72" i="9"/>
  <c r="U71" i="9"/>
  <c r="U68" i="9"/>
  <c r="U67" i="9"/>
  <c r="U64" i="9"/>
  <c r="U63" i="9"/>
  <c r="U60" i="9"/>
  <c r="U59" i="9"/>
  <c r="U56" i="9"/>
  <c r="U55" i="9"/>
  <c r="U52" i="9"/>
  <c r="U51" i="9"/>
  <c r="U48" i="9"/>
  <c r="U47" i="9"/>
  <c r="U44" i="9"/>
  <c r="U43" i="9"/>
  <c r="O7" i="9" l="1"/>
  <c r="Q7" i="9" s="1"/>
  <c r="S7" i="9"/>
  <c r="T7" i="9"/>
  <c r="O2" i="9"/>
  <c r="Q2" i="9" s="1"/>
  <c r="S2" i="9"/>
  <c r="T2" i="9"/>
  <c r="O3" i="9"/>
  <c r="Q3" i="9" s="1"/>
  <c r="S3" i="9"/>
  <c r="T3" i="9"/>
  <c r="O4" i="9"/>
  <c r="Q4" i="9" s="1"/>
  <c r="S4" i="9"/>
  <c r="T4" i="9"/>
  <c r="O5" i="9"/>
  <c r="Q5" i="9" s="1"/>
  <c r="S5" i="9"/>
  <c r="T5" i="9"/>
  <c r="O8" i="9"/>
  <c r="Q8" i="9" s="1"/>
  <c r="S8" i="9"/>
  <c r="T8" i="9"/>
  <c r="O6" i="9"/>
  <c r="Q6" i="9" s="1"/>
  <c r="S6" i="9"/>
  <c r="T6" i="9"/>
  <c r="O9" i="9"/>
  <c r="Q9" i="9" s="1"/>
  <c r="S9" i="9"/>
  <c r="T9" i="9"/>
  <c r="O10" i="9"/>
  <c r="Q10" i="9" s="1"/>
  <c r="S10" i="9"/>
  <c r="T10" i="9"/>
  <c r="O11" i="9"/>
  <c r="Q11" i="9" s="1"/>
  <c r="S11" i="9"/>
  <c r="T11" i="9"/>
  <c r="O12" i="9"/>
  <c r="Q12" i="9" s="1"/>
  <c r="S12" i="9"/>
  <c r="T12" i="9"/>
  <c r="O13" i="9"/>
  <c r="Q13" i="9" s="1"/>
  <c r="S13" i="9"/>
  <c r="T13" i="9"/>
  <c r="O14" i="9"/>
  <c r="Q14" i="9" s="1"/>
  <c r="S14" i="9"/>
  <c r="T14" i="9"/>
  <c r="O15" i="9"/>
  <c r="Q15" i="9" s="1"/>
  <c r="S15" i="9"/>
  <c r="T15" i="9"/>
  <c r="O16" i="9"/>
  <c r="Q16" i="9" s="1"/>
  <c r="S16" i="9"/>
  <c r="T16" i="9"/>
  <c r="O17" i="9"/>
  <c r="Q17" i="9" s="1"/>
  <c r="S17" i="9"/>
  <c r="T17" i="9"/>
  <c r="O18" i="9"/>
  <c r="Q18" i="9" s="1"/>
  <c r="S18" i="9"/>
  <c r="T18" i="9"/>
  <c r="O19" i="9"/>
  <c r="Q19" i="9" s="1"/>
  <c r="S19" i="9"/>
  <c r="T19" i="9"/>
  <c r="O20" i="9"/>
  <c r="Q20" i="9" s="1"/>
  <c r="S20" i="9"/>
  <c r="T20" i="9"/>
  <c r="O21" i="9"/>
  <c r="Q21" i="9" s="1"/>
  <c r="S21" i="9"/>
  <c r="T21" i="9"/>
  <c r="O22" i="9"/>
  <c r="Q22" i="9" s="1"/>
  <c r="S22" i="9"/>
  <c r="T22" i="9"/>
  <c r="O23" i="9"/>
  <c r="Q23" i="9" s="1"/>
  <c r="S23" i="9"/>
  <c r="T23" i="9"/>
  <c r="O24" i="9"/>
  <c r="Q24" i="9" s="1"/>
  <c r="S24" i="9"/>
  <c r="T24" i="9"/>
  <c r="O25" i="9"/>
  <c r="Q25" i="9" s="1"/>
  <c r="S25" i="9"/>
  <c r="T25" i="9"/>
  <c r="O26" i="9"/>
  <c r="Q26" i="9" s="1"/>
  <c r="S26" i="9"/>
  <c r="T26" i="9"/>
  <c r="O27" i="9"/>
  <c r="Q27" i="9" s="1"/>
  <c r="S27" i="9"/>
  <c r="T27" i="9"/>
  <c r="O28" i="9"/>
  <c r="Q28" i="9" s="1"/>
  <c r="S28" i="9"/>
  <c r="T28" i="9"/>
  <c r="O29" i="9"/>
  <c r="Q29" i="9" s="1"/>
  <c r="S29" i="9"/>
  <c r="T29" i="9"/>
  <c r="O30" i="9"/>
  <c r="Q30" i="9" s="1"/>
  <c r="S30" i="9"/>
  <c r="T30" i="9"/>
  <c r="O31" i="9"/>
  <c r="Q31" i="9" s="1"/>
  <c r="S31" i="9"/>
  <c r="T31" i="9"/>
  <c r="O32" i="9"/>
  <c r="Q32" i="9" s="1"/>
  <c r="S32" i="9"/>
  <c r="T32" i="9"/>
  <c r="O33" i="9"/>
  <c r="Q33" i="9" s="1"/>
  <c r="S33" i="9"/>
  <c r="T33" i="9"/>
  <c r="O34" i="9"/>
  <c r="Q34" i="9" s="1"/>
  <c r="S34" i="9"/>
  <c r="T34" i="9"/>
  <c r="O35" i="9"/>
  <c r="Q35" i="9" s="1"/>
  <c r="S35" i="9"/>
  <c r="T35" i="9"/>
  <c r="O36" i="9"/>
  <c r="Q36" i="9" s="1"/>
  <c r="S36" i="9"/>
  <c r="T36" i="9"/>
  <c r="O37" i="9"/>
  <c r="Q37" i="9" s="1"/>
  <c r="S37" i="9"/>
  <c r="T37" i="9"/>
  <c r="O38" i="9"/>
  <c r="Q38" i="9" s="1"/>
  <c r="S38" i="9"/>
  <c r="T38" i="9"/>
  <c r="O39" i="9"/>
  <c r="Q39" i="9" s="1"/>
  <c r="S39" i="9"/>
  <c r="T39" i="9"/>
  <c r="O40" i="9"/>
  <c r="Q40" i="9" s="1"/>
  <c r="S40" i="9"/>
  <c r="T40" i="9"/>
  <c r="O41" i="9"/>
  <c r="Q41" i="9" s="1"/>
  <c r="S41" i="9"/>
  <c r="T41" i="9"/>
  <c r="O42" i="9"/>
  <c r="Q42" i="9" s="1"/>
  <c r="S42" i="9"/>
  <c r="T42" i="9"/>
  <c r="U16" i="9" l="1"/>
  <c r="U6" i="9"/>
  <c r="U32" i="9"/>
  <c r="U3" i="9"/>
  <c r="U40" i="9"/>
  <c r="U36" i="9"/>
  <c r="U33" i="9"/>
  <c r="U17" i="9"/>
  <c r="U41" i="9"/>
  <c r="U9" i="9"/>
  <c r="U24" i="9"/>
  <c r="U20" i="9"/>
  <c r="U25" i="9"/>
  <c r="U37" i="9"/>
  <c r="U21" i="9"/>
  <c r="U4" i="9"/>
  <c r="U28" i="9"/>
  <c r="U12" i="9"/>
  <c r="U29" i="9"/>
  <c r="U13" i="9"/>
  <c r="U42" i="9"/>
  <c r="U39" i="9"/>
  <c r="U38" i="9"/>
  <c r="U35" i="9"/>
  <c r="U34" i="9"/>
  <c r="U31" i="9"/>
  <c r="U30" i="9"/>
  <c r="U27" i="9"/>
  <c r="U26" i="9"/>
  <c r="U23" i="9"/>
  <c r="U22" i="9"/>
  <c r="U19" i="9"/>
  <c r="U18" i="9"/>
  <c r="U15" i="9"/>
  <c r="U14" i="9"/>
  <c r="U11" i="9"/>
  <c r="U10" i="9"/>
  <c r="U8" i="9"/>
  <c r="U5" i="9"/>
  <c r="U2" i="9"/>
  <c r="U7" i="9"/>
  <c r="K9" i="4"/>
  <c r="J9" i="4"/>
  <c r="H9" i="4"/>
  <c r="H3" i="4" l="1"/>
  <c r="H2" i="4" l="1"/>
  <c r="H4" i="4"/>
  <c r="K4" i="4"/>
  <c r="J4" i="4"/>
  <c r="J3" i="4"/>
  <c r="K3" i="4"/>
  <c r="J10" i="4"/>
  <c r="K10" i="4"/>
  <c r="J11" i="4"/>
  <c r="K11" i="4"/>
  <c r="J12" i="4"/>
  <c r="K12" i="4"/>
  <c r="K8" i="4"/>
  <c r="J8" i="4"/>
  <c r="H8" i="4"/>
  <c r="L8" i="4" s="1"/>
  <c r="K7" i="4"/>
  <c r="J7" i="4"/>
  <c r="H7" i="4"/>
  <c r="J6" i="4"/>
  <c r="H6" i="4"/>
  <c r="L6" i="4" s="1"/>
  <c r="J5" i="4"/>
  <c r="H5" i="4"/>
  <c r="K5" i="4"/>
  <c r="K6" i="4"/>
  <c r="K2" i="4"/>
  <c r="J2" i="4"/>
  <c r="M8" i="4" l="1"/>
  <c r="L3" i="4"/>
  <c r="M3" i="4" s="1"/>
  <c r="N3" i="4" s="1"/>
  <c r="L9" i="4"/>
  <c r="M6" i="4"/>
  <c r="L2" i="4"/>
  <c r="M2" i="4" s="1"/>
  <c r="N2" i="4" s="1"/>
  <c r="L5" i="4"/>
  <c r="L7" i="4"/>
  <c r="M7" i="4" s="1"/>
  <c r="N7" i="4" s="1"/>
  <c r="L4" i="4"/>
  <c r="M4" i="4" s="1"/>
  <c r="N4" i="4" s="1"/>
  <c r="M5" i="4" l="1"/>
  <c r="N6" i="4"/>
  <c r="M9" i="4"/>
  <c r="N8" i="4"/>
  <c r="N9" i="4" l="1"/>
  <c r="N5" i="4"/>
  <c r="C14" i="2" l="1"/>
  <c r="C15" i="2"/>
  <c r="C16" i="2" s="1"/>
  <c r="C1" i="2" l="1"/>
  <c r="Z6" i="6" l="1"/>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5" i="6"/>
  <c r="S17" i="4" l="1"/>
  <c r="R17" i="4"/>
  <c r="Q17" i="4"/>
  <c r="U18" i="4"/>
  <c r="S18" i="4"/>
  <c r="R18" i="4"/>
  <c r="Q18" i="4"/>
  <c r="U17" i="4"/>
  <c r="W2" i="1" l="1"/>
  <c r="C9" i="2"/>
  <c r="C10" i="2" s="1"/>
  <c r="B9" i="2"/>
  <c r="B10" i="2" s="1"/>
  <c r="D2" i="1" l="1"/>
  <c r="F12" i="1" s="1"/>
  <c r="D12" i="10" s="1"/>
  <c r="C12" i="1" l="1"/>
  <c r="C11" i="3"/>
  <c r="F21" i="1"/>
  <c r="D21" i="10" s="1"/>
  <c r="F19" i="1"/>
  <c r="D19" i="10" s="1"/>
  <c r="F18" i="1"/>
  <c r="D18" i="10" s="1"/>
  <c r="F20" i="1"/>
  <c r="D20" i="10" s="1"/>
  <c r="F17" i="1"/>
  <c r="D17" i="10" s="1"/>
  <c r="F16" i="1"/>
  <c r="D16" i="10" s="1"/>
  <c r="F14" i="1"/>
  <c r="D14" i="10" s="1"/>
  <c r="F15" i="1"/>
  <c r="D15" i="10" s="1"/>
  <c r="F7" i="1"/>
  <c r="D7" i="10" s="1"/>
  <c r="F9" i="1"/>
  <c r="D9" i="10" s="1"/>
  <c r="F6" i="1"/>
  <c r="D6" i="10" s="1"/>
  <c r="F8" i="1"/>
  <c r="D8" i="10" s="1"/>
  <c r="F11" i="1"/>
  <c r="D11" i="10" s="1"/>
  <c r="F10" i="1"/>
  <c r="D10" i="10" s="1"/>
  <c r="F5" i="1"/>
  <c r="D5" i="10" s="1"/>
  <c r="F13" i="1"/>
  <c r="D13" i="10" s="1"/>
  <c r="F4" i="1"/>
  <c r="D4" i="10" s="1"/>
  <c r="C8" i="3" l="1"/>
  <c r="C21" i="1"/>
  <c r="C20" i="3"/>
  <c r="C20" i="1"/>
  <c r="C19" i="3"/>
  <c r="C17" i="1"/>
  <c r="C16" i="3"/>
  <c r="C18" i="1"/>
  <c r="C17" i="3"/>
  <c r="C10" i="1"/>
  <c r="C9" i="3"/>
  <c r="C6" i="1"/>
  <c r="C5" i="3"/>
  <c r="C16" i="1"/>
  <c r="C15" i="3"/>
  <c r="C8" i="1"/>
  <c r="C7" i="3"/>
  <c r="C19" i="1"/>
  <c r="C18" i="3"/>
  <c r="C7" i="1"/>
  <c r="C6" i="3"/>
  <c r="C15" i="1"/>
  <c r="C14" i="3"/>
  <c r="C11" i="1"/>
  <c r="C10" i="3"/>
  <c r="C13" i="1"/>
  <c r="C12" i="3"/>
  <c r="C5" i="1"/>
  <c r="C4" i="3"/>
  <c r="C14" i="1"/>
  <c r="C13" i="3"/>
  <c r="F7" i="24"/>
  <c r="Z7" i="24" s="1"/>
  <c r="C9" i="1"/>
  <c r="F3" i="24"/>
  <c r="Z3" i="24" s="1"/>
  <c r="C4" i="1"/>
  <c r="F15" i="24"/>
  <c r="Z15" i="24" s="1"/>
  <c r="F6" i="24"/>
  <c r="Z6" i="24" s="1"/>
  <c r="F14" i="24"/>
  <c r="Z14" i="24" s="1"/>
  <c r="F4" i="24"/>
  <c r="Z4" i="24" s="1"/>
  <c r="F5" i="24"/>
  <c r="Z5" i="24" s="1"/>
  <c r="F13" i="24"/>
  <c r="Z13" i="24" s="1"/>
  <c r="F10" i="24"/>
  <c r="Z10" i="24" s="1"/>
  <c r="F9" i="24"/>
  <c r="Z9" i="24" s="1"/>
  <c r="C3" i="3"/>
  <c r="F25" i="24" l="1"/>
  <c r="Z25" i="24" s="1"/>
  <c r="F21" i="24"/>
  <c r="Z21" i="24" s="1"/>
  <c r="F24" i="24"/>
  <c r="Z24" i="24" s="1"/>
  <c r="F23" i="24"/>
  <c r="Z23" i="24" s="1"/>
  <c r="F32" i="24"/>
  <c r="Z32" i="24" s="1"/>
  <c r="F33" i="24"/>
  <c r="Z33" i="24" s="1"/>
  <c r="F22" i="24"/>
  <c r="Z22" i="24" s="1"/>
  <c r="F27" i="24" l="1"/>
  <c r="Z27" i="24" s="1"/>
  <c r="F28" i="24"/>
  <c r="Z28" i="24" s="1"/>
  <c r="F31" i="24"/>
  <c r="Z31" i="24" s="1"/>
  <c r="S5" i="25" l="1"/>
  <c r="T5" i="25"/>
  <c r="D2" i="25" l="1"/>
  <c r="E2" i="25" l="1"/>
  <c r="F2" i="25"/>
  <c r="K7" i="25"/>
  <c r="R7" i="25"/>
  <c r="S2" i="25" l="1"/>
  <c r="S7" i="25" s="1"/>
  <c r="L7" i="25"/>
  <c r="L8" i="25" s="1"/>
  <c r="T2" i="25"/>
  <c r="T7" i="25" s="1"/>
  <c r="M7" i="25"/>
  <c r="M8" i="25" s="1"/>
  <c r="M17" i="25" l="1"/>
  <c r="M16" i="25"/>
  <c r="M15" i="25"/>
  <c r="T15" i="25" s="1"/>
  <c r="M14" i="25"/>
  <c r="T14" i="25" s="1"/>
  <c r="L17" i="25"/>
  <c r="L16" i="25"/>
  <c r="S16" i="25" s="1"/>
  <c r="L15" i="25"/>
  <c r="S15" i="25" s="1"/>
  <c r="L14" i="25"/>
  <c r="S14" i="25" s="1"/>
  <c r="M13" i="25"/>
  <c r="T13" i="25" s="1"/>
  <c r="L13" i="25"/>
  <c r="S13" i="25" s="1"/>
  <c r="T16" i="25" l="1"/>
  <c r="T18" i="25" s="1"/>
  <c r="S18" i="25"/>
  <c r="L18" i="25"/>
  <c r="M18"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K3" authorId="0" shapeId="0" xr:uid="{00000000-0006-0000-0400-000001000000}">
      <text>
        <r>
          <rPr>
            <sz val="8"/>
            <color indexed="81"/>
            <rFont val="Tahoma"/>
            <family val="2"/>
          </rPr>
          <t>Lid*Lid*Exp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22" authorId="0" shapeId="0" xr:uid="{00000000-0006-0000-0700-000001000000}">
      <text>
        <r>
          <rPr>
            <b/>
            <sz val="8"/>
            <color indexed="81"/>
            <rFont val="Tahoma"/>
            <family val="2"/>
          </rPr>
          <t>Sacado del manual no escrito, no se sabe que son estos valores</t>
        </r>
      </text>
    </comment>
    <comment ref="D22" authorId="0" shapeId="0" xr:uid="{00000000-0006-0000-0700-000002000000}">
      <text>
        <r>
          <rPr>
            <b/>
            <sz val="8"/>
            <color indexed="81"/>
            <rFont val="Tahoma"/>
            <family val="2"/>
          </rPr>
          <t>En partidos de Torneo con el predictor
-Campo neutral
-Espiritu: Ilusionats (6)
-Confiança: Alta (7)
Entrenador NEUTRO</t>
        </r>
      </text>
    </comment>
  </commentList>
</comments>
</file>

<file path=xl/sharedStrings.xml><?xml version="1.0" encoding="utf-8"?>
<sst xmlns="http://schemas.openxmlformats.org/spreadsheetml/2006/main" count="893" uniqueCount="459">
  <si>
    <t>CAB</t>
  </si>
  <si>
    <t>Nfin</t>
  </si>
  <si>
    <t>POS</t>
  </si>
  <si>
    <t>Jugador</t>
  </si>
  <si>
    <t>Anys</t>
  </si>
  <si>
    <t>Dias</t>
  </si>
  <si>
    <t>PA</t>
  </si>
  <si>
    <t>Lid</t>
  </si>
  <si>
    <t>Exp</t>
  </si>
  <si>
    <t>Res</t>
  </si>
  <si>
    <t>m90</t>
  </si>
  <si>
    <t>For</t>
  </si>
  <si>
    <t>TSI</t>
  </si>
  <si>
    <t>Sou</t>
  </si>
  <si>
    <t>Hib</t>
  </si>
  <si>
    <t>Po</t>
  </si>
  <si>
    <t>De</t>
  </si>
  <si>
    <t>Cr</t>
  </si>
  <si>
    <t>Ex</t>
  </si>
  <si>
    <t>Ps</t>
  </si>
  <si>
    <t>An</t>
  </si>
  <si>
    <t>NCA</t>
  </si>
  <si>
    <t>PEN</t>
  </si>
  <si>
    <t>BPiA</t>
  </si>
  <si>
    <t>BPiD</t>
  </si>
  <si>
    <t>BPMin</t>
  </si>
  <si>
    <t>BPMax</t>
  </si>
  <si>
    <t>POR</t>
  </si>
  <si>
    <t>#1</t>
  </si>
  <si>
    <t>DEF</t>
  </si>
  <si>
    <t>#8</t>
  </si>
  <si>
    <t>#2</t>
  </si>
  <si>
    <t>#3</t>
  </si>
  <si>
    <t>#13</t>
  </si>
  <si>
    <t>#7</t>
  </si>
  <si>
    <t>#11</t>
  </si>
  <si>
    <t>#10</t>
  </si>
  <si>
    <t>#6</t>
  </si>
  <si>
    <t>#4</t>
  </si>
  <si>
    <t>#12</t>
  </si>
  <si>
    <t>#5</t>
  </si>
  <si>
    <t>#14</t>
  </si>
  <si>
    <t>#9</t>
  </si>
  <si>
    <t>DAV</t>
  </si>
  <si>
    <t>RAP</t>
  </si>
  <si>
    <t>#15</t>
  </si>
  <si>
    <t>BP</t>
  </si>
  <si>
    <t>IHL</t>
  </si>
  <si>
    <t>CMx</t>
  </si>
  <si>
    <t>CMn</t>
  </si>
  <si>
    <t>(11776649) BP divino, salario 6,0% extra</t>
  </si>
  <si>
    <t>(20650980) &amp; (95299617) BP mágico, salario 4,7% extra</t>
  </si>
  <si>
    <t>(36438355) BP mítico, salario 4,7% extra</t>
  </si>
  <si>
    <t>(48997559) BP E-T, salario, 4,3% extra</t>
  </si>
  <si>
    <t>(154655044) &amp; (50355509) BP sobrenatural, salario 3,7% extra</t>
  </si>
  <si>
    <t>(46543607) BP clase mundial, salario 3,3% extra</t>
  </si>
  <si>
    <t>(80271350) BP magnífico, salario 3,2% extra</t>
  </si>
  <si>
    <t>(38306586) BP brillante, salario 3,0% extra</t>
  </si>
  <si>
    <t>(115228650) BP destacado, salario 2,7% extra</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</si>
  <si>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</si>
  <si>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</si>
  <si>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</si>
  <si>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</si>
  <si>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</si>
  <si>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</si>
  <si>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</si>
  <si>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</si>
  <si>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Sueldo</t>
  </si>
  <si>
    <t>Sueldo +20%</t>
  </si>
  <si>
    <t>EXT</t>
  </si>
  <si>
    <t>Portero</t>
  </si>
  <si>
    <t>DCNormal</t>
  </si>
  <si>
    <t>DCOff</t>
  </si>
  <si>
    <t>DLNormal</t>
  </si>
  <si>
    <t>DCtW</t>
  </si>
  <si>
    <t>MDEF</t>
  </si>
  <si>
    <t>Mnor</t>
  </si>
  <si>
    <t>EXTDEF</t>
  </si>
  <si>
    <t>EXTOF</t>
  </si>
  <si>
    <t>EHM</t>
  </si>
  <si>
    <t>DD</t>
  </si>
  <si>
    <t>Años</t>
  </si>
  <si>
    <t>ESP</t>
  </si>
  <si>
    <t>FechaCompra</t>
  </si>
  <si>
    <t>FOR</t>
  </si>
  <si>
    <t>XP</t>
  </si>
  <si>
    <t>JUG</t>
  </si>
  <si>
    <t>PAS</t>
  </si>
  <si>
    <t>ANO</t>
  </si>
  <si>
    <t>BPI_A</t>
  </si>
  <si>
    <t>BPI_D</t>
  </si>
  <si>
    <t>DEFLAT</t>
  </si>
  <si>
    <t>DEFCEN</t>
  </si>
  <si>
    <t>MED</t>
  </si>
  <si>
    <t>ATLAT</t>
  </si>
  <si>
    <t>ATCEN</t>
  </si>
  <si>
    <t>Fmin</t>
  </si>
  <si>
    <t>Fmax</t>
  </si>
  <si>
    <t>FID</t>
  </si>
  <si>
    <t>Entrenador</t>
  </si>
  <si>
    <t>Eficiencia</t>
  </si>
  <si>
    <t>Excelente</t>
  </si>
  <si>
    <t>Notable</t>
  </si>
  <si>
    <t>Aceptable</t>
  </si>
  <si>
    <t>Insuficiente</t>
  </si>
  <si>
    <t>Debil</t>
  </si>
  <si>
    <t>Pobre</t>
  </si>
  <si>
    <t>Nivel</t>
  </si>
  <si>
    <t>%_Entrenamiento</t>
  </si>
  <si>
    <t>%_Lesión</t>
  </si>
  <si>
    <t>Plus Forma</t>
  </si>
  <si>
    <t>Coste</t>
  </si>
  <si>
    <t>Eur/Nivel</t>
  </si>
  <si>
    <t>Intensidad</t>
  </si>
  <si>
    <t>NivelAssitentes</t>
  </si>
  <si>
    <t>%_Res</t>
  </si>
  <si>
    <t>TOTAL</t>
  </si>
  <si>
    <t>COSTE_TEMP</t>
  </si>
  <si>
    <t>El entrenamiento de condición esta basado por minutos (pero comienza con un 75% para los jugadores en el terreno de juego).</t>
  </si>
  <si>
    <t>tabla I: rendimiento por minuto en función de la resistencia del jugador. </t>
  </si>
  <si>
    <t>x</t>
  </si>
  <si>
    <t>SN</t>
  </si>
  <si>
    <t>med</t>
  </si>
  <si>
    <t>(min/resistencia)--&gt; rendimiento. </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</si>
  <si>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</si>
  <si>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</si>
  <si>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</si>
  <si>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</si>
  <si>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</si>
  <si>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</si>
  <si>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</si>
  <si>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</si>
  <si>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</si>
  <si>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</si>
  <si>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</si>
  <si>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Bueno</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</si>
  <si>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</si>
  <si>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</si>
  <si>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</si>
  <si>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</si>
  <si>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</si>
  <si>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</si>
  <si>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</si>
  <si>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</si>
  <si>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</si>
  <si>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</si>
  <si>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</si>
  <si>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</si>
  <si>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</si>
  <si>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</si>
  <si>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</si>
  <si>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</si>
  <si>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</si>
  <si>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</si>
  <si>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</si>
  <si>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</si>
  <si>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</si>
  <si>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</si>
  <si>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</si>
  <si>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SNOK</t>
  </si>
  <si>
    <t>Zona</t>
  </si>
  <si>
    <t>%</t>
  </si>
  <si>
    <t>Def Central</t>
  </si>
  <si>
    <t>Def Lat</t>
  </si>
  <si>
    <t>Medio</t>
  </si>
  <si>
    <t>At Lateral</t>
  </si>
  <si>
    <t>At Central</t>
  </si>
  <si>
    <t>Total</t>
  </si>
  <si>
    <t>Num</t>
  </si>
  <si>
    <t>Nombre</t>
  </si>
  <si>
    <t>Medico</t>
  </si>
  <si>
    <t>CosteTotal</t>
  </si>
  <si>
    <t>HXP</t>
  </si>
  <si>
    <t>JUGMin</t>
  </si>
  <si>
    <t>JUGMax</t>
  </si>
  <si>
    <t>POT</t>
  </si>
  <si>
    <t>Ag</t>
  </si>
  <si>
    <t>Ho</t>
  </si>
  <si>
    <t>%_T</t>
  </si>
  <si>
    <t>Fcompra</t>
  </si>
  <si>
    <t>Ca</t>
  </si>
  <si>
    <t>COMPRA</t>
  </si>
  <si>
    <t>CosteTRA_BUENO</t>
  </si>
  <si>
    <t>COSTETOTAL_BUENO</t>
  </si>
  <si>
    <t>CosteTRA_EX</t>
  </si>
  <si>
    <t>COSTETOTAL_EX</t>
  </si>
  <si>
    <t>Dif</t>
  </si>
  <si>
    <t>LAT</t>
  </si>
  <si>
    <t>po-de</t>
  </si>
  <si>
    <t>de-insif</t>
  </si>
  <si>
    <t>ins-acep</t>
  </si>
  <si>
    <t>ho-po</t>
  </si>
  <si>
    <t>des-ho</t>
  </si>
  <si>
    <t>Primer Nivel</t>
  </si>
  <si>
    <t>Cambio</t>
  </si>
  <si>
    <t>TempMedia</t>
  </si>
  <si>
    <t xml:space="preserve">Nivel de Entrenador </t>
  </si>
  <si>
    <t>Experiencia</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</si>
  <si>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</si>
  <si>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</si>
  <si>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</si>
  <si>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</si>
  <si>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</si>
  <si>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</si>
  <si>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</si>
  <si>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</si>
  <si>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</si>
  <si>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</si>
  <si>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</si>
  <si>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</si>
  <si>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</si>
  <si>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</si>
  <si>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</si>
  <si>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</si>
  <si>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</si>
  <si>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</si>
  <si>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</si>
  <si>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</si>
  <si>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</si>
  <si>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</si>
  <si>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</si>
  <si>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</si>
  <si>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</si>
  <si>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</si>
  <si>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</si>
  <si>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</si>
  <si>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</si>
  <si>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</si>
  <si>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</si>
  <si>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</si>
  <si>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</si>
  <si>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</si>
  <si>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</si>
  <si>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</si>
  <si>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</si>
  <si>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</si>
  <si>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</si>
  <si>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</si>
  <si>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</si>
  <si>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</si>
  <si>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</si>
  <si>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</si>
  <si>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</si>
  <si>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</si>
  <si>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</si>
  <si>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</si>
  <si>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</si>
  <si>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</si>
  <si>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</si>
  <si>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</si>
  <si>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</si>
  <si>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</si>
  <si>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</si>
  <si>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</si>
  <si>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</si>
  <si>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</si>
  <si>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T_Desast</t>
  </si>
  <si>
    <t>Nil</t>
  </si>
  <si>
    <t>T_Des</t>
  </si>
  <si>
    <t>Desastroso</t>
  </si>
  <si>
    <t>Horrible</t>
  </si>
  <si>
    <t>SEM</t>
  </si>
  <si>
    <t>%_PHTMS</t>
  </si>
  <si>
    <t>E_Temp</t>
  </si>
  <si>
    <t>P_Temp</t>
  </si>
  <si>
    <t>TSI_A</t>
  </si>
  <si>
    <t>#21</t>
  </si>
  <si>
    <t>Enrique Cubas</t>
  </si>
  <si>
    <t>Fernando Gazón</t>
  </si>
  <si>
    <t>IMP</t>
  </si>
  <si>
    <t>HTMS</t>
  </si>
  <si>
    <t>Eckardt Hägerling</t>
  </si>
  <si>
    <t>Valeri Gomis</t>
  </si>
  <si>
    <t>#23</t>
  </si>
  <si>
    <t>PS</t>
  </si>
  <si>
    <t>Año</t>
  </si>
  <si>
    <t>Dia</t>
  </si>
  <si>
    <t>E_Po</t>
  </si>
  <si>
    <t>E_De</t>
  </si>
  <si>
    <t>E_Cr</t>
  </si>
  <si>
    <t>E_Ex</t>
  </si>
  <si>
    <t>E_Ps</t>
  </si>
  <si>
    <t>E_An</t>
  </si>
  <si>
    <t>E_PA</t>
  </si>
  <si>
    <t>E_TOTAL</t>
  </si>
  <si>
    <t>E. Cubas</t>
  </si>
  <si>
    <t>V. Gomis</t>
  </si>
  <si>
    <t>J.G. Peñuela</t>
  </si>
  <si>
    <t>#16</t>
  </si>
  <si>
    <t>Defensa</t>
  </si>
  <si>
    <t>Delantero</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</si>
  <si>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</si>
  <si>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</si>
  <si>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</si>
  <si>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</si>
  <si>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</si>
  <si>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</si>
  <si>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</si>
  <si>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</si>
  <si>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</si>
  <si>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</si>
  <si>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</si>
  <si>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</si>
  <si>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</si>
  <si>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</si>
  <si>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</si>
  <si>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liderazgo x liderazgo x experiencia</t>
  </si>
  <si>
    <t>Thomas Ruelle</t>
  </si>
  <si>
    <t>Karl-Uwe Mose</t>
  </si>
  <si>
    <t>Werner Mayer</t>
  </si>
  <si>
    <t>Giovanni Bellavite Pellegrini</t>
  </si>
  <si>
    <t>Frederic Ekster</t>
  </si>
  <si>
    <t>Gilad Domb</t>
  </si>
  <si>
    <t xml:space="preserve">功志 (Koji) 森 (Mori) </t>
  </si>
  <si>
    <t>Belmiro Marques Jr.</t>
  </si>
  <si>
    <t>Zoltán Nyilas</t>
  </si>
  <si>
    <t>Radko Kravaev</t>
  </si>
  <si>
    <t>#26</t>
  </si>
  <si>
    <t>CEN</t>
  </si>
  <si>
    <t>Ioannis Avramopoulos</t>
  </si>
  <si>
    <t>Ent</t>
  </si>
  <si>
    <t>Tem</t>
  </si>
  <si>
    <t>INN</t>
  </si>
  <si>
    <t>J. G. Peñuela</t>
  </si>
  <si>
    <t>Alberto Ercilla</t>
  </si>
  <si>
    <t>Will Duffill</t>
  </si>
  <si>
    <t>Francesc Añigas</t>
  </si>
  <si>
    <t>Actualitzacio</t>
  </si>
  <si>
    <t>Millor partit</t>
  </si>
  <si>
    <t>CASA</t>
  </si>
  <si>
    <t>487 HTS</t>
  </si>
  <si>
    <t>FORA</t>
  </si>
  <si>
    <t>Xermade - Vader</t>
  </si>
  <si>
    <t>472 HTS</t>
  </si>
  <si>
    <t>Millor Qualificació</t>
  </si>
  <si>
    <t>Sául Piña</t>
  </si>
  <si>
    <t>14,5*</t>
  </si>
  <si>
    <t>Joãozinho do Mato</t>
  </si>
  <si>
    <t>13*</t>
  </si>
  <si>
    <t>Patrick Werner</t>
  </si>
  <si>
    <t>12,5*</t>
  </si>
  <si>
    <t>Rasheed Da'na</t>
  </si>
  <si>
    <t>12*</t>
  </si>
  <si>
    <t>Brunon Chuda</t>
  </si>
  <si>
    <t>Adam Moss</t>
  </si>
  <si>
    <t>11,5*</t>
  </si>
  <si>
    <t>Kendor Nagiturri</t>
  </si>
  <si>
    <t>11*</t>
  </si>
  <si>
    <t>10,5*</t>
  </si>
  <si>
    <t>Gianfranco Rezza</t>
  </si>
  <si>
    <t>Cornel Boicea</t>
  </si>
  <si>
    <t>Jorge Walter Whitaker</t>
  </si>
  <si>
    <t>Antoine Dupré</t>
  </si>
  <si>
    <t>10*</t>
  </si>
  <si>
    <t>Károly Serfel</t>
  </si>
  <si>
    <t>Gongotzon Ialdebere</t>
  </si>
  <si>
    <t>Aimar Lasalde</t>
  </si>
  <si>
    <t>Ibiur Altxakoa</t>
  </si>
  <si>
    <t>Damián Sala</t>
  </si>
  <si>
    <t>9,5*</t>
  </si>
  <si>
    <t>Emilio Mochelato</t>
  </si>
  <si>
    <t>Pepijn Zwaan</t>
  </si>
  <si>
    <t>Iyad Chaabo</t>
  </si>
  <si>
    <t>Mario Omarini</t>
  </si>
  <si>
    <t>Wicher Ossedrijver</t>
  </si>
  <si>
    <t>Ludwik Mojéscik</t>
  </si>
  <si>
    <t>Jos Pittors</t>
  </si>
  <si>
    <t>Morgan Thomas</t>
  </si>
  <si>
    <t>Nicolai Stentoft</t>
  </si>
  <si>
    <t>Gino van Hoesel</t>
  </si>
  <si>
    <t>Raffaele Sitter</t>
  </si>
  <si>
    <t>Filiciano Becerril</t>
  </si>
  <si>
    <t>Giulio Porcaccianti</t>
  </si>
  <si>
    <t>Dolf Fohringer</t>
  </si>
  <si>
    <t>Rank</t>
  </si>
  <si>
    <t>Més Partits Jugats</t>
  </si>
  <si>
    <t>Pere Beltran</t>
  </si>
  <si>
    <t>Andrin Bärtsch</t>
  </si>
  <si>
    <t>Pasqual Vilar</t>
  </si>
  <si>
    <t>Alex Trantre</t>
  </si>
  <si>
    <t>Leonardo Baltico</t>
  </si>
  <si>
    <t>Arnold Kalckstein</t>
  </si>
  <si>
    <t>Adamantios Fikias</t>
  </si>
  <si>
    <t>Ragip Övgü</t>
  </si>
  <si>
    <t>Malte Neulinger</t>
  </si>
  <si>
    <t>Horacy Dzienis</t>
  </si>
  <si>
    <t>Porteria Imbatuda</t>
  </si>
  <si>
    <t>Jorge Asúa</t>
  </si>
  <si>
    <t>Robert Kavcic</t>
  </si>
  <si>
    <t>Enrique Haro</t>
  </si>
  <si>
    <t>Giuseppe Peirolo</t>
  </si>
  <si>
    <t>Adolfo Vizcaino</t>
  </si>
  <si>
    <t>Ceferino Sava</t>
  </si>
  <si>
    <t>Arnulfo Cuntis</t>
  </si>
  <si>
    <t>Armengol Cols</t>
  </si>
  <si>
    <t>Pieter Pelleboer</t>
  </si>
  <si>
    <t>Sergio Roca</t>
  </si>
  <si>
    <t>Ludvig Andreasson</t>
  </si>
  <si>
    <t>Patrice Saillet</t>
  </si>
  <si>
    <t>Jacek Ceislar</t>
  </si>
  <si>
    <t>Rafael Guiu</t>
  </si>
  <si>
    <t>Alvino Cost</t>
  </si>
  <si>
    <t>Nicolas Vannoorberghe</t>
  </si>
  <si>
    <t>Jacobo Ferrueros</t>
  </si>
  <si>
    <t>Albert Fité</t>
  </si>
  <si>
    <t>Més vegades Capità</t>
  </si>
  <si>
    <t>Fernando Juárez Sierra</t>
  </si>
  <si>
    <t>Co Wolbers</t>
  </si>
  <si>
    <t>Augustin Demaison</t>
  </si>
  <si>
    <t>Christophe Méjean</t>
  </si>
  <si>
    <t>Aleksi Alarotu</t>
  </si>
  <si>
    <t>Manolo Negrín</t>
  </si>
  <si>
    <t>John Chung</t>
  </si>
  <si>
    <t>Jaakko Kalliovaara</t>
  </si>
  <si>
    <t>Melcior Calmet</t>
  </si>
  <si>
    <t>Nicolae Hornet</t>
  </si>
  <si>
    <t>Pablo Goenaga</t>
  </si>
  <si>
    <t>#36</t>
  </si>
  <si>
    <t>W. Duffill</t>
  </si>
  <si>
    <t>F. Añigas</t>
  </si>
  <si>
    <t>IMP/RAP</t>
  </si>
  <si>
    <t>Filip Antonijevic</t>
  </si>
  <si>
    <t>Namazbek Baktygazyuly</t>
  </si>
  <si>
    <t>Juan Gabriel de Minaya</t>
  </si>
  <si>
    <t>#38</t>
  </si>
  <si>
    <t>Berto Abandero</t>
  </si>
  <si>
    <t>Miguel Fernández</t>
  </si>
  <si>
    <t>M. Fernandez</t>
  </si>
  <si>
    <t>B. Abandero</t>
  </si>
  <si>
    <t>#25</t>
  </si>
  <si>
    <t>Iván Real Figueroa</t>
  </si>
  <si>
    <t>I. R. Figueroa</t>
  </si>
  <si>
    <t>Fabien Fabre</t>
  </si>
  <si>
    <t>Emilio Rojas</t>
  </si>
  <si>
    <t>Guillermo Pedrajas</t>
  </si>
  <si>
    <t>G. Pedrajas</t>
  </si>
  <si>
    <t>#19</t>
  </si>
  <si>
    <t>Cosme Fonteboa</t>
  </si>
  <si>
    <t>C. Fonteboa</t>
  </si>
  <si>
    <t>Miklós Gábriel</t>
  </si>
  <si>
    <t>Inners</t>
  </si>
  <si>
    <t>Juan Garcia Peñuela</t>
  </si>
  <si>
    <t>Wil Duffill</t>
  </si>
  <si>
    <t>Eckardt Hagerling</t>
  </si>
  <si>
    <t>Vader - Rayitos</t>
  </si>
  <si>
    <t>Fabian Fabre</t>
  </si>
  <si>
    <t>David Garcia-Spiess</t>
  </si>
  <si>
    <t>Leo Hilpinen</t>
  </si>
  <si>
    <t>EXT-LAT</t>
  </si>
  <si>
    <t>h34</t>
  </si>
  <si>
    <t>N_CA</t>
  </si>
  <si>
    <t>Defensas</t>
  </si>
  <si>
    <t>F.Actu</t>
  </si>
  <si>
    <t>#</t>
  </si>
  <si>
    <t>R16,6%</t>
  </si>
  <si>
    <t>ChL</t>
  </si>
  <si>
    <t>WBN</t>
  </si>
  <si>
    <t>EXN</t>
  </si>
  <si>
    <t>Dhl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</si>
</sst>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 #,##0.00\ &quot;€&quot;_-;\-* #,##0.00\ &quot;€&quot;_-;_-* &quot;-&quot;??\ &quot;€&quot;_-;_-@_-"/>
    <numFmt numFmtId="43" formatCode="_-* #,##0.00\ _€_-;\-* #,##0.00\ _€_-;_-* &quot;-&quot;??\ _€_-;_-@_-"/>
    <numFmt numFmtId="164" formatCode="0.0"/>
    <numFmt numFmtId="165" formatCode="_-* #,##0\ _€_-;\-* #,##0\ _€_-;_-* &quot;-&quot;??\ _€_-;_-@_-"/>
    <numFmt numFmtId="166" formatCode="_-* #,##0.0\ _€_-;\-* #,##0.0\ _€_-;_-* &quot;-&quot;??\ _€_-;_-@_-"/>
    <numFmt numFmtId="167" formatCode="0.000"/>
    <numFmt numFmtId="168" formatCode="_-* #,##0\ &quot;€&quot;_-;\-* #,##0\ &quot;€&quot;_-;_-* &quot;-&quot;??\ &quot;€&quot;_-;_-@_-"/>
    <numFmt numFmtId="169" formatCode="0.0%"/>
    <numFmt numFmtId="170" formatCode="_-* #,##0.0\ &quot;€&quot;_-;\-* #,##0.0\ &quot;€&quot;_-;_-* &quot;-&quot;??\ &quot;€&quot;_-;_-@_-"/>
  </numFmts>
  <fonts count="41" x14ac:knownFonts="1">
    <font>
      <sz val="11"/>
      <color theme="1"/>
      <name val="Calibri"/>
      <family val="2"/>
      <scheme val="minor"/>
    </font>
    <font>
      <sz val="11"/>
      <color theme="1"/>
      <name val="Calibri"/>
      <family val="2"/>
      <scheme val="minor"/>
    </font>
    <font>
      <sz val="11"/>
      <color indexed="8"/>
      <name val="Calibri"/>
      <family val="2"/>
      <charset val="1"/>
    </font>
    <font>
      <b/>
      <i/>
      <u/>
      <sz val="8"/>
      <color theme="0"/>
      <name val="Verdana"/>
      <family val="2"/>
    </font>
    <font>
      <sz val="11"/>
      <color indexed="8"/>
      <name val="Calibri"/>
      <family val="2"/>
    </font>
    <font>
      <sz val="8"/>
      <color rgb="FF000000"/>
      <name val="Verdana"/>
      <family val="2"/>
    </font>
    <font>
      <sz val="8"/>
      <name val="Verdana"/>
      <family val="2"/>
    </font>
    <font>
      <b/>
      <sz val="8"/>
      <color theme="0"/>
      <name val="Verdana"/>
      <family val="2"/>
    </font>
    <font>
      <b/>
      <sz val="8"/>
      <name val="Verdana"/>
      <family val="2"/>
    </font>
    <font>
      <sz val="11"/>
      <name val="Calibri"/>
      <family val="2"/>
      <scheme val="minor"/>
    </font>
    <font>
      <i/>
      <u/>
      <sz val="11"/>
      <name val="Calibri"/>
      <family val="2"/>
      <scheme val="minor"/>
    </font>
    <font>
      <sz val="10"/>
      <name val="Calibri"/>
      <family val="2"/>
      <scheme val="minor"/>
    </font>
    <font>
      <sz val="11"/>
      <name val="Calibri"/>
      <family val="2"/>
    </font>
    <font>
      <b/>
      <sz val="8"/>
      <color rgb="FF000000"/>
      <name val="Verdana"/>
      <family val="2"/>
    </font>
    <font>
      <sz val="8"/>
      <color indexed="81"/>
      <name val="Tahoma"/>
      <family val="2"/>
    </font>
    <font>
      <b/>
      <sz val="11"/>
      <color theme="1"/>
      <name val="Calibri"/>
      <family val="2"/>
      <scheme val="minor"/>
    </font>
    <font>
      <b/>
      <sz val="8"/>
      <color rgb="FFFF0000"/>
      <name val="Verdana"/>
      <family val="2"/>
    </font>
    <font>
      <b/>
      <sz val="11"/>
      <color theme="0"/>
      <name val="Calibri"/>
      <family val="2"/>
      <scheme val="minor"/>
    </font>
    <font>
      <b/>
      <sz val="12"/>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4"/>
      <color rgb="FFFF0000"/>
      <name val="Calibri"/>
      <family val="2"/>
      <scheme val="minor"/>
    </font>
    <font>
      <b/>
      <sz val="8"/>
      <color indexed="81"/>
      <name val="Tahoma"/>
      <family val="2"/>
    </font>
    <font>
      <b/>
      <sz val="10"/>
      <color theme="1"/>
      <name val="Calibri"/>
      <family val="2"/>
      <scheme val="minor"/>
    </font>
    <font>
      <b/>
      <sz val="10"/>
      <color rgb="FFFF0000"/>
      <name val="Calibri"/>
      <family val="2"/>
      <scheme val="minor"/>
    </font>
    <font>
      <b/>
      <sz val="11"/>
      <name val="Calibri"/>
      <family val="2"/>
      <scheme val="minor"/>
    </font>
    <font>
      <b/>
      <i/>
      <u/>
      <sz val="11"/>
      <color theme="1"/>
      <name val="Calibri"/>
      <family val="2"/>
      <scheme val="minor"/>
    </font>
    <font>
      <sz val="10"/>
      <color theme="1"/>
      <name val="Calibri"/>
      <family val="2"/>
      <scheme val="minor"/>
    </font>
    <font>
      <sz val="16"/>
      <name val="Verdana"/>
      <family val="2"/>
    </font>
    <font>
      <sz val="14"/>
      <name val="Verdana"/>
      <family val="2"/>
    </font>
    <font>
      <sz val="10"/>
      <name val="Verdana"/>
      <family val="2"/>
    </font>
    <font>
      <sz val="8.5"/>
      <name val="Verdana"/>
      <family val="2"/>
    </font>
    <font>
      <b/>
      <sz val="11"/>
      <color rgb="FFFF0000"/>
      <name val="Calibri"/>
      <family val="2"/>
      <scheme val="minor"/>
    </font>
    <font>
      <b/>
      <sz val="8"/>
      <color theme="9" tint="-0.249977111117893"/>
      <name val="Verdana"/>
      <family val="2"/>
    </font>
    <font>
      <i/>
      <sz val="11"/>
      <color theme="1"/>
      <name val="Calibri"/>
      <family val="2"/>
      <scheme val="minor"/>
    </font>
  </fonts>
  <fills count="35">
    <fill>
      <patternFill patternType="none"/>
    </fill>
    <fill>
      <patternFill patternType="gray125"/>
    </fill>
    <fill>
      <patternFill patternType="solid">
        <fgColor rgb="FFFFFFFF"/>
        <bgColor indexed="64"/>
      </patternFill>
    </fill>
    <fill>
      <patternFill patternType="solid">
        <fgColor rgb="FFEEEEEE"/>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rgb="FF92D050"/>
        <bgColor indexed="64"/>
      </patternFill>
    </fill>
    <fill>
      <patternFill patternType="solid">
        <fgColor rgb="FF000000"/>
        <bgColor indexed="64"/>
      </patternFill>
    </fill>
    <fill>
      <patternFill patternType="solid">
        <fgColor rgb="FFFFFF00"/>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5" tint="0.39997558519241921"/>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4" fontId="1" fillId="0" borderId="0" applyFont="0" applyFill="0" applyBorder="0" applyAlignment="0" applyProtection="0"/>
  </cellStyleXfs>
  <cellXfs count="242">
    <xf numFmtId="0" fontId="0" fillId="0" borderId="0" xfId="0"/>
    <xf numFmtId="0" fontId="5" fillId="2" borderId="1" xfId="0" applyFont="1" applyFill="1" applyBorder="1" applyAlignment="1">
      <alignment horizontal="left" vertical="center"/>
    </xf>
    <xf numFmtId="1" fontId="5" fillId="2" borderId="1" xfId="0" applyNumberFormat="1" applyFont="1" applyFill="1" applyBorder="1" applyAlignment="1">
      <alignment horizontal="left" vertical="center"/>
    </xf>
    <xf numFmtId="0" fontId="5" fillId="3" borderId="1" xfId="0" applyFont="1" applyFill="1" applyBorder="1" applyAlignment="1">
      <alignment horizontal="center" vertical="center"/>
    </xf>
    <xf numFmtId="0" fontId="6" fillId="0" borderId="1" xfId="0" applyFont="1" applyFill="1" applyBorder="1" applyAlignment="1">
      <alignment horizontal="left" vertical="center"/>
    </xf>
    <xf numFmtId="164" fontId="5" fillId="3" borderId="1" xfId="0" applyNumberFormat="1" applyFont="1" applyFill="1" applyBorder="1" applyAlignment="1">
      <alignment horizontal="left" vertical="center"/>
    </xf>
    <xf numFmtId="1" fontId="6" fillId="4" borderId="1" xfId="0" applyNumberFormat="1" applyFont="1" applyFill="1" applyBorder="1" applyAlignment="1">
      <alignment horizontal="left" vertical="center"/>
    </xf>
    <xf numFmtId="0" fontId="5" fillId="3" borderId="1" xfId="0" applyFont="1" applyFill="1" applyBorder="1" applyAlignment="1">
      <alignment horizontal="right" vertical="center"/>
    </xf>
    <xf numFmtId="166" fontId="6" fillId="3" borderId="1" xfId="1" applyNumberFormat="1" applyFont="1" applyFill="1" applyBorder="1" applyAlignment="1">
      <alignment horizontal="right" vertical="center"/>
    </xf>
    <xf numFmtId="165" fontId="6" fillId="3" borderId="1" xfId="1" applyNumberFormat="1" applyFont="1" applyFill="1" applyBorder="1" applyAlignment="1">
      <alignment horizontal="right" vertical="center"/>
    </xf>
    <xf numFmtId="0" fontId="7" fillId="5" borderId="1" xfId="0" applyFont="1" applyFill="1" applyBorder="1" applyAlignment="1">
      <alignment horizontal="center" vertical="center"/>
    </xf>
    <xf numFmtId="0" fontId="3" fillId="5" borderId="1" xfId="0" applyFont="1" applyFill="1" applyBorder="1" applyAlignment="1">
      <alignment horizontal="center" vertical="center"/>
    </xf>
    <xf numFmtId="0" fontId="7" fillId="5" borderId="1" xfId="0" applyFont="1" applyFill="1" applyBorder="1" applyAlignment="1">
      <alignment horizontal="right" vertical="center"/>
    </xf>
    <xf numFmtId="0" fontId="8" fillId="6" borderId="1" xfId="0" applyFont="1" applyFill="1" applyBorder="1" applyAlignment="1">
      <alignment horizontal="center" vertical="center"/>
    </xf>
    <xf numFmtId="0" fontId="8" fillId="7" borderId="1" xfId="0" applyFont="1" applyFill="1" applyBorder="1" applyAlignment="1">
      <alignment horizontal="center" vertical="center"/>
    </xf>
    <xf numFmtId="0" fontId="9" fillId="0" borderId="1" xfId="0" applyFont="1" applyBorder="1"/>
    <xf numFmtId="0" fontId="6" fillId="2" borderId="1" xfId="0" applyFont="1" applyFill="1" applyBorder="1" applyAlignment="1">
      <alignment horizontal="left" vertical="center"/>
    </xf>
    <xf numFmtId="0" fontId="6" fillId="3" borderId="1" xfId="0" applyFont="1" applyFill="1" applyBorder="1" applyAlignment="1">
      <alignment horizontal="center" vertical="center"/>
    </xf>
    <xf numFmtId="164" fontId="6" fillId="3" borderId="1" xfId="0" applyNumberFormat="1" applyFont="1" applyFill="1" applyBorder="1" applyAlignment="1">
      <alignment horizontal="center" vertical="center"/>
    </xf>
    <xf numFmtId="1" fontId="6" fillId="3" borderId="1" xfId="0" applyNumberFormat="1" applyFont="1" applyFill="1" applyBorder="1" applyAlignment="1">
      <alignment horizontal="center" vertical="center"/>
    </xf>
    <xf numFmtId="2" fontId="6" fillId="2" borderId="1" xfId="0" applyNumberFormat="1" applyFont="1" applyFill="1" applyBorder="1" applyAlignment="1">
      <alignment horizontal="left" vertical="center"/>
    </xf>
    <xf numFmtId="2" fontId="6" fillId="3" borderId="1" xfId="0" applyNumberFormat="1" applyFont="1" applyFill="1" applyBorder="1" applyAlignment="1">
      <alignment horizontal="left" vertical="center"/>
    </xf>
    <xf numFmtId="166" fontId="11" fillId="0" borderId="1" xfId="1" applyNumberFormat="1" applyFont="1" applyBorder="1" applyAlignment="1">
      <alignment horizontal="center"/>
    </xf>
    <xf numFmtId="0" fontId="0" fillId="0" borderId="1" xfId="0" applyFont="1" applyBorder="1"/>
    <xf numFmtId="164" fontId="5" fillId="3" borderId="1" xfId="0" applyNumberFormat="1" applyFont="1" applyFill="1" applyBorder="1" applyAlignment="1">
      <alignment horizontal="center" vertical="center"/>
    </xf>
    <xf numFmtId="1" fontId="5" fillId="3" borderId="1" xfId="0" applyNumberFormat="1" applyFont="1" applyFill="1" applyBorder="1" applyAlignment="1">
      <alignment horizontal="center" vertical="center"/>
    </xf>
    <xf numFmtId="164" fontId="6" fillId="3" borderId="1" xfId="0" applyNumberFormat="1" applyFont="1" applyFill="1" applyBorder="1" applyAlignment="1">
      <alignment horizontal="left" vertical="center"/>
    </xf>
    <xf numFmtId="0" fontId="6" fillId="3" borderId="1" xfId="0" applyFont="1" applyFill="1" applyBorder="1" applyAlignment="1">
      <alignment horizontal="right" vertical="center"/>
    </xf>
    <xf numFmtId="14" fontId="0" fillId="0" borderId="0" xfId="0" applyNumberFormat="1"/>
    <xf numFmtId="0" fontId="0" fillId="0" borderId="0" xfId="0" applyFont="1"/>
    <xf numFmtId="164" fontId="0" fillId="0" borderId="0" xfId="0" applyNumberFormat="1"/>
    <xf numFmtId="1" fontId="0" fillId="0" borderId="0" xfId="0" applyNumberFormat="1"/>
    <xf numFmtId="0" fontId="7" fillId="5" borderId="2" xfId="0" applyFont="1" applyFill="1" applyBorder="1" applyAlignment="1">
      <alignment horizontal="center" vertical="center"/>
    </xf>
    <xf numFmtId="0" fontId="7" fillId="5" borderId="0" xfId="0" applyFont="1" applyFill="1" applyBorder="1" applyAlignment="1">
      <alignment horizontal="center" vertical="center"/>
    </xf>
    <xf numFmtId="10" fontId="0" fillId="0" borderId="0" xfId="0" applyNumberFormat="1"/>
    <xf numFmtId="2" fontId="0" fillId="0" borderId="0" xfId="0" applyNumberFormat="1"/>
    <xf numFmtId="165" fontId="15" fillId="8" borderId="0" xfId="1" applyNumberFormat="1" applyFont="1" applyFill="1"/>
    <xf numFmtId="164" fontId="0" fillId="0" borderId="0" xfId="0" applyNumberFormat="1" applyAlignment="1">
      <alignment horizontal="center"/>
    </xf>
    <xf numFmtId="0" fontId="16" fillId="0" borderId="1" xfId="0" applyFont="1" applyFill="1" applyBorder="1" applyAlignment="1">
      <alignment horizontal="left" vertical="center"/>
    </xf>
    <xf numFmtId="0" fontId="17" fillId="9" borderId="0" xfId="0" applyFont="1" applyFill="1"/>
    <xf numFmtId="0" fontId="17" fillId="10" borderId="0" xfId="0" applyFont="1" applyFill="1" applyAlignment="1">
      <alignment horizontal="center"/>
    </xf>
    <xf numFmtId="0" fontId="17" fillId="11" borderId="0" xfId="0" applyFont="1" applyFill="1" applyAlignment="1">
      <alignment horizontal="center"/>
    </xf>
    <xf numFmtId="0" fontId="17" fillId="12" borderId="0" xfId="0" applyFont="1" applyFill="1"/>
    <xf numFmtId="0" fontId="17" fillId="11" borderId="0" xfId="0" applyFont="1" applyFill="1"/>
    <xf numFmtId="2" fontId="0" fillId="0" borderId="0" xfId="0" applyNumberFormat="1" applyAlignment="1">
      <alignment horizontal="center"/>
    </xf>
    <xf numFmtId="1" fontId="0" fillId="0" borderId="0" xfId="0" applyNumberFormat="1" applyAlignment="1">
      <alignment horizontal="center"/>
    </xf>
    <xf numFmtId="9" fontId="0" fillId="0" borderId="0" xfId="2" applyFont="1" applyAlignment="1">
      <alignment horizontal="center"/>
    </xf>
    <xf numFmtId="0" fontId="17" fillId="13" borderId="0" xfId="0" applyFont="1" applyFill="1" applyAlignment="1">
      <alignment horizontal="center"/>
    </xf>
    <xf numFmtId="0" fontId="17" fillId="14" borderId="0" xfId="0" applyFont="1" applyFill="1" applyAlignment="1">
      <alignment horizontal="center"/>
    </xf>
    <xf numFmtId="0" fontId="15" fillId="0" borderId="0" xfId="0" applyFont="1"/>
    <xf numFmtId="0" fontId="15" fillId="0" borderId="1" xfId="0" applyFont="1" applyBorder="1"/>
    <xf numFmtId="0" fontId="0" fillId="0" borderId="1" xfId="0" applyFill="1" applyBorder="1"/>
    <xf numFmtId="164" fontId="0" fillId="0" borderId="1" xfId="0" applyNumberFormat="1" applyFill="1" applyBorder="1"/>
    <xf numFmtId="167" fontId="0" fillId="0" borderId="1" xfId="0" applyNumberFormat="1" applyFill="1" applyBorder="1"/>
    <xf numFmtId="0" fontId="0" fillId="0" borderId="1" xfId="0" applyBorder="1"/>
    <xf numFmtId="10" fontId="0" fillId="0" borderId="1" xfId="0" applyNumberFormat="1" applyBorder="1"/>
    <xf numFmtId="9" fontId="0" fillId="0" borderId="1" xfId="0" applyNumberFormat="1" applyBorder="1"/>
    <xf numFmtId="168" fontId="0" fillId="0" borderId="1" xfId="4" applyNumberFormat="1" applyFont="1" applyFill="1" applyBorder="1" applyAlignment="1">
      <alignment horizontal="left" indent="2"/>
    </xf>
    <xf numFmtId="168" fontId="0" fillId="0" borderId="1" xfId="4" applyNumberFormat="1" applyFont="1" applyFill="1" applyBorder="1"/>
    <xf numFmtId="164" fontId="0" fillId="0" borderId="1" xfId="0" applyNumberFormat="1" applyBorder="1"/>
    <xf numFmtId="167" fontId="0" fillId="0" borderId="1" xfId="0" applyNumberFormat="1" applyBorder="1"/>
    <xf numFmtId="168" fontId="0" fillId="0" borderId="1" xfId="4" applyNumberFormat="1" applyFont="1" applyBorder="1"/>
    <xf numFmtId="0" fontId="0" fillId="0" borderId="0" xfId="0" applyAlignment="1">
      <alignment horizontal="center"/>
    </xf>
    <xf numFmtId="0" fontId="15" fillId="0" borderId="0" xfId="0" applyFont="1" applyAlignment="1">
      <alignment horizontal="center"/>
    </xf>
    <xf numFmtId="9" fontId="0" fillId="0" borderId="0" xfId="0" applyNumberFormat="1" applyAlignment="1">
      <alignment horizontal="center"/>
    </xf>
    <xf numFmtId="168" fontId="0" fillId="0" borderId="0" xfId="0" applyNumberFormat="1"/>
    <xf numFmtId="165" fontId="0" fillId="0" borderId="0" xfId="0" applyNumberFormat="1"/>
    <xf numFmtId="168" fontId="0" fillId="0" borderId="0" xfId="4" applyNumberFormat="1" applyFont="1"/>
    <xf numFmtId="0" fontId="5" fillId="0" borderId="0" xfId="0" applyFont="1"/>
    <xf numFmtId="0" fontId="18" fillId="0" borderId="0" xfId="0" applyFont="1"/>
    <xf numFmtId="0" fontId="5" fillId="0" borderId="0" xfId="0" applyFont="1" applyFill="1"/>
    <xf numFmtId="0" fontId="13" fillId="0" borderId="0" xfId="0" applyFont="1"/>
    <xf numFmtId="0" fontId="15" fillId="17" borderId="0" xfId="0" applyFont="1" applyFill="1" applyAlignment="1">
      <alignment horizontal="center" wrapText="1"/>
    </xf>
    <xf numFmtId="0" fontId="15" fillId="17" borderId="0" xfId="0" applyFont="1" applyFill="1" applyAlignment="1">
      <alignment wrapText="1"/>
    </xf>
    <xf numFmtId="0" fontId="15" fillId="17" borderId="0" xfId="0" applyFont="1" applyFill="1" applyBorder="1" applyAlignment="1">
      <alignment wrapText="1"/>
    </xf>
    <xf numFmtId="0" fontId="5" fillId="2" borderId="3" xfId="0" applyFont="1" applyFill="1" applyBorder="1" applyAlignment="1">
      <alignment horizontal="left" vertical="top" wrapText="1"/>
    </xf>
    <xf numFmtId="0" fontId="15" fillId="0" borderId="0" xfId="0" applyFont="1" applyFill="1" applyAlignment="1">
      <alignment wrapText="1"/>
    </xf>
    <xf numFmtId="9" fontId="15" fillId="17" borderId="0" xfId="0" applyNumberFormat="1" applyFont="1" applyFill="1" applyAlignment="1">
      <alignment wrapText="1"/>
    </xf>
    <xf numFmtId="0" fontId="0" fillId="0" borderId="0" xfId="0" applyAlignment="1">
      <alignment wrapText="1"/>
    </xf>
    <xf numFmtId="0" fontId="0" fillId="0" borderId="0" xfId="0" applyFont="1" applyBorder="1" applyAlignment="1">
      <alignment wrapText="1"/>
    </xf>
    <xf numFmtId="0" fontId="0" fillId="0" borderId="0" xfId="0" applyFill="1" applyAlignment="1">
      <alignment wrapText="1"/>
    </xf>
    <xf numFmtId="0" fontId="20" fillId="0" borderId="0" xfId="0" applyFont="1" applyFill="1" applyBorder="1" applyAlignment="1">
      <alignment wrapText="1"/>
    </xf>
    <xf numFmtId="9" fontId="20" fillId="17" borderId="1" xfId="0" applyNumberFormat="1" applyFont="1" applyFill="1" applyBorder="1" applyAlignment="1">
      <alignment wrapText="1"/>
    </xf>
    <xf numFmtId="0" fontId="20" fillId="0" borderId="1" xfId="0" applyFont="1" applyBorder="1" applyAlignment="1">
      <alignment wrapText="1"/>
    </xf>
    <xf numFmtId="0" fontId="21" fillId="0" borderId="1" xfId="0" applyFont="1" applyBorder="1" applyAlignment="1">
      <alignment wrapText="1"/>
    </xf>
    <xf numFmtId="9" fontId="15" fillId="17" borderId="0" xfId="0" applyNumberFormat="1" applyFont="1" applyFill="1" applyAlignment="1">
      <alignment horizontal="right" wrapText="1"/>
    </xf>
    <xf numFmtId="0" fontId="0" fillId="0" borderId="0" xfId="0" applyFill="1"/>
    <xf numFmtId="0" fontId="22" fillId="0" borderId="0" xfId="0" applyFont="1" applyFill="1"/>
    <xf numFmtId="0" fontId="22" fillId="0" borderId="0" xfId="0" applyFont="1"/>
    <xf numFmtId="0" fontId="19" fillId="0" borderId="0" xfId="0" applyFont="1"/>
    <xf numFmtId="0" fontId="22" fillId="0" borderId="0" xfId="0" applyFont="1" applyAlignment="1">
      <alignment horizontal="left" indent="2"/>
    </xf>
    <xf numFmtId="0" fontId="24" fillId="18" borderId="0" xfId="0" applyFont="1" applyFill="1" applyAlignment="1">
      <alignment horizontal="center" wrapText="1"/>
    </xf>
    <xf numFmtId="0" fontId="23" fillId="19" borderId="0" xfId="0" applyFont="1" applyFill="1" applyAlignment="1">
      <alignment horizontal="center" wrapText="1"/>
    </xf>
    <xf numFmtId="0" fontId="23" fillId="21" borderId="0" xfId="0" applyFont="1" applyFill="1" applyAlignment="1">
      <alignment horizontal="center" wrapText="1"/>
    </xf>
    <xf numFmtId="0" fontId="23" fillId="22" borderId="0" xfId="0" applyFont="1" applyFill="1" applyAlignment="1">
      <alignment horizontal="center" wrapText="1"/>
    </xf>
    <xf numFmtId="0" fontId="25" fillId="0" borderId="0" xfId="0" applyFont="1"/>
    <xf numFmtId="0" fontId="23" fillId="0" borderId="0" xfId="0" applyFont="1" applyAlignment="1">
      <alignment horizontal="center" wrapText="1"/>
    </xf>
    <xf numFmtId="0" fontId="22" fillId="21" borderId="0" xfId="0" applyFont="1" applyFill="1" applyAlignment="1">
      <alignment wrapText="1"/>
    </xf>
    <xf numFmtId="0" fontId="22" fillId="22" borderId="0" xfId="0" applyFont="1" applyFill="1" applyAlignment="1">
      <alignment wrapText="1"/>
    </xf>
    <xf numFmtId="0" fontId="23" fillId="20" borderId="0" xfId="0" applyFont="1" applyFill="1" applyAlignment="1">
      <alignment horizontal="center" wrapText="1"/>
    </xf>
    <xf numFmtId="0" fontId="20" fillId="25" borderId="4" xfId="0" applyFont="1" applyFill="1" applyBorder="1" applyAlignment="1">
      <alignment horizontal="center"/>
    </xf>
    <xf numFmtId="0" fontId="27" fillId="17" borderId="4" xfId="0" applyFont="1" applyFill="1" applyBorder="1"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0" fontId="17" fillId="9" borderId="0" xfId="0" applyFont="1" applyFill="1" applyAlignment="1">
      <alignment horizontal="center"/>
    </xf>
    <xf numFmtId="167" fontId="29" fillId="0" borderId="1" xfId="0" applyNumberFormat="1" applyFont="1" applyFill="1" applyBorder="1" applyAlignment="1">
      <alignment horizontal="center"/>
    </xf>
    <xf numFmtId="167" fontId="30" fillId="17" borderId="1" xfId="0" applyNumberFormat="1" applyFont="1" applyFill="1" applyBorder="1" applyAlignment="1">
      <alignment horizontal="center"/>
    </xf>
    <xf numFmtId="0" fontId="0" fillId="0" borderId="0" xfId="0" applyAlignment="1">
      <alignment horizontal="right"/>
    </xf>
    <xf numFmtId="164" fontId="6" fillId="2" borderId="1" xfId="0" applyNumberFormat="1" applyFont="1" applyFill="1" applyBorder="1" applyAlignment="1">
      <alignment horizontal="center" vertical="center"/>
    </xf>
    <xf numFmtId="1" fontId="6" fillId="2" borderId="1" xfId="0" applyNumberFormat="1" applyFont="1" applyFill="1" applyBorder="1" applyAlignment="1">
      <alignment horizontal="center" vertical="center"/>
    </xf>
    <xf numFmtId="9" fontId="6" fillId="3" borderId="1" xfId="2" applyFont="1" applyFill="1" applyBorder="1" applyAlignment="1">
      <alignment horizontal="center" vertical="center"/>
    </xf>
    <xf numFmtId="9" fontId="0" fillId="0" borderId="0" xfId="2" applyFont="1"/>
    <xf numFmtId="169" fontId="0" fillId="0" borderId="0" xfId="2" applyNumberFormat="1" applyFont="1"/>
    <xf numFmtId="10" fontId="0" fillId="0" borderId="0" xfId="2" applyNumberFormat="1" applyFont="1"/>
    <xf numFmtId="167" fontId="0" fillId="0" borderId="0" xfId="0" applyNumberFormat="1"/>
    <xf numFmtId="43" fontId="11" fillId="0" borderId="1" xfId="1" applyNumberFormat="1" applyFont="1" applyBorder="1" applyAlignment="1">
      <alignment horizontal="center"/>
    </xf>
    <xf numFmtId="2" fontId="10" fillId="0" borderId="1" xfId="0" applyNumberFormat="1" applyFont="1" applyBorder="1"/>
    <xf numFmtId="9" fontId="15" fillId="17" borderId="0" xfId="0" applyNumberFormat="1" applyFont="1" applyFill="1" applyBorder="1" applyAlignment="1">
      <alignment wrapText="1"/>
    </xf>
    <xf numFmtId="0" fontId="15" fillId="0" borderId="0" xfId="0" applyFont="1" applyBorder="1" applyAlignment="1">
      <alignment wrapText="1"/>
    </xf>
    <xf numFmtId="0" fontId="19" fillId="17" borderId="0" xfId="0" applyFont="1" applyFill="1" applyBorder="1" applyAlignment="1">
      <alignment wrapText="1"/>
    </xf>
    <xf numFmtId="0" fontId="0" fillId="0" borderId="0" xfId="0" applyBorder="1" applyAlignment="1">
      <alignment wrapText="1"/>
    </xf>
    <xf numFmtId="0" fontId="19" fillId="0" borderId="0" xfId="0" applyFont="1" applyBorder="1" applyAlignment="1">
      <alignment wrapText="1"/>
    </xf>
    <xf numFmtId="0" fontId="0" fillId="26" borderId="0" xfId="0" applyFill="1" applyAlignment="1">
      <alignment horizontal="center"/>
    </xf>
    <xf numFmtId="165" fontId="0" fillId="0" borderId="0" xfId="1" applyNumberFormat="1" applyFont="1"/>
    <xf numFmtId="9" fontId="6" fillId="3" borderId="1" xfId="2" applyNumberFormat="1" applyFont="1" applyFill="1" applyBorder="1" applyAlignment="1">
      <alignment horizontal="center" vertical="center"/>
    </xf>
    <xf numFmtId="14" fontId="6" fillId="3" borderId="1" xfId="0" applyNumberFormat="1" applyFont="1" applyFill="1" applyBorder="1" applyAlignment="1">
      <alignment horizontal="center" vertical="center"/>
    </xf>
    <xf numFmtId="2" fontId="6" fillId="3" borderId="1" xfId="0" applyNumberFormat="1" applyFont="1" applyFill="1" applyBorder="1" applyAlignment="1">
      <alignment horizontal="center" vertical="center"/>
    </xf>
    <xf numFmtId="0" fontId="7" fillId="13" borderId="2" xfId="0" applyFont="1" applyFill="1" applyBorder="1" applyAlignment="1">
      <alignment horizontal="center" vertical="center"/>
    </xf>
    <xf numFmtId="0" fontId="7" fillId="27" borderId="2" xfId="0" applyFont="1" applyFill="1" applyBorder="1" applyAlignment="1">
      <alignment horizontal="center" vertical="center"/>
    </xf>
    <xf numFmtId="166" fontId="0" fillId="0" borderId="0" xfId="1" applyNumberFormat="1" applyFont="1" applyFill="1" applyBorder="1"/>
    <xf numFmtId="166" fontId="0" fillId="0" borderId="0" xfId="0" applyNumberFormat="1"/>
    <xf numFmtId="170" fontId="0" fillId="0" borderId="0" xfId="4" applyNumberFormat="1" applyFont="1"/>
    <xf numFmtId="0" fontId="32" fillId="0" borderId="0" xfId="0" applyFont="1"/>
    <xf numFmtId="0" fontId="33" fillId="0" borderId="0" xfId="0" applyFont="1"/>
    <xf numFmtId="0" fontId="0" fillId="0" borderId="0" xfId="0" applyAlignment="1"/>
    <xf numFmtId="2" fontId="15" fillId="0" borderId="0" xfId="0" applyNumberFormat="1" applyFont="1"/>
    <xf numFmtId="0" fontId="36" fillId="28" borderId="1" xfId="0" applyFont="1" applyFill="1" applyBorder="1" applyAlignment="1">
      <alignment horizontal="center" vertical="top" wrapText="1"/>
    </xf>
    <xf numFmtId="0" fontId="37" fillId="28" borderId="1" xfId="0" applyFont="1" applyFill="1" applyBorder="1" applyAlignment="1">
      <alignment horizontal="center" vertical="top" wrapText="1"/>
    </xf>
    <xf numFmtId="0" fontId="36" fillId="29" borderId="1" xfId="0" applyFont="1" applyFill="1" applyBorder="1" applyAlignment="1">
      <alignment horizontal="center" vertical="top" wrapText="1"/>
    </xf>
    <xf numFmtId="0" fontId="37" fillId="29" borderId="1" xfId="0" applyFont="1" applyFill="1" applyBorder="1" applyAlignment="1">
      <alignment horizontal="center" vertical="top" wrapText="1"/>
    </xf>
    <xf numFmtId="168" fontId="0" fillId="25" borderId="0" xfId="4" applyNumberFormat="1" applyFont="1" applyFill="1"/>
    <xf numFmtId="0" fontId="0" fillId="0" borderId="0" xfId="0" applyAlignment="1">
      <alignment horizontal="center"/>
    </xf>
    <xf numFmtId="169" fontId="0" fillId="0" borderId="0" xfId="0" applyNumberFormat="1" applyAlignment="1">
      <alignment horizontal="center"/>
    </xf>
    <xf numFmtId="9" fontId="0" fillId="4" borderId="0" xfId="0" applyNumberFormat="1" applyFill="1" applyAlignment="1">
      <alignment horizontal="center"/>
    </xf>
    <xf numFmtId="0" fontId="0" fillId="4" borderId="0" xfId="0" applyFill="1" applyAlignment="1">
      <alignment horizontal="center"/>
    </xf>
    <xf numFmtId="168" fontId="0" fillId="4" borderId="0" xfId="0" applyNumberFormat="1" applyFill="1"/>
    <xf numFmtId="10" fontId="0" fillId="4" borderId="0" xfId="0" applyNumberFormat="1" applyFill="1" applyAlignment="1">
      <alignment horizontal="center"/>
    </xf>
    <xf numFmtId="169" fontId="0" fillId="15" borderId="0" xfId="0" applyNumberFormat="1" applyFill="1" applyAlignment="1">
      <alignment horizontal="center"/>
    </xf>
    <xf numFmtId="169" fontId="0" fillId="0" borderId="0" xfId="0" applyNumberFormat="1"/>
    <xf numFmtId="169" fontId="0" fillId="4" borderId="0" xfId="0" applyNumberFormat="1" applyFill="1" applyAlignment="1">
      <alignment horizontal="center"/>
    </xf>
    <xf numFmtId="169" fontId="0" fillId="4" borderId="0" xfId="0" applyNumberFormat="1" applyFill="1"/>
    <xf numFmtId="2" fontId="0" fillId="4" borderId="0" xfId="0" applyNumberFormat="1" applyFill="1"/>
    <xf numFmtId="164" fontId="0" fillId="4" borderId="0" xfId="0" applyNumberFormat="1" applyFill="1"/>
    <xf numFmtId="9" fontId="0" fillId="26" borderId="0" xfId="0" applyNumberFormat="1" applyFill="1" applyAlignment="1">
      <alignment horizontal="center"/>
    </xf>
    <xf numFmtId="169" fontId="0" fillId="26" borderId="0" xfId="0" applyNumberFormat="1" applyFill="1" applyAlignment="1">
      <alignment horizontal="center"/>
    </xf>
    <xf numFmtId="168" fontId="0" fillId="26" borderId="0" xfId="0" applyNumberFormat="1" applyFill="1"/>
    <xf numFmtId="169" fontId="0" fillId="26" borderId="0" xfId="0" applyNumberFormat="1" applyFill="1"/>
    <xf numFmtId="2" fontId="0" fillId="26" borderId="0" xfId="0" applyNumberFormat="1" applyFill="1"/>
    <xf numFmtId="164" fontId="0" fillId="26" borderId="0" xfId="0" applyNumberFormat="1" applyFill="1"/>
    <xf numFmtId="9" fontId="15" fillId="30" borderId="0" xfId="0" applyNumberFormat="1" applyFont="1" applyFill="1" applyAlignment="1">
      <alignment horizontal="center"/>
    </xf>
    <xf numFmtId="10" fontId="15" fillId="30" borderId="0" xfId="0" applyNumberFormat="1" applyFont="1" applyFill="1" applyAlignment="1">
      <alignment horizontal="center"/>
    </xf>
    <xf numFmtId="169" fontId="15" fillId="30" borderId="0" xfId="0" applyNumberFormat="1" applyFont="1" applyFill="1" applyAlignment="1">
      <alignment horizontal="center"/>
    </xf>
    <xf numFmtId="0" fontId="15" fillId="30" borderId="0" xfId="0" applyFont="1" applyFill="1" applyAlignment="1">
      <alignment horizontal="center"/>
    </xf>
    <xf numFmtId="168" fontId="15" fillId="30" borderId="0" xfId="0" applyNumberFormat="1" applyFont="1" applyFill="1"/>
    <xf numFmtId="169" fontId="15" fillId="30" borderId="0" xfId="0" applyNumberFormat="1" applyFont="1" applyFill="1"/>
    <xf numFmtId="2" fontId="15" fillId="30" borderId="0" xfId="0" applyNumberFormat="1" applyFont="1" applyFill="1"/>
    <xf numFmtId="164" fontId="15" fillId="30" borderId="0" xfId="0" applyNumberFormat="1" applyFont="1" applyFill="1"/>
    <xf numFmtId="0" fontId="0" fillId="0" borderId="0" xfId="0" applyAlignment="1">
      <alignment horizontal="center"/>
    </xf>
    <xf numFmtId="0" fontId="0" fillId="0" borderId="0" xfId="0" applyAlignment="1">
      <alignment horizontal="center"/>
    </xf>
    <xf numFmtId="0" fontId="0" fillId="0" borderId="0" xfId="0" applyFill="1" applyBorder="1" applyAlignment="1">
      <alignment horizontal="center"/>
    </xf>
    <xf numFmtId="1" fontId="15" fillId="0" borderId="0" xfId="0" applyNumberFormat="1" applyFont="1"/>
    <xf numFmtId="0" fontId="0" fillId="31" borderId="1" xfId="0" applyFill="1" applyBorder="1"/>
    <xf numFmtId="0" fontId="0" fillId="32" borderId="1" xfId="0" applyFill="1" applyBorder="1"/>
    <xf numFmtId="0" fontId="0" fillId="17" borderId="1" xfId="0" applyFill="1" applyBorder="1"/>
    <xf numFmtId="0" fontId="31" fillId="31" borderId="1" xfId="0" applyFont="1" applyFill="1" applyBorder="1" applyAlignment="1">
      <alignment horizontal="center"/>
    </xf>
    <xf numFmtId="0" fontId="31" fillId="32" borderId="1" xfId="0" applyFont="1" applyFill="1" applyBorder="1" applyAlignment="1">
      <alignment horizontal="center"/>
    </xf>
    <xf numFmtId="0" fontId="15" fillId="0" borderId="0" xfId="0" applyFont="1" applyAlignment="1">
      <alignment horizontal="center" vertical="center" wrapText="1"/>
    </xf>
    <xf numFmtId="0" fontId="31" fillId="0" borderId="0" xfId="0" applyFont="1" applyFill="1"/>
    <xf numFmtId="0" fontId="9" fillId="0" borderId="0" xfId="0" applyFont="1" applyFill="1"/>
    <xf numFmtId="164" fontId="9" fillId="0" borderId="0" xfId="0" applyNumberFormat="1" applyFont="1" applyFill="1"/>
    <xf numFmtId="2" fontId="9" fillId="0" borderId="1" xfId="0" applyNumberFormat="1" applyFont="1" applyFill="1" applyBorder="1" applyAlignment="1">
      <alignment horizontal="center"/>
    </xf>
    <xf numFmtId="1" fontId="31" fillId="0" borderId="1" xfId="0" applyNumberFormat="1" applyFont="1" applyFill="1" applyBorder="1" applyAlignment="1">
      <alignment horizontal="center"/>
    </xf>
    <xf numFmtId="1" fontId="38" fillId="0" borderId="0" xfId="0" applyNumberFormat="1" applyFont="1" applyFill="1"/>
    <xf numFmtId="2" fontId="31" fillId="0" borderId="1" xfId="0" applyNumberFormat="1" applyFont="1" applyFill="1" applyBorder="1" applyAlignment="1">
      <alignment horizontal="center"/>
    </xf>
    <xf numFmtId="0" fontId="37" fillId="29" borderId="0" xfId="0" applyFont="1" applyFill="1" applyBorder="1" applyAlignment="1">
      <alignment horizontal="center" vertical="top" wrapText="1"/>
    </xf>
    <xf numFmtId="2" fontId="6" fillId="2" borderId="1" xfId="0" applyNumberFormat="1" applyFont="1" applyFill="1" applyBorder="1" applyAlignment="1">
      <alignment horizontal="center" vertical="center"/>
    </xf>
    <xf numFmtId="0" fontId="15" fillId="0" borderId="0" xfId="0" applyFont="1" applyAlignment="1">
      <alignment horizontal="right"/>
    </xf>
    <xf numFmtId="0" fontId="39" fillId="0" borderId="1" xfId="0" applyFont="1" applyFill="1" applyBorder="1" applyAlignment="1">
      <alignment horizontal="left" vertical="center"/>
    </xf>
    <xf numFmtId="0" fontId="0" fillId="0" borderId="0" xfId="0" applyAlignment="1">
      <alignment horizontal="center"/>
    </xf>
    <xf numFmtId="0" fontId="15" fillId="25" borderId="0" xfId="0" applyFont="1" applyFill="1"/>
    <xf numFmtId="0" fontId="40" fillId="0" borderId="0" xfId="0" applyFont="1" applyAlignment="1">
      <alignment horizontal="right"/>
    </xf>
    <xf numFmtId="0" fontId="12" fillId="26" borderId="1" xfId="3" applyFont="1" applyFill="1" applyBorder="1" applyAlignment="1">
      <alignment horizontal="right"/>
    </xf>
    <xf numFmtId="0" fontId="0" fillId="0" borderId="0" xfId="0" applyAlignment="1">
      <alignment horizontal="center"/>
    </xf>
    <xf numFmtId="0" fontId="0" fillId="33" borderId="0" xfId="0" applyFill="1" applyAlignment="1">
      <alignment horizontal="right"/>
    </xf>
    <xf numFmtId="0" fontId="0" fillId="0" borderId="0" xfId="0" applyAlignment="1">
      <alignment horizontal="center"/>
    </xf>
    <xf numFmtId="0" fontId="0" fillId="0" borderId="0" xfId="0" applyAlignment="1">
      <alignment horizontal="center"/>
    </xf>
    <xf numFmtId="0" fontId="40" fillId="0" borderId="0" xfId="0" applyFont="1" applyFill="1" applyAlignment="1">
      <alignment horizontal="right"/>
    </xf>
    <xf numFmtId="0" fontId="0" fillId="33" borderId="0" xfId="0" applyFont="1" applyFill="1" applyAlignment="1">
      <alignment horizontal="right"/>
    </xf>
    <xf numFmtId="0" fontId="0" fillId="0" borderId="0" xfId="0" applyAlignment="1">
      <alignment horizontal="center"/>
    </xf>
    <xf numFmtId="0" fontId="15" fillId="25" borderId="0" xfId="0" applyFont="1" applyFill="1" applyAlignment="1">
      <alignment horizontal="center"/>
    </xf>
    <xf numFmtId="0" fontId="0" fillId="0" borderId="0" xfId="0" applyAlignment="1">
      <alignment horizontal="center"/>
    </xf>
    <xf numFmtId="0" fontId="0" fillId="0" borderId="0" xfId="0" applyAlignment="1">
      <alignment horizontal="center"/>
    </xf>
    <xf numFmtId="0" fontId="4" fillId="26" borderId="1" xfId="3" applyFont="1" applyFill="1" applyBorder="1" applyAlignment="1">
      <alignment horizontal="right"/>
    </xf>
    <xf numFmtId="0" fontId="12" fillId="33" borderId="1" xfId="3" applyFont="1" applyFill="1" applyBorder="1" applyAlignment="1">
      <alignment horizontal="right"/>
    </xf>
    <xf numFmtId="0" fontId="4" fillId="33" borderId="1" xfId="3" applyFont="1" applyFill="1" applyBorder="1" applyAlignment="1">
      <alignment horizontal="right"/>
    </xf>
    <xf numFmtId="0" fontId="0" fillId="0" borderId="0" xfId="0" applyAlignment="1">
      <alignment horizontal="center"/>
    </xf>
    <xf numFmtId="0" fontId="0" fillId="0" borderId="0" xfId="0" applyAlignment="1">
      <alignment horizontal="center"/>
    </xf>
    <xf numFmtId="0" fontId="7" fillId="12" borderId="1" xfId="0" applyFont="1" applyFill="1" applyBorder="1" applyAlignment="1">
      <alignment horizontal="center" vertical="center"/>
    </xf>
    <xf numFmtId="2" fontId="0" fillId="0" borderId="0" xfId="0" applyNumberFormat="1" applyAlignment="1">
      <alignment horizontal="right"/>
    </xf>
    <xf numFmtId="2" fontId="15" fillId="0" borderId="0" xfId="0" applyNumberFormat="1" applyFont="1" applyAlignment="1">
      <alignment horizontal="right"/>
    </xf>
    <xf numFmtId="164" fontId="15" fillId="0" borderId="0" xfId="0" applyNumberFormat="1" applyFont="1" applyAlignment="1">
      <alignment horizontal="center"/>
    </xf>
    <xf numFmtId="0" fontId="0" fillId="0" borderId="0" xfId="0" applyAlignment="1">
      <alignment horizontal="center"/>
    </xf>
    <xf numFmtId="0" fontId="0" fillId="0" borderId="0" xfId="0" applyFill="1" applyAlignment="1">
      <alignment horizontal="right"/>
    </xf>
    <xf numFmtId="0" fontId="40" fillId="33" borderId="0" xfId="0" applyFont="1" applyFill="1" applyAlignment="1">
      <alignment horizontal="right"/>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15" fillId="17" borderId="0" xfId="0" applyFont="1" applyFill="1"/>
    <xf numFmtId="0" fontId="15" fillId="17" borderId="0" xfId="0" applyFont="1" applyFill="1" applyAlignment="1">
      <alignment horizontal="center"/>
    </xf>
    <xf numFmtId="164" fontId="27" fillId="0" borderId="0" xfId="0" applyNumberFormat="1" applyFont="1"/>
    <xf numFmtId="0" fontId="38" fillId="34" borderId="0" xfId="0" applyFont="1" applyFill="1"/>
    <xf numFmtId="0" fontId="38" fillId="34" borderId="0" xfId="0" applyFont="1" applyFill="1" applyAlignment="1">
      <alignment horizontal="center"/>
    </xf>
    <xf numFmtId="43" fontId="1" fillId="0" borderId="0" xfId="1" applyFont="1" applyAlignment="1">
      <alignment horizontal="center"/>
    </xf>
    <xf numFmtId="167" fontId="15" fillId="0" borderId="0" xfId="0" applyNumberFormat="1" applyFont="1" applyAlignment="1">
      <alignment horizontal="center"/>
    </xf>
    <xf numFmtId="9" fontId="7" fillId="5" borderId="1" xfId="0" applyNumberFormat="1" applyFont="1" applyFill="1" applyBorder="1" applyAlignment="1">
      <alignment horizontal="center" vertical="center"/>
    </xf>
    <xf numFmtId="9" fontId="7" fillId="13" borderId="1" xfId="0" applyNumberFormat="1" applyFont="1" applyFill="1" applyBorder="1" applyAlignment="1">
      <alignment horizontal="center" vertical="center"/>
    </xf>
    <xf numFmtId="0" fontId="7" fillId="13" borderId="1" xfId="0" applyFont="1" applyFill="1" applyBorder="1" applyAlignment="1">
      <alignment horizontal="center" vertical="center"/>
    </xf>
    <xf numFmtId="0" fontId="9" fillId="0" borderId="1" xfId="0" applyFont="1" applyFill="1" applyBorder="1"/>
    <xf numFmtId="0" fontId="9" fillId="33" borderId="1" xfId="0" applyFont="1" applyFill="1" applyBorder="1"/>
    <xf numFmtId="167" fontId="0" fillId="0" borderId="0" xfId="0" applyNumberFormat="1" applyAlignment="1">
      <alignment horizontal="center"/>
    </xf>
    <xf numFmtId="1" fontId="9" fillId="0" borderId="1" xfId="0" applyNumberFormat="1" applyFont="1" applyFill="1" applyBorder="1"/>
    <xf numFmtId="9" fontId="7" fillId="13" borderId="2" xfId="0" applyNumberFormat="1" applyFont="1" applyFill="1" applyBorder="1" applyAlignment="1">
      <alignment horizontal="center" vertical="center"/>
    </xf>
    <xf numFmtId="0" fontId="23" fillId="20" borderId="0" xfId="0" applyFont="1" applyFill="1" applyAlignment="1">
      <alignment horizontal="center" wrapText="1"/>
    </xf>
    <xf numFmtId="0" fontId="26" fillId="16" borderId="0" xfId="0" applyFont="1" applyFill="1" applyAlignment="1">
      <alignment horizontal="center" wrapText="1"/>
    </xf>
    <xf numFmtId="0" fontId="23" fillId="23" borderId="0" xfId="0" applyFont="1" applyFill="1" applyAlignment="1">
      <alignment horizontal="center" wrapText="1"/>
    </xf>
    <xf numFmtId="0" fontId="23" fillId="24" borderId="0" xfId="0" applyFont="1" applyFill="1" applyAlignment="1">
      <alignment horizontal="center" wrapText="1"/>
    </xf>
    <xf numFmtId="0" fontId="23" fillId="21" borderId="0" xfId="0" applyFont="1" applyFill="1" applyAlignment="1">
      <alignment horizontal="center" wrapText="1"/>
    </xf>
    <xf numFmtId="0" fontId="23" fillId="22" borderId="0" xfId="0" applyFont="1" applyFill="1" applyAlignment="1">
      <alignment horizontal="center" wrapText="1"/>
    </xf>
    <xf numFmtId="0" fontId="34" fillId="28" borderId="1" xfId="0" applyFont="1" applyFill="1" applyBorder="1" applyAlignment="1">
      <alignment horizontal="center" vertical="top" wrapText="1"/>
    </xf>
    <xf numFmtId="0" fontId="35" fillId="29" borderId="1" xfId="0" applyFont="1" applyFill="1" applyBorder="1" applyAlignment="1">
      <alignment horizontal="center" vertical="top" wrapText="1"/>
    </xf>
    <xf numFmtId="0" fontId="36" fillId="29" borderId="1" xfId="0" applyFont="1" applyFill="1" applyBorder="1" applyAlignment="1">
      <alignment horizontal="center" vertical="top" wrapText="1"/>
    </xf>
    <xf numFmtId="0" fontId="15" fillId="25" borderId="0" xfId="0" applyFont="1" applyFill="1" applyAlignment="1">
      <alignment horizontal="center"/>
    </xf>
  </cellXfs>
  <cellStyles count="5">
    <cellStyle name="Excel Built-in Normal" xfId="3" xr:uid="{00000000-0005-0000-0000-000000000000}"/>
    <cellStyle name="Millares" xfId="1" builtinId="3"/>
    <cellStyle name="Moneda" xfId="4" builtinId="4"/>
    <cellStyle name="Normal" xfId="0" builtinId="0"/>
    <cellStyle name="Porcentaje" xfId="2" builtinId="5"/>
  </cellStyles>
  <dxfs count="12">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16" Type="http://schemas.openxmlformats.org/officeDocument/2006/relationships/hyperlink" Target="http://www88.hattrick.org/World/Leagues/League.aspx?LeagueID=25" TargetMode="External"/><Relationship Id="rId11" Type="http://schemas.openxmlformats.org/officeDocument/2006/relationships/hyperlink" Target="http://www88.hattrick.org/World/Leagues/League.aspx?LeagueID=11"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59" Type="http://schemas.openxmlformats.org/officeDocument/2006/relationships/hyperlink" Target="http://www88.hattrick.org/World/Leagues/League.aspx?LeagueID=12"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29" Type="http://schemas.openxmlformats.org/officeDocument/2006/relationships/hyperlink" Target="http://www83.hattrick.org/World/Leagues/League.aspx?LeagueID=4" TargetMode="External"/><Relationship Id="rId24" Type="http://schemas.openxmlformats.org/officeDocument/2006/relationships/hyperlink" Target="http://www83.hattrick.org/World/Leagues/League.aspx?LeagueID=93"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66" Type="http://schemas.openxmlformats.org/officeDocument/2006/relationships/hyperlink" Target="http://www78.hattrick.org/World/Leagues/League.aspx?LeagueID=3" TargetMode="External"/><Relationship Id="rId87" Type="http://schemas.openxmlformats.org/officeDocument/2006/relationships/hyperlink" Target="http://www92.hattrick.org/World/Leagues/League.aspx?LeagueID=6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56" Type="http://schemas.openxmlformats.org/officeDocument/2006/relationships/hyperlink" Target="http://www94.hattrick.org/World/Leagues/League.aspx?LeagueID=70"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25" Type="http://schemas.openxmlformats.org/officeDocument/2006/relationships/hyperlink" Target="http://www83.hattrick.org/World/Leagues/League.aspx?LeagueID=34" TargetMode="External"/><Relationship Id="rId46" Type="http://schemas.openxmlformats.org/officeDocument/2006/relationships/hyperlink" Target="http://www94.hattrick.org/World/Leagues/League.aspx?LeagueID=7" TargetMode="External"/><Relationship Id="rId67" Type="http://schemas.openxmlformats.org/officeDocument/2006/relationships/hyperlink" Target="http://www78.hattrick.org/World/Leagues/League.aspx?LeagueID=19"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a:extLst>
            <a:ext uri="{FF2B5EF4-FFF2-40B4-BE49-F238E27FC236}">
              <a16:creationId xmlns:a16="http://schemas.microsoft.com/office/drawing/2014/main" id="{00000000-0008-0000-0600-00000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a:extLst>
            <a:ext uri="{FF2B5EF4-FFF2-40B4-BE49-F238E27FC236}">
              <a16:creationId xmlns:a16="http://schemas.microsoft.com/office/drawing/2014/main" id="{00000000-0008-0000-0600-00000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a:extLst>
            <a:ext uri="{FF2B5EF4-FFF2-40B4-BE49-F238E27FC236}">
              <a16:creationId xmlns:a16="http://schemas.microsoft.com/office/drawing/2014/main" id="{00000000-0008-0000-0600-00000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a:extLst>
            <a:ext uri="{FF2B5EF4-FFF2-40B4-BE49-F238E27FC236}">
              <a16:creationId xmlns:a16="http://schemas.microsoft.com/office/drawing/2014/main" id="{00000000-0008-0000-0600-00000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a:extLst>
            <a:ext uri="{FF2B5EF4-FFF2-40B4-BE49-F238E27FC236}">
              <a16:creationId xmlns:a16="http://schemas.microsoft.com/office/drawing/2014/main" id="{00000000-0008-0000-0600-00000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a:extLst>
            <a:ext uri="{FF2B5EF4-FFF2-40B4-BE49-F238E27FC236}">
              <a16:creationId xmlns:a16="http://schemas.microsoft.com/office/drawing/2014/main" id="{00000000-0008-0000-0600-00000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a:extLst>
            <a:ext uri="{FF2B5EF4-FFF2-40B4-BE49-F238E27FC236}">
              <a16:creationId xmlns:a16="http://schemas.microsoft.com/office/drawing/2014/main" id="{00000000-0008-0000-0600-00000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a:extLst>
            <a:ext uri="{FF2B5EF4-FFF2-40B4-BE49-F238E27FC236}">
              <a16:creationId xmlns:a16="http://schemas.microsoft.com/office/drawing/2014/main" id="{00000000-0008-0000-0600-00000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a:extLst>
            <a:ext uri="{FF2B5EF4-FFF2-40B4-BE49-F238E27FC236}">
              <a16:creationId xmlns:a16="http://schemas.microsoft.com/office/drawing/2014/main" id="{00000000-0008-0000-0600-00000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a:extLst>
            <a:ext uri="{FF2B5EF4-FFF2-40B4-BE49-F238E27FC236}">
              <a16:creationId xmlns:a16="http://schemas.microsoft.com/office/drawing/2014/main" id="{00000000-0008-0000-0600-00001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a:extLst>
            <a:ext uri="{FF2B5EF4-FFF2-40B4-BE49-F238E27FC236}">
              <a16:creationId xmlns:a16="http://schemas.microsoft.com/office/drawing/2014/main" id="{00000000-0008-0000-0600-00001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a:extLst>
            <a:ext uri="{FF2B5EF4-FFF2-40B4-BE49-F238E27FC236}">
              <a16:creationId xmlns:a16="http://schemas.microsoft.com/office/drawing/2014/main" id="{00000000-0008-0000-0600-00001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a:extLst>
            <a:ext uri="{FF2B5EF4-FFF2-40B4-BE49-F238E27FC236}">
              <a16:creationId xmlns:a16="http://schemas.microsoft.com/office/drawing/2014/main" id="{00000000-0008-0000-0600-00001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a:extLst>
            <a:ext uri="{FF2B5EF4-FFF2-40B4-BE49-F238E27FC236}">
              <a16:creationId xmlns:a16="http://schemas.microsoft.com/office/drawing/2014/main" id="{00000000-0008-0000-0600-00001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a:extLst>
            <a:ext uri="{FF2B5EF4-FFF2-40B4-BE49-F238E27FC236}">
              <a16:creationId xmlns:a16="http://schemas.microsoft.com/office/drawing/2014/main" id="{00000000-0008-0000-0600-00001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a:extLst>
            <a:ext uri="{FF2B5EF4-FFF2-40B4-BE49-F238E27FC236}">
              <a16:creationId xmlns:a16="http://schemas.microsoft.com/office/drawing/2014/main" id="{00000000-0008-0000-0600-00001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a:extLst>
            <a:ext uri="{FF2B5EF4-FFF2-40B4-BE49-F238E27FC236}">
              <a16:creationId xmlns:a16="http://schemas.microsoft.com/office/drawing/2014/main" id="{00000000-0008-0000-0600-00001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a:extLst>
            <a:ext uri="{FF2B5EF4-FFF2-40B4-BE49-F238E27FC236}">
              <a16:creationId xmlns:a16="http://schemas.microsoft.com/office/drawing/2014/main" id="{00000000-0008-0000-0600-00001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a:extLst>
            <a:ext uri="{FF2B5EF4-FFF2-40B4-BE49-F238E27FC236}">
              <a16:creationId xmlns:a16="http://schemas.microsoft.com/office/drawing/2014/main" id="{00000000-0008-0000-0600-00001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a:extLst>
            <a:ext uri="{FF2B5EF4-FFF2-40B4-BE49-F238E27FC236}">
              <a16:creationId xmlns:a16="http://schemas.microsoft.com/office/drawing/2014/main" id="{00000000-0008-0000-0600-00001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a:extLst>
            <a:ext uri="{FF2B5EF4-FFF2-40B4-BE49-F238E27FC236}">
              <a16:creationId xmlns:a16="http://schemas.microsoft.com/office/drawing/2014/main" id="{00000000-0008-0000-0600-00001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a:extLst>
            <a:ext uri="{FF2B5EF4-FFF2-40B4-BE49-F238E27FC236}">
              <a16:creationId xmlns:a16="http://schemas.microsoft.com/office/drawing/2014/main" id="{00000000-0008-0000-0600-00001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a:extLst>
            <a:ext uri="{FF2B5EF4-FFF2-40B4-BE49-F238E27FC236}">
              <a16:creationId xmlns:a16="http://schemas.microsoft.com/office/drawing/2014/main" id="{00000000-0008-0000-0600-00001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a:extLst>
            <a:ext uri="{FF2B5EF4-FFF2-40B4-BE49-F238E27FC236}">
              <a16:creationId xmlns:a16="http://schemas.microsoft.com/office/drawing/2014/main" id="{00000000-0008-0000-0600-00001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a:extLst>
            <a:ext uri="{FF2B5EF4-FFF2-40B4-BE49-F238E27FC236}">
              <a16:creationId xmlns:a16="http://schemas.microsoft.com/office/drawing/2014/main" id="{00000000-0008-0000-0600-00001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a:extLst>
            <a:ext uri="{FF2B5EF4-FFF2-40B4-BE49-F238E27FC236}">
              <a16:creationId xmlns:a16="http://schemas.microsoft.com/office/drawing/2014/main" id="{00000000-0008-0000-0600-00002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a:extLst>
            <a:ext uri="{FF2B5EF4-FFF2-40B4-BE49-F238E27FC236}">
              <a16:creationId xmlns:a16="http://schemas.microsoft.com/office/drawing/2014/main" id="{00000000-0008-0000-0600-00002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a:extLst>
            <a:ext uri="{FF2B5EF4-FFF2-40B4-BE49-F238E27FC236}">
              <a16:creationId xmlns:a16="http://schemas.microsoft.com/office/drawing/2014/main" id="{00000000-0008-0000-0600-00002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a:extLst>
            <a:ext uri="{FF2B5EF4-FFF2-40B4-BE49-F238E27FC236}">
              <a16:creationId xmlns:a16="http://schemas.microsoft.com/office/drawing/2014/main" id="{00000000-0008-0000-0600-00002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a:extLst>
            <a:ext uri="{FF2B5EF4-FFF2-40B4-BE49-F238E27FC236}">
              <a16:creationId xmlns:a16="http://schemas.microsoft.com/office/drawing/2014/main" id="{00000000-0008-0000-0600-00002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a:extLst>
            <a:ext uri="{FF2B5EF4-FFF2-40B4-BE49-F238E27FC236}">
              <a16:creationId xmlns:a16="http://schemas.microsoft.com/office/drawing/2014/main" id="{00000000-0008-0000-0600-00002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a:extLst>
            <a:ext uri="{FF2B5EF4-FFF2-40B4-BE49-F238E27FC236}">
              <a16:creationId xmlns:a16="http://schemas.microsoft.com/office/drawing/2014/main" id="{00000000-0008-0000-0600-00002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a:extLst>
            <a:ext uri="{FF2B5EF4-FFF2-40B4-BE49-F238E27FC236}">
              <a16:creationId xmlns:a16="http://schemas.microsoft.com/office/drawing/2014/main" id="{00000000-0008-0000-0600-00002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a:extLst>
            <a:ext uri="{FF2B5EF4-FFF2-40B4-BE49-F238E27FC236}">
              <a16:creationId xmlns:a16="http://schemas.microsoft.com/office/drawing/2014/main" id="{00000000-0008-0000-0600-00002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a:extLst>
            <a:ext uri="{FF2B5EF4-FFF2-40B4-BE49-F238E27FC236}">
              <a16:creationId xmlns:a16="http://schemas.microsoft.com/office/drawing/2014/main" id="{00000000-0008-0000-0600-00002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a:extLst>
            <a:ext uri="{FF2B5EF4-FFF2-40B4-BE49-F238E27FC236}">
              <a16:creationId xmlns:a16="http://schemas.microsoft.com/office/drawing/2014/main" id="{00000000-0008-0000-0600-00002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a:extLst>
            <a:ext uri="{FF2B5EF4-FFF2-40B4-BE49-F238E27FC236}">
              <a16:creationId xmlns:a16="http://schemas.microsoft.com/office/drawing/2014/main" id="{00000000-0008-0000-0600-00002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a:extLst>
            <a:ext uri="{FF2B5EF4-FFF2-40B4-BE49-F238E27FC236}">
              <a16:creationId xmlns:a16="http://schemas.microsoft.com/office/drawing/2014/main" id="{00000000-0008-0000-0600-00002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a:extLst>
            <a:ext uri="{FF2B5EF4-FFF2-40B4-BE49-F238E27FC236}">
              <a16:creationId xmlns:a16="http://schemas.microsoft.com/office/drawing/2014/main" id="{00000000-0008-0000-0600-00002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a:extLst>
            <a:ext uri="{FF2B5EF4-FFF2-40B4-BE49-F238E27FC236}">
              <a16:creationId xmlns:a16="http://schemas.microsoft.com/office/drawing/2014/main" id="{00000000-0008-0000-0600-00002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a:extLst>
            <a:ext uri="{FF2B5EF4-FFF2-40B4-BE49-F238E27FC236}">
              <a16:creationId xmlns:a16="http://schemas.microsoft.com/office/drawing/2014/main" id="{00000000-0008-0000-0600-00002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a:extLst>
            <a:ext uri="{FF2B5EF4-FFF2-40B4-BE49-F238E27FC236}">
              <a16:creationId xmlns:a16="http://schemas.microsoft.com/office/drawing/2014/main" id="{00000000-0008-0000-0600-00003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a:extLst>
            <a:ext uri="{FF2B5EF4-FFF2-40B4-BE49-F238E27FC236}">
              <a16:creationId xmlns:a16="http://schemas.microsoft.com/office/drawing/2014/main" id="{00000000-0008-0000-0600-00003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a:extLst>
            <a:ext uri="{FF2B5EF4-FFF2-40B4-BE49-F238E27FC236}">
              <a16:creationId xmlns:a16="http://schemas.microsoft.com/office/drawing/2014/main" id="{00000000-0008-0000-0600-00003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a:extLst>
            <a:ext uri="{FF2B5EF4-FFF2-40B4-BE49-F238E27FC236}">
              <a16:creationId xmlns:a16="http://schemas.microsoft.com/office/drawing/2014/main" id="{00000000-0008-0000-0600-00003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a:extLst>
            <a:ext uri="{FF2B5EF4-FFF2-40B4-BE49-F238E27FC236}">
              <a16:creationId xmlns:a16="http://schemas.microsoft.com/office/drawing/2014/main" id="{00000000-0008-0000-0600-00003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a:extLst>
            <a:ext uri="{FF2B5EF4-FFF2-40B4-BE49-F238E27FC236}">
              <a16:creationId xmlns:a16="http://schemas.microsoft.com/office/drawing/2014/main" id="{00000000-0008-0000-0600-00003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a:extLst>
            <a:ext uri="{FF2B5EF4-FFF2-40B4-BE49-F238E27FC236}">
              <a16:creationId xmlns:a16="http://schemas.microsoft.com/office/drawing/2014/main" id="{00000000-0008-0000-0600-00003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a:extLst>
            <a:ext uri="{FF2B5EF4-FFF2-40B4-BE49-F238E27FC236}">
              <a16:creationId xmlns:a16="http://schemas.microsoft.com/office/drawing/2014/main" id="{00000000-0008-0000-0600-00003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a:extLst>
            <a:ext uri="{FF2B5EF4-FFF2-40B4-BE49-F238E27FC236}">
              <a16:creationId xmlns:a16="http://schemas.microsoft.com/office/drawing/2014/main" id="{00000000-0008-0000-0600-00003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a:extLst>
            <a:ext uri="{FF2B5EF4-FFF2-40B4-BE49-F238E27FC236}">
              <a16:creationId xmlns:a16="http://schemas.microsoft.com/office/drawing/2014/main" id="{00000000-0008-0000-0600-00003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a:extLst>
            <a:ext uri="{FF2B5EF4-FFF2-40B4-BE49-F238E27FC236}">
              <a16:creationId xmlns:a16="http://schemas.microsoft.com/office/drawing/2014/main" id="{00000000-0008-0000-0600-00003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a:extLst>
            <a:ext uri="{FF2B5EF4-FFF2-40B4-BE49-F238E27FC236}">
              <a16:creationId xmlns:a16="http://schemas.microsoft.com/office/drawing/2014/main" id="{00000000-0008-0000-0600-00003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a:extLst>
            <a:ext uri="{FF2B5EF4-FFF2-40B4-BE49-F238E27FC236}">
              <a16:creationId xmlns:a16="http://schemas.microsoft.com/office/drawing/2014/main" id="{00000000-0008-0000-0600-00003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a:extLst>
            <a:ext uri="{FF2B5EF4-FFF2-40B4-BE49-F238E27FC236}">
              <a16:creationId xmlns:a16="http://schemas.microsoft.com/office/drawing/2014/main" id="{00000000-0008-0000-0600-00003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a:extLst>
            <a:ext uri="{FF2B5EF4-FFF2-40B4-BE49-F238E27FC236}">
              <a16:creationId xmlns:a16="http://schemas.microsoft.com/office/drawing/2014/main" id="{00000000-0008-0000-0600-00003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a:extLst>
            <a:ext uri="{FF2B5EF4-FFF2-40B4-BE49-F238E27FC236}">
              <a16:creationId xmlns:a16="http://schemas.microsoft.com/office/drawing/2014/main" id="{00000000-0008-0000-0600-00003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a:extLst>
            <a:ext uri="{FF2B5EF4-FFF2-40B4-BE49-F238E27FC236}">
              <a16:creationId xmlns:a16="http://schemas.microsoft.com/office/drawing/2014/main" id="{00000000-0008-0000-0600-00004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a:extLst>
            <a:ext uri="{FF2B5EF4-FFF2-40B4-BE49-F238E27FC236}">
              <a16:creationId xmlns:a16="http://schemas.microsoft.com/office/drawing/2014/main" id="{00000000-0008-0000-0600-00004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a:extLst>
            <a:ext uri="{FF2B5EF4-FFF2-40B4-BE49-F238E27FC236}">
              <a16:creationId xmlns:a16="http://schemas.microsoft.com/office/drawing/2014/main" id="{00000000-0008-0000-0600-00004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a:extLst>
            <a:ext uri="{FF2B5EF4-FFF2-40B4-BE49-F238E27FC236}">
              <a16:creationId xmlns:a16="http://schemas.microsoft.com/office/drawing/2014/main" id="{00000000-0008-0000-0600-00004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a:extLst>
            <a:ext uri="{FF2B5EF4-FFF2-40B4-BE49-F238E27FC236}">
              <a16:creationId xmlns:a16="http://schemas.microsoft.com/office/drawing/2014/main" id="{00000000-0008-0000-0600-00004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a:extLst>
            <a:ext uri="{FF2B5EF4-FFF2-40B4-BE49-F238E27FC236}">
              <a16:creationId xmlns:a16="http://schemas.microsoft.com/office/drawing/2014/main" id="{00000000-0008-0000-0600-00004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a:extLst>
            <a:ext uri="{FF2B5EF4-FFF2-40B4-BE49-F238E27FC236}">
              <a16:creationId xmlns:a16="http://schemas.microsoft.com/office/drawing/2014/main" id="{00000000-0008-0000-0600-00004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a:extLst>
            <a:ext uri="{FF2B5EF4-FFF2-40B4-BE49-F238E27FC236}">
              <a16:creationId xmlns:a16="http://schemas.microsoft.com/office/drawing/2014/main" id="{00000000-0008-0000-0600-00004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a:extLst>
            <a:ext uri="{FF2B5EF4-FFF2-40B4-BE49-F238E27FC236}">
              <a16:creationId xmlns:a16="http://schemas.microsoft.com/office/drawing/2014/main" id="{00000000-0008-0000-0600-00004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a:extLst>
            <a:ext uri="{FF2B5EF4-FFF2-40B4-BE49-F238E27FC236}">
              <a16:creationId xmlns:a16="http://schemas.microsoft.com/office/drawing/2014/main" id="{00000000-0008-0000-0600-00004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a:extLst>
            <a:ext uri="{FF2B5EF4-FFF2-40B4-BE49-F238E27FC236}">
              <a16:creationId xmlns:a16="http://schemas.microsoft.com/office/drawing/2014/main" id="{00000000-0008-0000-0600-00004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a:extLst>
            <a:ext uri="{FF2B5EF4-FFF2-40B4-BE49-F238E27FC236}">
              <a16:creationId xmlns:a16="http://schemas.microsoft.com/office/drawing/2014/main" id="{00000000-0008-0000-0600-00004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a:extLst>
            <a:ext uri="{FF2B5EF4-FFF2-40B4-BE49-F238E27FC236}">
              <a16:creationId xmlns:a16="http://schemas.microsoft.com/office/drawing/2014/main" id="{00000000-0008-0000-0600-00004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a:extLst>
            <a:ext uri="{FF2B5EF4-FFF2-40B4-BE49-F238E27FC236}">
              <a16:creationId xmlns:a16="http://schemas.microsoft.com/office/drawing/2014/main" id="{00000000-0008-0000-0600-00004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a:extLst>
            <a:ext uri="{FF2B5EF4-FFF2-40B4-BE49-F238E27FC236}">
              <a16:creationId xmlns:a16="http://schemas.microsoft.com/office/drawing/2014/main" id="{00000000-0008-0000-0600-00004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a:extLst>
            <a:ext uri="{FF2B5EF4-FFF2-40B4-BE49-F238E27FC236}">
              <a16:creationId xmlns:a16="http://schemas.microsoft.com/office/drawing/2014/main" id="{00000000-0008-0000-0600-00004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a:extLst>
            <a:ext uri="{FF2B5EF4-FFF2-40B4-BE49-F238E27FC236}">
              <a16:creationId xmlns:a16="http://schemas.microsoft.com/office/drawing/2014/main" id="{00000000-0008-0000-0600-00005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a:extLst>
            <a:ext uri="{FF2B5EF4-FFF2-40B4-BE49-F238E27FC236}">
              <a16:creationId xmlns:a16="http://schemas.microsoft.com/office/drawing/2014/main" id="{00000000-0008-0000-0600-00005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a:extLst>
            <a:ext uri="{FF2B5EF4-FFF2-40B4-BE49-F238E27FC236}">
              <a16:creationId xmlns:a16="http://schemas.microsoft.com/office/drawing/2014/main" id="{00000000-0008-0000-0600-00005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a:extLst>
            <a:ext uri="{FF2B5EF4-FFF2-40B4-BE49-F238E27FC236}">
              <a16:creationId xmlns:a16="http://schemas.microsoft.com/office/drawing/2014/main" id="{00000000-0008-0000-0600-00005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a:extLst>
            <a:ext uri="{FF2B5EF4-FFF2-40B4-BE49-F238E27FC236}">
              <a16:creationId xmlns:a16="http://schemas.microsoft.com/office/drawing/2014/main" id="{00000000-0008-0000-0600-00005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a:extLst>
            <a:ext uri="{FF2B5EF4-FFF2-40B4-BE49-F238E27FC236}">
              <a16:creationId xmlns:a16="http://schemas.microsoft.com/office/drawing/2014/main" id="{00000000-0008-0000-0600-00005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a:extLst>
            <a:ext uri="{FF2B5EF4-FFF2-40B4-BE49-F238E27FC236}">
              <a16:creationId xmlns:a16="http://schemas.microsoft.com/office/drawing/2014/main" id="{00000000-0008-0000-0600-00005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a:extLst>
            <a:ext uri="{FF2B5EF4-FFF2-40B4-BE49-F238E27FC236}">
              <a16:creationId xmlns:a16="http://schemas.microsoft.com/office/drawing/2014/main" id="{00000000-0008-0000-0600-00005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a:extLst>
            <a:ext uri="{FF2B5EF4-FFF2-40B4-BE49-F238E27FC236}">
              <a16:creationId xmlns:a16="http://schemas.microsoft.com/office/drawing/2014/main" id="{00000000-0008-0000-0600-00005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a:extLst>
            <a:ext uri="{FF2B5EF4-FFF2-40B4-BE49-F238E27FC236}">
              <a16:creationId xmlns:a16="http://schemas.microsoft.com/office/drawing/2014/main" id="{00000000-0008-0000-0600-00005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a:extLst>
            <a:ext uri="{FF2B5EF4-FFF2-40B4-BE49-F238E27FC236}">
              <a16:creationId xmlns:a16="http://schemas.microsoft.com/office/drawing/2014/main" id="{00000000-0008-0000-0600-00005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a:extLst>
            <a:ext uri="{FF2B5EF4-FFF2-40B4-BE49-F238E27FC236}">
              <a16:creationId xmlns:a16="http://schemas.microsoft.com/office/drawing/2014/main" id="{00000000-0008-0000-0600-00005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a:extLst>
            <a:ext uri="{FF2B5EF4-FFF2-40B4-BE49-F238E27FC236}">
              <a16:creationId xmlns:a16="http://schemas.microsoft.com/office/drawing/2014/main" id="{00000000-0008-0000-0600-00005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a:extLst>
            <a:ext uri="{FF2B5EF4-FFF2-40B4-BE49-F238E27FC236}">
              <a16:creationId xmlns:a16="http://schemas.microsoft.com/office/drawing/2014/main" id="{00000000-0008-0000-0600-00005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a:extLst>
            <a:ext uri="{FF2B5EF4-FFF2-40B4-BE49-F238E27FC236}">
              <a16:creationId xmlns:a16="http://schemas.microsoft.com/office/drawing/2014/main" id="{00000000-0008-0000-0600-00005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a:extLst>
            <a:ext uri="{FF2B5EF4-FFF2-40B4-BE49-F238E27FC236}">
              <a16:creationId xmlns:a16="http://schemas.microsoft.com/office/drawing/2014/main" id="{00000000-0008-0000-0600-00005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a:extLst>
            <a:ext uri="{FF2B5EF4-FFF2-40B4-BE49-F238E27FC236}">
              <a16:creationId xmlns:a16="http://schemas.microsoft.com/office/drawing/2014/main" id="{00000000-0008-0000-0600-00006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a:extLst>
            <a:ext uri="{FF2B5EF4-FFF2-40B4-BE49-F238E27FC236}">
              <a16:creationId xmlns:a16="http://schemas.microsoft.com/office/drawing/2014/main" id="{00000000-0008-0000-0600-00006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a:extLst>
            <a:ext uri="{FF2B5EF4-FFF2-40B4-BE49-F238E27FC236}">
              <a16:creationId xmlns:a16="http://schemas.microsoft.com/office/drawing/2014/main" id="{00000000-0008-0000-0600-00006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a:extLst>
            <a:ext uri="{FF2B5EF4-FFF2-40B4-BE49-F238E27FC236}">
              <a16:creationId xmlns:a16="http://schemas.microsoft.com/office/drawing/2014/main" id="{00000000-0008-0000-0600-00006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a:extLst>
            <a:ext uri="{FF2B5EF4-FFF2-40B4-BE49-F238E27FC236}">
              <a16:creationId xmlns:a16="http://schemas.microsoft.com/office/drawing/2014/main" id="{00000000-0008-0000-0600-00006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a:extLst>
            <a:ext uri="{FF2B5EF4-FFF2-40B4-BE49-F238E27FC236}">
              <a16:creationId xmlns:a16="http://schemas.microsoft.com/office/drawing/2014/main" id="{00000000-0008-0000-0600-00006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a:extLst>
            <a:ext uri="{FF2B5EF4-FFF2-40B4-BE49-F238E27FC236}">
              <a16:creationId xmlns:a16="http://schemas.microsoft.com/office/drawing/2014/main" id="{00000000-0008-0000-0600-00006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a:extLst>
            <a:ext uri="{FF2B5EF4-FFF2-40B4-BE49-F238E27FC236}">
              <a16:creationId xmlns:a16="http://schemas.microsoft.com/office/drawing/2014/main" id="{00000000-0008-0000-0600-00006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a:extLst>
            <a:ext uri="{FF2B5EF4-FFF2-40B4-BE49-F238E27FC236}">
              <a16:creationId xmlns:a16="http://schemas.microsoft.com/office/drawing/2014/main" id="{00000000-0008-0000-0600-00006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a:extLst>
            <a:ext uri="{FF2B5EF4-FFF2-40B4-BE49-F238E27FC236}">
              <a16:creationId xmlns:a16="http://schemas.microsoft.com/office/drawing/2014/main" id="{00000000-0008-0000-0600-00006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a:extLst>
            <a:ext uri="{FF2B5EF4-FFF2-40B4-BE49-F238E27FC236}">
              <a16:creationId xmlns:a16="http://schemas.microsoft.com/office/drawing/2014/main" id="{00000000-0008-0000-0600-00006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a:extLst>
            <a:ext uri="{FF2B5EF4-FFF2-40B4-BE49-F238E27FC236}">
              <a16:creationId xmlns:a16="http://schemas.microsoft.com/office/drawing/2014/main" id="{00000000-0008-0000-0600-00006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a:extLst>
            <a:ext uri="{FF2B5EF4-FFF2-40B4-BE49-F238E27FC236}">
              <a16:creationId xmlns:a16="http://schemas.microsoft.com/office/drawing/2014/main" id="{00000000-0008-0000-0600-00006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a:extLst>
            <a:ext uri="{FF2B5EF4-FFF2-40B4-BE49-F238E27FC236}">
              <a16:creationId xmlns:a16="http://schemas.microsoft.com/office/drawing/2014/main" id="{00000000-0008-0000-0600-00006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a:extLst>
            <a:ext uri="{FF2B5EF4-FFF2-40B4-BE49-F238E27FC236}">
              <a16:creationId xmlns:a16="http://schemas.microsoft.com/office/drawing/2014/main" id="{00000000-0008-0000-0600-00006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a:extLst>
            <a:ext uri="{FF2B5EF4-FFF2-40B4-BE49-F238E27FC236}">
              <a16:creationId xmlns:a16="http://schemas.microsoft.com/office/drawing/2014/main" id="{00000000-0008-0000-0600-00006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a:extLst>
            <a:ext uri="{FF2B5EF4-FFF2-40B4-BE49-F238E27FC236}">
              <a16:creationId xmlns:a16="http://schemas.microsoft.com/office/drawing/2014/main" id="{00000000-0008-0000-0600-00007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a:extLst>
            <a:ext uri="{FF2B5EF4-FFF2-40B4-BE49-F238E27FC236}">
              <a16:creationId xmlns:a16="http://schemas.microsoft.com/office/drawing/2014/main" id="{00000000-0008-0000-0600-00007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a:extLst>
            <a:ext uri="{FF2B5EF4-FFF2-40B4-BE49-F238E27FC236}">
              <a16:creationId xmlns:a16="http://schemas.microsoft.com/office/drawing/2014/main" id="{00000000-0008-0000-0600-00007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a:extLst>
            <a:ext uri="{FF2B5EF4-FFF2-40B4-BE49-F238E27FC236}">
              <a16:creationId xmlns:a16="http://schemas.microsoft.com/office/drawing/2014/main" id="{00000000-0008-0000-0600-00007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a:extLst>
            <a:ext uri="{FF2B5EF4-FFF2-40B4-BE49-F238E27FC236}">
              <a16:creationId xmlns:a16="http://schemas.microsoft.com/office/drawing/2014/main" id="{00000000-0008-0000-0600-00007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a:extLst>
            <a:ext uri="{FF2B5EF4-FFF2-40B4-BE49-F238E27FC236}">
              <a16:creationId xmlns:a16="http://schemas.microsoft.com/office/drawing/2014/main" id="{00000000-0008-0000-0600-00007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a:extLst>
            <a:ext uri="{FF2B5EF4-FFF2-40B4-BE49-F238E27FC236}">
              <a16:creationId xmlns:a16="http://schemas.microsoft.com/office/drawing/2014/main" id="{00000000-0008-0000-0600-00007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a:extLst>
            <a:ext uri="{FF2B5EF4-FFF2-40B4-BE49-F238E27FC236}">
              <a16:creationId xmlns:a16="http://schemas.microsoft.com/office/drawing/2014/main" id="{00000000-0008-0000-0600-00007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a:extLst>
            <a:ext uri="{FF2B5EF4-FFF2-40B4-BE49-F238E27FC236}">
              <a16:creationId xmlns:a16="http://schemas.microsoft.com/office/drawing/2014/main" id="{00000000-0008-0000-0600-00007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a:extLst>
            <a:ext uri="{FF2B5EF4-FFF2-40B4-BE49-F238E27FC236}">
              <a16:creationId xmlns:a16="http://schemas.microsoft.com/office/drawing/2014/main" id="{00000000-0008-0000-0600-00007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a:extLst>
            <a:ext uri="{FF2B5EF4-FFF2-40B4-BE49-F238E27FC236}">
              <a16:creationId xmlns:a16="http://schemas.microsoft.com/office/drawing/2014/main" id="{00000000-0008-0000-0600-00007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a:extLst>
            <a:ext uri="{FF2B5EF4-FFF2-40B4-BE49-F238E27FC236}">
              <a16:creationId xmlns:a16="http://schemas.microsoft.com/office/drawing/2014/main" id="{00000000-0008-0000-0600-00007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a:extLst>
            <a:ext uri="{FF2B5EF4-FFF2-40B4-BE49-F238E27FC236}">
              <a16:creationId xmlns:a16="http://schemas.microsoft.com/office/drawing/2014/main" id="{00000000-0008-0000-0600-00007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a:extLst>
            <a:ext uri="{FF2B5EF4-FFF2-40B4-BE49-F238E27FC236}">
              <a16:creationId xmlns:a16="http://schemas.microsoft.com/office/drawing/2014/main" id="{00000000-0008-0000-0600-00007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a:extLst>
            <a:ext uri="{FF2B5EF4-FFF2-40B4-BE49-F238E27FC236}">
              <a16:creationId xmlns:a16="http://schemas.microsoft.com/office/drawing/2014/main" id="{00000000-0008-0000-0600-00007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a:extLst>
            <a:ext uri="{FF2B5EF4-FFF2-40B4-BE49-F238E27FC236}">
              <a16:creationId xmlns:a16="http://schemas.microsoft.com/office/drawing/2014/main" id="{00000000-0008-0000-0600-00007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a:extLst>
            <a:ext uri="{FF2B5EF4-FFF2-40B4-BE49-F238E27FC236}">
              <a16:creationId xmlns:a16="http://schemas.microsoft.com/office/drawing/2014/main" id="{00000000-0008-0000-0600-00008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a:extLst>
            <a:ext uri="{FF2B5EF4-FFF2-40B4-BE49-F238E27FC236}">
              <a16:creationId xmlns:a16="http://schemas.microsoft.com/office/drawing/2014/main" id="{00000000-0008-0000-0600-00008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a:extLst>
            <a:ext uri="{FF2B5EF4-FFF2-40B4-BE49-F238E27FC236}">
              <a16:creationId xmlns:a16="http://schemas.microsoft.com/office/drawing/2014/main" id="{00000000-0008-0000-0600-00008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a:extLst>
            <a:ext uri="{FF2B5EF4-FFF2-40B4-BE49-F238E27FC236}">
              <a16:creationId xmlns:a16="http://schemas.microsoft.com/office/drawing/2014/main" id="{00000000-0008-0000-0600-00008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a:extLst>
            <a:ext uri="{FF2B5EF4-FFF2-40B4-BE49-F238E27FC236}">
              <a16:creationId xmlns:a16="http://schemas.microsoft.com/office/drawing/2014/main" id="{00000000-0008-0000-0600-00008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a:extLst>
            <a:ext uri="{FF2B5EF4-FFF2-40B4-BE49-F238E27FC236}">
              <a16:creationId xmlns:a16="http://schemas.microsoft.com/office/drawing/2014/main" id="{00000000-0008-0000-0600-00008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a:extLst>
            <a:ext uri="{FF2B5EF4-FFF2-40B4-BE49-F238E27FC236}">
              <a16:creationId xmlns:a16="http://schemas.microsoft.com/office/drawing/2014/main" id="{00000000-0008-0000-0600-00008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a:extLst>
            <a:ext uri="{FF2B5EF4-FFF2-40B4-BE49-F238E27FC236}">
              <a16:creationId xmlns:a16="http://schemas.microsoft.com/office/drawing/2014/main" id="{00000000-0008-0000-0600-00008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a:extLst>
            <a:ext uri="{FF2B5EF4-FFF2-40B4-BE49-F238E27FC236}">
              <a16:creationId xmlns:a16="http://schemas.microsoft.com/office/drawing/2014/main" id="{00000000-0008-0000-0600-00008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a:extLst>
            <a:ext uri="{FF2B5EF4-FFF2-40B4-BE49-F238E27FC236}">
              <a16:creationId xmlns:a16="http://schemas.microsoft.com/office/drawing/2014/main" id="{00000000-0008-0000-0600-00008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a:extLst>
            <a:ext uri="{FF2B5EF4-FFF2-40B4-BE49-F238E27FC236}">
              <a16:creationId xmlns:a16="http://schemas.microsoft.com/office/drawing/2014/main" id="{00000000-0008-0000-0600-00008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a:extLst>
            <a:ext uri="{FF2B5EF4-FFF2-40B4-BE49-F238E27FC236}">
              <a16:creationId xmlns:a16="http://schemas.microsoft.com/office/drawing/2014/main" id="{00000000-0008-0000-0600-00008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a:extLst>
            <a:ext uri="{FF2B5EF4-FFF2-40B4-BE49-F238E27FC236}">
              <a16:creationId xmlns:a16="http://schemas.microsoft.com/office/drawing/2014/main" id="{00000000-0008-0000-0600-00008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a:extLst>
            <a:ext uri="{FF2B5EF4-FFF2-40B4-BE49-F238E27FC236}">
              <a16:creationId xmlns:a16="http://schemas.microsoft.com/office/drawing/2014/main" id="{00000000-0008-0000-0600-00008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a:extLst>
            <a:ext uri="{FF2B5EF4-FFF2-40B4-BE49-F238E27FC236}">
              <a16:creationId xmlns:a16="http://schemas.microsoft.com/office/drawing/2014/main" id="{00000000-0008-0000-0600-00008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a:extLst>
            <a:ext uri="{FF2B5EF4-FFF2-40B4-BE49-F238E27FC236}">
              <a16:creationId xmlns:a16="http://schemas.microsoft.com/office/drawing/2014/main" id="{00000000-0008-0000-0600-00008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a:extLst>
            <a:ext uri="{FF2B5EF4-FFF2-40B4-BE49-F238E27FC236}">
              <a16:creationId xmlns:a16="http://schemas.microsoft.com/office/drawing/2014/main" id="{00000000-0008-0000-0600-00009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a:extLst>
            <a:ext uri="{FF2B5EF4-FFF2-40B4-BE49-F238E27FC236}">
              <a16:creationId xmlns:a16="http://schemas.microsoft.com/office/drawing/2014/main" id="{00000000-0008-0000-0600-00009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a:extLst>
            <a:ext uri="{FF2B5EF4-FFF2-40B4-BE49-F238E27FC236}">
              <a16:creationId xmlns:a16="http://schemas.microsoft.com/office/drawing/2014/main" id="{00000000-0008-0000-0600-00009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a:extLst>
            <a:ext uri="{FF2B5EF4-FFF2-40B4-BE49-F238E27FC236}">
              <a16:creationId xmlns:a16="http://schemas.microsoft.com/office/drawing/2014/main" id="{00000000-0008-0000-0600-00009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a:extLst>
            <a:ext uri="{FF2B5EF4-FFF2-40B4-BE49-F238E27FC236}">
              <a16:creationId xmlns:a16="http://schemas.microsoft.com/office/drawing/2014/main" id="{00000000-0008-0000-0600-00009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a:extLst>
            <a:ext uri="{FF2B5EF4-FFF2-40B4-BE49-F238E27FC236}">
              <a16:creationId xmlns:a16="http://schemas.microsoft.com/office/drawing/2014/main" id="{00000000-0008-0000-0600-00009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a:extLst>
            <a:ext uri="{FF2B5EF4-FFF2-40B4-BE49-F238E27FC236}">
              <a16:creationId xmlns:a16="http://schemas.microsoft.com/office/drawing/2014/main" id="{00000000-0008-0000-0600-00009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a:extLst>
            <a:ext uri="{FF2B5EF4-FFF2-40B4-BE49-F238E27FC236}">
              <a16:creationId xmlns:a16="http://schemas.microsoft.com/office/drawing/2014/main" id="{00000000-0008-0000-0600-00009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a:extLst>
            <a:ext uri="{FF2B5EF4-FFF2-40B4-BE49-F238E27FC236}">
              <a16:creationId xmlns:a16="http://schemas.microsoft.com/office/drawing/2014/main" id="{00000000-0008-0000-0600-00009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a:extLst>
            <a:ext uri="{FF2B5EF4-FFF2-40B4-BE49-F238E27FC236}">
              <a16:creationId xmlns:a16="http://schemas.microsoft.com/office/drawing/2014/main" id="{00000000-0008-0000-0600-00009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a:extLst>
            <a:ext uri="{FF2B5EF4-FFF2-40B4-BE49-F238E27FC236}">
              <a16:creationId xmlns:a16="http://schemas.microsoft.com/office/drawing/2014/main" id="{00000000-0008-0000-0600-00009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a:extLst>
            <a:ext uri="{FF2B5EF4-FFF2-40B4-BE49-F238E27FC236}">
              <a16:creationId xmlns:a16="http://schemas.microsoft.com/office/drawing/2014/main" id="{00000000-0008-0000-0600-00009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a:extLst>
            <a:ext uri="{FF2B5EF4-FFF2-40B4-BE49-F238E27FC236}">
              <a16:creationId xmlns:a16="http://schemas.microsoft.com/office/drawing/2014/main" id="{00000000-0008-0000-0600-00009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a:extLst>
            <a:ext uri="{FF2B5EF4-FFF2-40B4-BE49-F238E27FC236}">
              <a16:creationId xmlns:a16="http://schemas.microsoft.com/office/drawing/2014/main" id="{00000000-0008-0000-0600-00009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a:extLst>
            <a:ext uri="{FF2B5EF4-FFF2-40B4-BE49-F238E27FC236}">
              <a16:creationId xmlns:a16="http://schemas.microsoft.com/office/drawing/2014/main" id="{00000000-0008-0000-0600-00009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a:extLst>
            <a:ext uri="{FF2B5EF4-FFF2-40B4-BE49-F238E27FC236}">
              <a16:creationId xmlns:a16="http://schemas.microsoft.com/office/drawing/2014/main" id="{00000000-0008-0000-0600-00009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a:extLst>
            <a:ext uri="{FF2B5EF4-FFF2-40B4-BE49-F238E27FC236}">
              <a16:creationId xmlns:a16="http://schemas.microsoft.com/office/drawing/2014/main" id="{00000000-0008-0000-0600-0000A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a:extLst>
            <a:ext uri="{FF2B5EF4-FFF2-40B4-BE49-F238E27FC236}">
              <a16:creationId xmlns:a16="http://schemas.microsoft.com/office/drawing/2014/main" id="{00000000-0008-0000-0600-0000A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a:extLst>
            <a:ext uri="{FF2B5EF4-FFF2-40B4-BE49-F238E27FC236}">
              <a16:creationId xmlns:a16="http://schemas.microsoft.com/office/drawing/2014/main" id="{00000000-0008-0000-0600-0000A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a:extLst>
            <a:ext uri="{FF2B5EF4-FFF2-40B4-BE49-F238E27FC236}">
              <a16:creationId xmlns:a16="http://schemas.microsoft.com/office/drawing/2014/main" id="{00000000-0008-0000-0600-0000A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a:extLst>
            <a:ext uri="{FF2B5EF4-FFF2-40B4-BE49-F238E27FC236}">
              <a16:creationId xmlns:a16="http://schemas.microsoft.com/office/drawing/2014/main" id="{00000000-0008-0000-0600-0000A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a:extLst>
            <a:ext uri="{FF2B5EF4-FFF2-40B4-BE49-F238E27FC236}">
              <a16:creationId xmlns:a16="http://schemas.microsoft.com/office/drawing/2014/main" id="{00000000-0008-0000-0600-0000A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a:extLst>
            <a:ext uri="{FF2B5EF4-FFF2-40B4-BE49-F238E27FC236}">
              <a16:creationId xmlns:a16="http://schemas.microsoft.com/office/drawing/2014/main" id="{00000000-0008-0000-0600-0000A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a:extLst>
            <a:ext uri="{FF2B5EF4-FFF2-40B4-BE49-F238E27FC236}">
              <a16:creationId xmlns:a16="http://schemas.microsoft.com/office/drawing/2014/main" id="{00000000-0008-0000-0600-0000A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a:extLst>
            <a:ext uri="{FF2B5EF4-FFF2-40B4-BE49-F238E27FC236}">
              <a16:creationId xmlns:a16="http://schemas.microsoft.com/office/drawing/2014/main" id="{00000000-0008-0000-0600-0000A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a:extLst>
            <a:ext uri="{FF2B5EF4-FFF2-40B4-BE49-F238E27FC236}">
              <a16:creationId xmlns:a16="http://schemas.microsoft.com/office/drawing/2014/main" id="{00000000-0008-0000-0600-0000A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a:extLst>
            <a:ext uri="{FF2B5EF4-FFF2-40B4-BE49-F238E27FC236}">
              <a16:creationId xmlns:a16="http://schemas.microsoft.com/office/drawing/2014/main" id="{00000000-0008-0000-0600-0000A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a:extLst>
            <a:ext uri="{FF2B5EF4-FFF2-40B4-BE49-F238E27FC236}">
              <a16:creationId xmlns:a16="http://schemas.microsoft.com/office/drawing/2014/main" id="{00000000-0008-0000-0600-0000A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a:extLst>
            <a:ext uri="{FF2B5EF4-FFF2-40B4-BE49-F238E27FC236}">
              <a16:creationId xmlns:a16="http://schemas.microsoft.com/office/drawing/2014/main" id="{00000000-0008-0000-0600-0000A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a:extLst>
            <a:ext uri="{FF2B5EF4-FFF2-40B4-BE49-F238E27FC236}">
              <a16:creationId xmlns:a16="http://schemas.microsoft.com/office/drawing/2014/main" id="{00000000-0008-0000-0600-0000A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a:extLst>
            <a:ext uri="{FF2B5EF4-FFF2-40B4-BE49-F238E27FC236}">
              <a16:creationId xmlns:a16="http://schemas.microsoft.com/office/drawing/2014/main" id="{00000000-0008-0000-0600-0000A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a:extLst>
            <a:ext uri="{FF2B5EF4-FFF2-40B4-BE49-F238E27FC236}">
              <a16:creationId xmlns:a16="http://schemas.microsoft.com/office/drawing/2014/main" id="{00000000-0008-0000-0600-0000A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a:extLst>
            <a:ext uri="{FF2B5EF4-FFF2-40B4-BE49-F238E27FC236}">
              <a16:creationId xmlns:a16="http://schemas.microsoft.com/office/drawing/2014/main" id="{00000000-0008-0000-0600-0000B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a:extLst>
            <a:ext uri="{FF2B5EF4-FFF2-40B4-BE49-F238E27FC236}">
              <a16:creationId xmlns:a16="http://schemas.microsoft.com/office/drawing/2014/main" id="{00000000-0008-0000-0600-0000B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a:extLst>
            <a:ext uri="{FF2B5EF4-FFF2-40B4-BE49-F238E27FC236}">
              <a16:creationId xmlns:a16="http://schemas.microsoft.com/office/drawing/2014/main" id="{00000000-0008-0000-0600-0000B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a:extLst>
            <a:ext uri="{FF2B5EF4-FFF2-40B4-BE49-F238E27FC236}">
              <a16:creationId xmlns:a16="http://schemas.microsoft.com/office/drawing/2014/main" id="{00000000-0008-0000-0600-0000B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a:extLst>
            <a:ext uri="{FF2B5EF4-FFF2-40B4-BE49-F238E27FC236}">
              <a16:creationId xmlns:a16="http://schemas.microsoft.com/office/drawing/2014/main" id="{00000000-0008-0000-0600-0000B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a:extLst>
            <a:ext uri="{FF2B5EF4-FFF2-40B4-BE49-F238E27FC236}">
              <a16:creationId xmlns:a16="http://schemas.microsoft.com/office/drawing/2014/main" id="{00000000-0008-0000-0600-0000B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a:extLst>
            <a:ext uri="{FF2B5EF4-FFF2-40B4-BE49-F238E27FC236}">
              <a16:creationId xmlns:a16="http://schemas.microsoft.com/office/drawing/2014/main" id="{00000000-0008-0000-0600-0000B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a:extLst>
            <a:ext uri="{FF2B5EF4-FFF2-40B4-BE49-F238E27FC236}">
              <a16:creationId xmlns:a16="http://schemas.microsoft.com/office/drawing/2014/main" id="{00000000-0008-0000-0600-0000B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a:extLst>
            <a:ext uri="{FF2B5EF4-FFF2-40B4-BE49-F238E27FC236}">
              <a16:creationId xmlns:a16="http://schemas.microsoft.com/office/drawing/2014/main" id="{00000000-0008-0000-0600-0000B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a:extLst>
            <a:ext uri="{FF2B5EF4-FFF2-40B4-BE49-F238E27FC236}">
              <a16:creationId xmlns:a16="http://schemas.microsoft.com/office/drawing/2014/main" id="{00000000-0008-0000-0600-0000B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a:extLst>
            <a:ext uri="{FF2B5EF4-FFF2-40B4-BE49-F238E27FC236}">
              <a16:creationId xmlns:a16="http://schemas.microsoft.com/office/drawing/2014/main" id="{00000000-0008-0000-0600-0000B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a:extLst>
            <a:ext uri="{FF2B5EF4-FFF2-40B4-BE49-F238E27FC236}">
              <a16:creationId xmlns:a16="http://schemas.microsoft.com/office/drawing/2014/main" id="{00000000-0008-0000-0600-0000B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a:extLst>
            <a:ext uri="{FF2B5EF4-FFF2-40B4-BE49-F238E27FC236}">
              <a16:creationId xmlns:a16="http://schemas.microsoft.com/office/drawing/2014/main" id="{00000000-0008-0000-0600-0000B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a:extLst>
            <a:ext uri="{FF2B5EF4-FFF2-40B4-BE49-F238E27FC236}">
              <a16:creationId xmlns:a16="http://schemas.microsoft.com/office/drawing/2014/main" id="{00000000-0008-0000-0600-0000B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a:extLst>
            <a:ext uri="{FF2B5EF4-FFF2-40B4-BE49-F238E27FC236}">
              <a16:creationId xmlns:a16="http://schemas.microsoft.com/office/drawing/2014/main" id="{00000000-0008-0000-0600-0000B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a:extLst>
            <a:ext uri="{FF2B5EF4-FFF2-40B4-BE49-F238E27FC236}">
              <a16:creationId xmlns:a16="http://schemas.microsoft.com/office/drawing/2014/main" id="{00000000-0008-0000-0600-0000B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a:extLst>
            <a:ext uri="{FF2B5EF4-FFF2-40B4-BE49-F238E27FC236}">
              <a16:creationId xmlns:a16="http://schemas.microsoft.com/office/drawing/2014/main" id="{00000000-0008-0000-0600-0000C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a:extLst>
            <a:ext uri="{FF2B5EF4-FFF2-40B4-BE49-F238E27FC236}">
              <a16:creationId xmlns:a16="http://schemas.microsoft.com/office/drawing/2014/main" id="{00000000-0008-0000-0600-0000C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a:extLst>
            <a:ext uri="{FF2B5EF4-FFF2-40B4-BE49-F238E27FC236}">
              <a16:creationId xmlns:a16="http://schemas.microsoft.com/office/drawing/2014/main" id="{00000000-0008-0000-0600-0000C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a:extLst>
            <a:ext uri="{FF2B5EF4-FFF2-40B4-BE49-F238E27FC236}">
              <a16:creationId xmlns:a16="http://schemas.microsoft.com/office/drawing/2014/main" id="{00000000-0008-0000-0600-0000C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a:extLst>
            <a:ext uri="{FF2B5EF4-FFF2-40B4-BE49-F238E27FC236}">
              <a16:creationId xmlns:a16="http://schemas.microsoft.com/office/drawing/2014/main" id="{00000000-0008-0000-0600-0000C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a:extLst>
            <a:ext uri="{FF2B5EF4-FFF2-40B4-BE49-F238E27FC236}">
              <a16:creationId xmlns:a16="http://schemas.microsoft.com/office/drawing/2014/main" id="{00000000-0008-0000-0600-0000C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a:extLst>
            <a:ext uri="{FF2B5EF4-FFF2-40B4-BE49-F238E27FC236}">
              <a16:creationId xmlns:a16="http://schemas.microsoft.com/office/drawing/2014/main" id="{00000000-0008-0000-0600-0000C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a:extLst>
            <a:ext uri="{FF2B5EF4-FFF2-40B4-BE49-F238E27FC236}">
              <a16:creationId xmlns:a16="http://schemas.microsoft.com/office/drawing/2014/main" id="{00000000-0008-0000-0600-0000C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a:extLst>
            <a:ext uri="{FF2B5EF4-FFF2-40B4-BE49-F238E27FC236}">
              <a16:creationId xmlns:a16="http://schemas.microsoft.com/office/drawing/2014/main" id="{00000000-0008-0000-0600-0000C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a:extLst>
            <a:ext uri="{FF2B5EF4-FFF2-40B4-BE49-F238E27FC236}">
              <a16:creationId xmlns:a16="http://schemas.microsoft.com/office/drawing/2014/main" id="{00000000-0008-0000-0600-0000C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a:extLst>
            <a:ext uri="{FF2B5EF4-FFF2-40B4-BE49-F238E27FC236}">
              <a16:creationId xmlns:a16="http://schemas.microsoft.com/office/drawing/2014/main" id="{00000000-0008-0000-0600-0000C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a:extLst>
            <a:ext uri="{FF2B5EF4-FFF2-40B4-BE49-F238E27FC236}">
              <a16:creationId xmlns:a16="http://schemas.microsoft.com/office/drawing/2014/main" id="{00000000-0008-0000-0600-0000C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a:extLst>
            <a:ext uri="{FF2B5EF4-FFF2-40B4-BE49-F238E27FC236}">
              <a16:creationId xmlns:a16="http://schemas.microsoft.com/office/drawing/2014/main" id="{00000000-0008-0000-0600-0000C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a:extLst>
            <a:ext uri="{FF2B5EF4-FFF2-40B4-BE49-F238E27FC236}">
              <a16:creationId xmlns:a16="http://schemas.microsoft.com/office/drawing/2014/main" id="{00000000-0008-0000-0600-0000C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a:extLst>
            <a:ext uri="{FF2B5EF4-FFF2-40B4-BE49-F238E27FC236}">
              <a16:creationId xmlns:a16="http://schemas.microsoft.com/office/drawing/2014/main" id="{00000000-0008-0000-0600-0000C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a:extLst>
            <a:ext uri="{FF2B5EF4-FFF2-40B4-BE49-F238E27FC236}">
              <a16:creationId xmlns:a16="http://schemas.microsoft.com/office/drawing/2014/main" id="{00000000-0008-0000-0600-0000C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a:extLst>
            <a:ext uri="{FF2B5EF4-FFF2-40B4-BE49-F238E27FC236}">
              <a16:creationId xmlns:a16="http://schemas.microsoft.com/office/drawing/2014/main" id="{00000000-0008-0000-0600-0000D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a:extLst>
            <a:ext uri="{FF2B5EF4-FFF2-40B4-BE49-F238E27FC236}">
              <a16:creationId xmlns:a16="http://schemas.microsoft.com/office/drawing/2014/main" id="{00000000-0008-0000-0600-0000D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a:extLst>
            <a:ext uri="{FF2B5EF4-FFF2-40B4-BE49-F238E27FC236}">
              <a16:creationId xmlns:a16="http://schemas.microsoft.com/office/drawing/2014/main" id="{00000000-0008-0000-0600-0000D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a:extLst>
            <a:ext uri="{FF2B5EF4-FFF2-40B4-BE49-F238E27FC236}">
              <a16:creationId xmlns:a16="http://schemas.microsoft.com/office/drawing/2014/main" id="{00000000-0008-0000-0600-0000D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a:extLst>
            <a:ext uri="{FF2B5EF4-FFF2-40B4-BE49-F238E27FC236}">
              <a16:creationId xmlns:a16="http://schemas.microsoft.com/office/drawing/2014/main" id="{00000000-0008-0000-0600-0000D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a:extLst>
            <a:ext uri="{FF2B5EF4-FFF2-40B4-BE49-F238E27FC236}">
              <a16:creationId xmlns:a16="http://schemas.microsoft.com/office/drawing/2014/main" id="{00000000-0008-0000-0600-0000D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a:extLst>
            <a:ext uri="{FF2B5EF4-FFF2-40B4-BE49-F238E27FC236}">
              <a16:creationId xmlns:a16="http://schemas.microsoft.com/office/drawing/2014/main" id="{00000000-0008-0000-0600-0000D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a:extLst>
            <a:ext uri="{FF2B5EF4-FFF2-40B4-BE49-F238E27FC236}">
              <a16:creationId xmlns:a16="http://schemas.microsoft.com/office/drawing/2014/main" id="{00000000-0008-0000-0600-0000D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a:extLst>
            <a:ext uri="{FF2B5EF4-FFF2-40B4-BE49-F238E27FC236}">
              <a16:creationId xmlns:a16="http://schemas.microsoft.com/office/drawing/2014/main" id="{00000000-0008-0000-0600-0000D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a:extLst>
            <a:ext uri="{FF2B5EF4-FFF2-40B4-BE49-F238E27FC236}">
              <a16:creationId xmlns:a16="http://schemas.microsoft.com/office/drawing/2014/main" id="{00000000-0008-0000-0600-0000D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a:extLst>
            <a:ext uri="{FF2B5EF4-FFF2-40B4-BE49-F238E27FC236}">
              <a16:creationId xmlns:a16="http://schemas.microsoft.com/office/drawing/2014/main" id="{00000000-0008-0000-0600-0000D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a:extLst>
            <a:ext uri="{FF2B5EF4-FFF2-40B4-BE49-F238E27FC236}">
              <a16:creationId xmlns:a16="http://schemas.microsoft.com/office/drawing/2014/main" id="{00000000-0008-0000-0600-0000D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a:extLst>
            <a:ext uri="{FF2B5EF4-FFF2-40B4-BE49-F238E27FC236}">
              <a16:creationId xmlns:a16="http://schemas.microsoft.com/office/drawing/2014/main" id="{00000000-0008-0000-0600-0000D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a:extLst>
            <a:ext uri="{FF2B5EF4-FFF2-40B4-BE49-F238E27FC236}">
              <a16:creationId xmlns:a16="http://schemas.microsoft.com/office/drawing/2014/main" id="{00000000-0008-0000-0600-0000D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a:extLst>
            <a:ext uri="{FF2B5EF4-FFF2-40B4-BE49-F238E27FC236}">
              <a16:creationId xmlns:a16="http://schemas.microsoft.com/office/drawing/2014/main" id="{00000000-0008-0000-0600-0000D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a:extLst>
            <a:ext uri="{FF2B5EF4-FFF2-40B4-BE49-F238E27FC236}">
              <a16:creationId xmlns:a16="http://schemas.microsoft.com/office/drawing/2014/main" id="{00000000-0008-0000-0600-0000D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a:extLst>
            <a:ext uri="{FF2B5EF4-FFF2-40B4-BE49-F238E27FC236}">
              <a16:creationId xmlns:a16="http://schemas.microsoft.com/office/drawing/2014/main" id="{00000000-0008-0000-0600-0000E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a:extLst>
            <a:ext uri="{FF2B5EF4-FFF2-40B4-BE49-F238E27FC236}">
              <a16:creationId xmlns:a16="http://schemas.microsoft.com/office/drawing/2014/main" id="{00000000-0008-0000-0600-0000E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a:extLst>
            <a:ext uri="{FF2B5EF4-FFF2-40B4-BE49-F238E27FC236}">
              <a16:creationId xmlns:a16="http://schemas.microsoft.com/office/drawing/2014/main" id="{00000000-0008-0000-0600-0000E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a:extLst>
            <a:ext uri="{FF2B5EF4-FFF2-40B4-BE49-F238E27FC236}">
              <a16:creationId xmlns:a16="http://schemas.microsoft.com/office/drawing/2014/main" id="{00000000-0008-0000-0600-0000E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a:extLst>
            <a:ext uri="{FF2B5EF4-FFF2-40B4-BE49-F238E27FC236}">
              <a16:creationId xmlns:a16="http://schemas.microsoft.com/office/drawing/2014/main" id="{00000000-0008-0000-0600-0000E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a:extLst>
            <a:ext uri="{FF2B5EF4-FFF2-40B4-BE49-F238E27FC236}">
              <a16:creationId xmlns:a16="http://schemas.microsoft.com/office/drawing/2014/main" id="{00000000-0008-0000-0600-0000E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a:extLst>
            <a:ext uri="{FF2B5EF4-FFF2-40B4-BE49-F238E27FC236}">
              <a16:creationId xmlns:a16="http://schemas.microsoft.com/office/drawing/2014/main" id="{00000000-0008-0000-0600-0000E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a:extLst>
            <a:ext uri="{FF2B5EF4-FFF2-40B4-BE49-F238E27FC236}">
              <a16:creationId xmlns:a16="http://schemas.microsoft.com/office/drawing/2014/main" id="{00000000-0008-0000-0600-0000E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a:extLst>
            <a:ext uri="{FF2B5EF4-FFF2-40B4-BE49-F238E27FC236}">
              <a16:creationId xmlns:a16="http://schemas.microsoft.com/office/drawing/2014/main" id="{00000000-0008-0000-0600-0000E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a:extLst>
            <a:ext uri="{FF2B5EF4-FFF2-40B4-BE49-F238E27FC236}">
              <a16:creationId xmlns:a16="http://schemas.microsoft.com/office/drawing/2014/main" id="{00000000-0008-0000-0600-0000E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a:extLst>
            <a:ext uri="{FF2B5EF4-FFF2-40B4-BE49-F238E27FC236}">
              <a16:creationId xmlns:a16="http://schemas.microsoft.com/office/drawing/2014/main" id="{00000000-0008-0000-0600-0000E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a:extLst>
            <a:ext uri="{FF2B5EF4-FFF2-40B4-BE49-F238E27FC236}">
              <a16:creationId xmlns:a16="http://schemas.microsoft.com/office/drawing/2014/main" id="{00000000-0008-0000-0600-0000E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a:extLst>
            <a:ext uri="{FF2B5EF4-FFF2-40B4-BE49-F238E27FC236}">
              <a16:creationId xmlns:a16="http://schemas.microsoft.com/office/drawing/2014/main" id="{00000000-0008-0000-0600-0000E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a:extLst>
            <a:ext uri="{FF2B5EF4-FFF2-40B4-BE49-F238E27FC236}">
              <a16:creationId xmlns:a16="http://schemas.microsoft.com/office/drawing/2014/main" id="{00000000-0008-0000-0600-0000E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a:extLst>
            <a:ext uri="{FF2B5EF4-FFF2-40B4-BE49-F238E27FC236}">
              <a16:creationId xmlns:a16="http://schemas.microsoft.com/office/drawing/2014/main" id="{00000000-0008-0000-0600-0000E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a:extLst>
            <a:ext uri="{FF2B5EF4-FFF2-40B4-BE49-F238E27FC236}">
              <a16:creationId xmlns:a16="http://schemas.microsoft.com/office/drawing/2014/main" id="{00000000-0008-0000-0600-0000E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a:extLst>
            <a:ext uri="{FF2B5EF4-FFF2-40B4-BE49-F238E27FC236}">
              <a16:creationId xmlns:a16="http://schemas.microsoft.com/office/drawing/2014/main" id="{00000000-0008-0000-0600-0000F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a:extLst>
            <a:ext uri="{FF2B5EF4-FFF2-40B4-BE49-F238E27FC236}">
              <a16:creationId xmlns:a16="http://schemas.microsoft.com/office/drawing/2014/main" id="{00000000-0008-0000-0600-0000F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a:extLst>
            <a:ext uri="{FF2B5EF4-FFF2-40B4-BE49-F238E27FC236}">
              <a16:creationId xmlns:a16="http://schemas.microsoft.com/office/drawing/2014/main" id="{00000000-0008-0000-0600-0000F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a:extLst>
            <a:ext uri="{FF2B5EF4-FFF2-40B4-BE49-F238E27FC236}">
              <a16:creationId xmlns:a16="http://schemas.microsoft.com/office/drawing/2014/main" id="{00000000-0008-0000-0600-0000F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a:extLst>
            <a:ext uri="{FF2B5EF4-FFF2-40B4-BE49-F238E27FC236}">
              <a16:creationId xmlns:a16="http://schemas.microsoft.com/office/drawing/2014/main" id="{00000000-0008-0000-0600-0000F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a:extLst>
            <a:ext uri="{FF2B5EF4-FFF2-40B4-BE49-F238E27FC236}">
              <a16:creationId xmlns:a16="http://schemas.microsoft.com/office/drawing/2014/main" id="{00000000-0008-0000-0600-0000F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a:extLst>
            <a:ext uri="{FF2B5EF4-FFF2-40B4-BE49-F238E27FC236}">
              <a16:creationId xmlns:a16="http://schemas.microsoft.com/office/drawing/2014/main" id="{00000000-0008-0000-0600-0000F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a:extLst>
            <a:ext uri="{FF2B5EF4-FFF2-40B4-BE49-F238E27FC236}">
              <a16:creationId xmlns:a16="http://schemas.microsoft.com/office/drawing/2014/main" id="{00000000-0008-0000-0600-0000F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a:extLst>
            <a:ext uri="{FF2B5EF4-FFF2-40B4-BE49-F238E27FC236}">
              <a16:creationId xmlns:a16="http://schemas.microsoft.com/office/drawing/2014/main" id="{00000000-0008-0000-0600-0000F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a:extLst>
            <a:ext uri="{FF2B5EF4-FFF2-40B4-BE49-F238E27FC236}">
              <a16:creationId xmlns:a16="http://schemas.microsoft.com/office/drawing/2014/main" id="{00000000-0008-0000-0600-0000F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a:extLst>
            <a:ext uri="{FF2B5EF4-FFF2-40B4-BE49-F238E27FC236}">
              <a16:creationId xmlns:a16="http://schemas.microsoft.com/office/drawing/2014/main" id="{00000000-0008-0000-0600-0000F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a:extLst>
            <a:ext uri="{FF2B5EF4-FFF2-40B4-BE49-F238E27FC236}">
              <a16:creationId xmlns:a16="http://schemas.microsoft.com/office/drawing/2014/main" id="{00000000-0008-0000-0600-0000F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a:extLst>
            <a:ext uri="{FF2B5EF4-FFF2-40B4-BE49-F238E27FC236}">
              <a16:creationId xmlns:a16="http://schemas.microsoft.com/office/drawing/2014/main" id="{00000000-0008-0000-0600-0000F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a:extLst>
            <a:ext uri="{FF2B5EF4-FFF2-40B4-BE49-F238E27FC236}">
              <a16:creationId xmlns:a16="http://schemas.microsoft.com/office/drawing/2014/main" id="{00000000-0008-0000-0600-0000F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a:extLst>
            <a:ext uri="{FF2B5EF4-FFF2-40B4-BE49-F238E27FC236}">
              <a16:creationId xmlns:a16="http://schemas.microsoft.com/office/drawing/2014/main" id="{00000000-0008-0000-0600-0000F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a:extLst>
            <a:ext uri="{FF2B5EF4-FFF2-40B4-BE49-F238E27FC236}">
              <a16:creationId xmlns:a16="http://schemas.microsoft.com/office/drawing/2014/main" id="{00000000-0008-0000-0600-0000F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a:extLst>
            <a:ext uri="{FF2B5EF4-FFF2-40B4-BE49-F238E27FC236}">
              <a16:creationId xmlns:a16="http://schemas.microsoft.com/office/drawing/2014/main" id="{00000000-0008-0000-0600-00000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a:extLst>
            <a:ext uri="{FF2B5EF4-FFF2-40B4-BE49-F238E27FC236}">
              <a16:creationId xmlns:a16="http://schemas.microsoft.com/office/drawing/2014/main" id="{00000000-0008-0000-0600-00000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a:extLst>
            <a:ext uri="{FF2B5EF4-FFF2-40B4-BE49-F238E27FC236}">
              <a16:creationId xmlns:a16="http://schemas.microsoft.com/office/drawing/2014/main" id="{00000000-0008-0000-0600-00000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a:extLst>
            <a:ext uri="{FF2B5EF4-FFF2-40B4-BE49-F238E27FC236}">
              <a16:creationId xmlns:a16="http://schemas.microsoft.com/office/drawing/2014/main" id="{00000000-0008-0000-0600-00000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a:extLst>
            <a:ext uri="{FF2B5EF4-FFF2-40B4-BE49-F238E27FC236}">
              <a16:creationId xmlns:a16="http://schemas.microsoft.com/office/drawing/2014/main" id="{00000000-0008-0000-0600-00000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a:extLst>
            <a:ext uri="{FF2B5EF4-FFF2-40B4-BE49-F238E27FC236}">
              <a16:creationId xmlns:a16="http://schemas.microsoft.com/office/drawing/2014/main" id="{00000000-0008-0000-0600-00000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a:extLst>
            <a:ext uri="{FF2B5EF4-FFF2-40B4-BE49-F238E27FC236}">
              <a16:creationId xmlns:a16="http://schemas.microsoft.com/office/drawing/2014/main" id="{00000000-0008-0000-0600-00000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a:extLst>
            <a:ext uri="{FF2B5EF4-FFF2-40B4-BE49-F238E27FC236}">
              <a16:creationId xmlns:a16="http://schemas.microsoft.com/office/drawing/2014/main" id="{00000000-0008-0000-0600-00000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a:extLst>
            <a:ext uri="{FF2B5EF4-FFF2-40B4-BE49-F238E27FC236}">
              <a16:creationId xmlns:a16="http://schemas.microsoft.com/office/drawing/2014/main" id="{00000000-0008-0000-0600-00000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a:extLst>
            <a:ext uri="{FF2B5EF4-FFF2-40B4-BE49-F238E27FC236}">
              <a16:creationId xmlns:a16="http://schemas.microsoft.com/office/drawing/2014/main" id="{00000000-0008-0000-0600-00000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a:extLst>
            <a:ext uri="{FF2B5EF4-FFF2-40B4-BE49-F238E27FC236}">
              <a16:creationId xmlns:a16="http://schemas.microsoft.com/office/drawing/2014/main" id="{00000000-0008-0000-0600-00000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a:extLst>
            <a:ext uri="{FF2B5EF4-FFF2-40B4-BE49-F238E27FC236}">
              <a16:creationId xmlns:a16="http://schemas.microsoft.com/office/drawing/2014/main" id="{00000000-0008-0000-0600-00000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a:extLst>
            <a:ext uri="{FF2B5EF4-FFF2-40B4-BE49-F238E27FC236}">
              <a16:creationId xmlns:a16="http://schemas.microsoft.com/office/drawing/2014/main" id="{00000000-0008-0000-0600-00000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a:extLst>
            <a:ext uri="{FF2B5EF4-FFF2-40B4-BE49-F238E27FC236}">
              <a16:creationId xmlns:a16="http://schemas.microsoft.com/office/drawing/2014/main" id="{00000000-0008-0000-0600-00000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a:extLst>
            <a:ext uri="{FF2B5EF4-FFF2-40B4-BE49-F238E27FC236}">
              <a16:creationId xmlns:a16="http://schemas.microsoft.com/office/drawing/2014/main" id="{00000000-0008-0000-0600-00000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a:extLst>
            <a:ext uri="{FF2B5EF4-FFF2-40B4-BE49-F238E27FC236}">
              <a16:creationId xmlns:a16="http://schemas.microsoft.com/office/drawing/2014/main" id="{00000000-0008-0000-0600-00000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a:extLst>
            <a:ext uri="{FF2B5EF4-FFF2-40B4-BE49-F238E27FC236}">
              <a16:creationId xmlns:a16="http://schemas.microsoft.com/office/drawing/2014/main" id="{00000000-0008-0000-0600-00001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a:extLst>
            <a:ext uri="{FF2B5EF4-FFF2-40B4-BE49-F238E27FC236}">
              <a16:creationId xmlns:a16="http://schemas.microsoft.com/office/drawing/2014/main" id="{00000000-0008-0000-0600-00001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a:extLst>
            <a:ext uri="{FF2B5EF4-FFF2-40B4-BE49-F238E27FC236}">
              <a16:creationId xmlns:a16="http://schemas.microsoft.com/office/drawing/2014/main" id="{00000000-0008-0000-0600-00001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a:extLst>
            <a:ext uri="{FF2B5EF4-FFF2-40B4-BE49-F238E27FC236}">
              <a16:creationId xmlns:a16="http://schemas.microsoft.com/office/drawing/2014/main" id="{00000000-0008-0000-0600-00001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a:extLst>
            <a:ext uri="{FF2B5EF4-FFF2-40B4-BE49-F238E27FC236}">
              <a16:creationId xmlns:a16="http://schemas.microsoft.com/office/drawing/2014/main" id="{00000000-0008-0000-0600-00001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a:extLst>
            <a:ext uri="{FF2B5EF4-FFF2-40B4-BE49-F238E27FC236}">
              <a16:creationId xmlns:a16="http://schemas.microsoft.com/office/drawing/2014/main" id="{00000000-0008-0000-0600-00001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a:extLst>
            <a:ext uri="{FF2B5EF4-FFF2-40B4-BE49-F238E27FC236}">
              <a16:creationId xmlns:a16="http://schemas.microsoft.com/office/drawing/2014/main" id="{00000000-0008-0000-0600-00001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a:extLst>
            <a:ext uri="{FF2B5EF4-FFF2-40B4-BE49-F238E27FC236}">
              <a16:creationId xmlns:a16="http://schemas.microsoft.com/office/drawing/2014/main" id="{00000000-0008-0000-0600-00001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a:extLst>
            <a:ext uri="{FF2B5EF4-FFF2-40B4-BE49-F238E27FC236}">
              <a16:creationId xmlns:a16="http://schemas.microsoft.com/office/drawing/2014/main" id="{00000000-0008-0000-0600-00001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a:extLst>
            <a:ext uri="{FF2B5EF4-FFF2-40B4-BE49-F238E27FC236}">
              <a16:creationId xmlns:a16="http://schemas.microsoft.com/office/drawing/2014/main" id="{00000000-0008-0000-0600-00001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a:extLst>
            <a:ext uri="{FF2B5EF4-FFF2-40B4-BE49-F238E27FC236}">
              <a16:creationId xmlns:a16="http://schemas.microsoft.com/office/drawing/2014/main" id="{00000000-0008-0000-0600-00001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a:extLst>
            <a:ext uri="{FF2B5EF4-FFF2-40B4-BE49-F238E27FC236}">
              <a16:creationId xmlns:a16="http://schemas.microsoft.com/office/drawing/2014/main" id="{00000000-0008-0000-0600-00001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a:extLst>
            <a:ext uri="{FF2B5EF4-FFF2-40B4-BE49-F238E27FC236}">
              <a16:creationId xmlns:a16="http://schemas.microsoft.com/office/drawing/2014/main" id="{00000000-0008-0000-0600-00001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a:extLst>
            <a:ext uri="{FF2B5EF4-FFF2-40B4-BE49-F238E27FC236}">
              <a16:creationId xmlns:a16="http://schemas.microsoft.com/office/drawing/2014/main" id="{00000000-0008-0000-0600-00001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a:extLst>
            <a:ext uri="{FF2B5EF4-FFF2-40B4-BE49-F238E27FC236}">
              <a16:creationId xmlns:a16="http://schemas.microsoft.com/office/drawing/2014/main" id="{00000000-0008-0000-0600-00001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a:extLst>
            <a:ext uri="{FF2B5EF4-FFF2-40B4-BE49-F238E27FC236}">
              <a16:creationId xmlns:a16="http://schemas.microsoft.com/office/drawing/2014/main" id="{00000000-0008-0000-0600-00001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a:extLst>
            <a:ext uri="{FF2B5EF4-FFF2-40B4-BE49-F238E27FC236}">
              <a16:creationId xmlns:a16="http://schemas.microsoft.com/office/drawing/2014/main" id="{00000000-0008-0000-0600-00002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a:extLst>
            <a:ext uri="{FF2B5EF4-FFF2-40B4-BE49-F238E27FC236}">
              <a16:creationId xmlns:a16="http://schemas.microsoft.com/office/drawing/2014/main" id="{00000000-0008-0000-0600-00002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a:extLst>
            <a:ext uri="{FF2B5EF4-FFF2-40B4-BE49-F238E27FC236}">
              <a16:creationId xmlns:a16="http://schemas.microsoft.com/office/drawing/2014/main" id="{00000000-0008-0000-0600-00002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a:extLst>
            <a:ext uri="{FF2B5EF4-FFF2-40B4-BE49-F238E27FC236}">
              <a16:creationId xmlns:a16="http://schemas.microsoft.com/office/drawing/2014/main" id="{00000000-0008-0000-0600-00002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a:extLst>
            <a:ext uri="{FF2B5EF4-FFF2-40B4-BE49-F238E27FC236}">
              <a16:creationId xmlns:a16="http://schemas.microsoft.com/office/drawing/2014/main" id="{00000000-0008-0000-0600-00002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a:extLst>
            <a:ext uri="{FF2B5EF4-FFF2-40B4-BE49-F238E27FC236}">
              <a16:creationId xmlns:a16="http://schemas.microsoft.com/office/drawing/2014/main" id="{00000000-0008-0000-0600-00002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a:extLst>
            <a:ext uri="{FF2B5EF4-FFF2-40B4-BE49-F238E27FC236}">
              <a16:creationId xmlns:a16="http://schemas.microsoft.com/office/drawing/2014/main" id="{00000000-0008-0000-0600-00002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a:extLst>
            <a:ext uri="{FF2B5EF4-FFF2-40B4-BE49-F238E27FC236}">
              <a16:creationId xmlns:a16="http://schemas.microsoft.com/office/drawing/2014/main" id="{00000000-0008-0000-0600-00002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a:extLst>
            <a:ext uri="{FF2B5EF4-FFF2-40B4-BE49-F238E27FC236}">
              <a16:creationId xmlns:a16="http://schemas.microsoft.com/office/drawing/2014/main" id="{00000000-0008-0000-0600-00002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a:extLst>
            <a:ext uri="{FF2B5EF4-FFF2-40B4-BE49-F238E27FC236}">
              <a16:creationId xmlns:a16="http://schemas.microsoft.com/office/drawing/2014/main" id="{00000000-0008-0000-0600-00002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a:extLst>
            <a:ext uri="{FF2B5EF4-FFF2-40B4-BE49-F238E27FC236}">
              <a16:creationId xmlns:a16="http://schemas.microsoft.com/office/drawing/2014/main" id="{00000000-0008-0000-0600-00002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a:extLst>
            <a:ext uri="{FF2B5EF4-FFF2-40B4-BE49-F238E27FC236}">
              <a16:creationId xmlns:a16="http://schemas.microsoft.com/office/drawing/2014/main" id="{00000000-0008-0000-0600-00002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a:extLst>
            <a:ext uri="{FF2B5EF4-FFF2-40B4-BE49-F238E27FC236}">
              <a16:creationId xmlns:a16="http://schemas.microsoft.com/office/drawing/2014/main" id="{00000000-0008-0000-0600-00002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a:extLst>
            <a:ext uri="{FF2B5EF4-FFF2-40B4-BE49-F238E27FC236}">
              <a16:creationId xmlns:a16="http://schemas.microsoft.com/office/drawing/2014/main" id="{00000000-0008-0000-0600-00002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a:extLst>
            <a:ext uri="{FF2B5EF4-FFF2-40B4-BE49-F238E27FC236}">
              <a16:creationId xmlns:a16="http://schemas.microsoft.com/office/drawing/2014/main" id="{00000000-0008-0000-0600-00002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a:extLst>
            <a:ext uri="{FF2B5EF4-FFF2-40B4-BE49-F238E27FC236}">
              <a16:creationId xmlns:a16="http://schemas.microsoft.com/office/drawing/2014/main" id="{00000000-0008-0000-0600-00002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a:extLst>
            <a:ext uri="{FF2B5EF4-FFF2-40B4-BE49-F238E27FC236}">
              <a16:creationId xmlns:a16="http://schemas.microsoft.com/office/drawing/2014/main" id="{00000000-0008-0000-0600-00003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a:extLst>
            <a:ext uri="{FF2B5EF4-FFF2-40B4-BE49-F238E27FC236}">
              <a16:creationId xmlns:a16="http://schemas.microsoft.com/office/drawing/2014/main" id="{00000000-0008-0000-0600-00003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a:extLst>
            <a:ext uri="{FF2B5EF4-FFF2-40B4-BE49-F238E27FC236}">
              <a16:creationId xmlns:a16="http://schemas.microsoft.com/office/drawing/2014/main" id="{00000000-0008-0000-0600-00003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a:extLst>
            <a:ext uri="{FF2B5EF4-FFF2-40B4-BE49-F238E27FC236}">
              <a16:creationId xmlns:a16="http://schemas.microsoft.com/office/drawing/2014/main" id="{00000000-0008-0000-0600-00003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a:extLst>
            <a:ext uri="{FF2B5EF4-FFF2-40B4-BE49-F238E27FC236}">
              <a16:creationId xmlns:a16="http://schemas.microsoft.com/office/drawing/2014/main" id="{00000000-0008-0000-0600-00003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a:extLst>
            <a:ext uri="{FF2B5EF4-FFF2-40B4-BE49-F238E27FC236}">
              <a16:creationId xmlns:a16="http://schemas.microsoft.com/office/drawing/2014/main" id="{00000000-0008-0000-0600-00003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a:extLst>
            <a:ext uri="{FF2B5EF4-FFF2-40B4-BE49-F238E27FC236}">
              <a16:creationId xmlns:a16="http://schemas.microsoft.com/office/drawing/2014/main" id="{00000000-0008-0000-0600-00003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a:extLst>
            <a:ext uri="{FF2B5EF4-FFF2-40B4-BE49-F238E27FC236}">
              <a16:creationId xmlns:a16="http://schemas.microsoft.com/office/drawing/2014/main" id="{00000000-0008-0000-0600-00003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a:extLst>
            <a:ext uri="{FF2B5EF4-FFF2-40B4-BE49-F238E27FC236}">
              <a16:creationId xmlns:a16="http://schemas.microsoft.com/office/drawing/2014/main" id="{00000000-0008-0000-0600-00003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a:extLst>
            <a:ext uri="{FF2B5EF4-FFF2-40B4-BE49-F238E27FC236}">
              <a16:creationId xmlns:a16="http://schemas.microsoft.com/office/drawing/2014/main" id="{00000000-0008-0000-0600-00003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a:extLst>
            <a:ext uri="{FF2B5EF4-FFF2-40B4-BE49-F238E27FC236}">
              <a16:creationId xmlns:a16="http://schemas.microsoft.com/office/drawing/2014/main" id="{00000000-0008-0000-0600-00003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a:extLst>
            <a:ext uri="{FF2B5EF4-FFF2-40B4-BE49-F238E27FC236}">
              <a16:creationId xmlns:a16="http://schemas.microsoft.com/office/drawing/2014/main" id="{00000000-0008-0000-0600-00003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a:extLst>
            <a:ext uri="{FF2B5EF4-FFF2-40B4-BE49-F238E27FC236}">
              <a16:creationId xmlns:a16="http://schemas.microsoft.com/office/drawing/2014/main" id="{00000000-0008-0000-0600-00003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a:extLst>
            <a:ext uri="{FF2B5EF4-FFF2-40B4-BE49-F238E27FC236}">
              <a16:creationId xmlns:a16="http://schemas.microsoft.com/office/drawing/2014/main" id="{00000000-0008-0000-0600-00003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a:extLst>
            <a:ext uri="{FF2B5EF4-FFF2-40B4-BE49-F238E27FC236}">
              <a16:creationId xmlns:a16="http://schemas.microsoft.com/office/drawing/2014/main" id="{00000000-0008-0000-0600-00003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a:extLst>
            <a:ext uri="{FF2B5EF4-FFF2-40B4-BE49-F238E27FC236}">
              <a16:creationId xmlns:a16="http://schemas.microsoft.com/office/drawing/2014/main" id="{00000000-0008-0000-0600-00003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a:extLst>
            <a:ext uri="{FF2B5EF4-FFF2-40B4-BE49-F238E27FC236}">
              <a16:creationId xmlns:a16="http://schemas.microsoft.com/office/drawing/2014/main" id="{00000000-0008-0000-0600-00004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a:extLst>
            <a:ext uri="{FF2B5EF4-FFF2-40B4-BE49-F238E27FC236}">
              <a16:creationId xmlns:a16="http://schemas.microsoft.com/office/drawing/2014/main" id="{00000000-0008-0000-0600-00004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a:extLst>
            <a:ext uri="{FF2B5EF4-FFF2-40B4-BE49-F238E27FC236}">
              <a16:creationId xmlns:a16="http://schemas.microsoft.com/office/drawing/2014/main" id="{00000000-0008-0000-0600-00004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a:extLst>
            <a:ext uri="{FF2B5EF4-FFF2-40B4-BE49-F238E27FC236}">
              <a16:creationId xmlns:a16="http://schemas.microsoft.com/office/drawing/2014/main" id="{00000000-0008-0000-0600-00004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a:extLst>
            <a:ext uri="{FF2B5EF4-FFF2-40B4-BE49-F238E27FC236}">
              <a16:creationId xmlns:a16="http://schemas.microsoft.com/office/drawing/2014/main" id="{00000000-0008-0000-0600-00004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a:extLst>
            <a:ext uri="{FF2B5EF4-FFF2-40B4-BE49-F238E27FC236}">
              <a16:creationId xmlns:a16="http://schemas.microsoft.com/office/drawing/2014/main" id="{00000000-0008-0000-0600-00004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a:extLst>
            <a:ext uri="{FF2B5EF4-FFF2-40B4-BE49-F238E27FC236}">
              <a16:creationId xmlns:a16="http://schemas.microsoft.com/office/drawing/2014/main" id="{00000000-0008-0000-0600-00004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a:extLst>
            <a:ext uri="{FF2B5EF4-FFF2-40B4-BE49-F238E27FC236}">
              <a16:creationId xmlns:a16="http://schemas.microsoft.com/office/drawing/2014/main" id="{00000000-0008-0000-0600-00004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a:extLst>
            <a:ext uri="{FF2B5EF4-FFF2-40B4-BE49-F238E27FC236}">
              <a16:creationId xmlns:a16="http://schemas.microsoft.com/office/drawing/2014/main" id="{00000000-0008-0000-0600-00004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a:extLst>
            <a:ext uri="{FF2B5EF4-FFF2-40B4-BE49-F238E27FC236}">
              <a16:creationId xmlns:a16="http://schemas.microsoft.com/office/drawing/2014/main" id="{00000000-0008-0000-0600-00004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a:extLst>
            <a:ext uri="{FF2B5EF4-FFF2-40B4-BE49-F238E27FC236}">
              <a16:creationId xmlns:a16="http://schemas.microsoft.com/office/drawing/2014/main" id="{00000000-0008-0000-0600-00004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a:extLst>
            <a:ext uri="{FF2B5EF4-FFF2-40B4-BE49-F238E27FC236}">
              <a16:creationId xmlns:a16="http://schemas.microsoft.com/office/drawing/2014/main" id="{00000000-0008-0000-0600-00004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a:extLst>
            <a:ext uri="{FF2B5EF4-FFF2-40B4-BE49-F238E27FC236}">
              <a16:creationId xmlns:a16="http://schemas.microsoft.com/office/drawing/2014/main" id="{00000000-0008-0000-0600-00004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a:extLst>
            <a:ext uri="{FF2B5EF4-FFF2-40B4-BE49-F238E27FC236}">
              <a16:creationId xmlns:a16="http://schemas.microsoft.com/office/drawing/2014/main" id="{00000000-0008-0000-0600-00004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a:extLst>
            <a:ext uri="{FF2B5EF4-FFF2-40B4-BE49-F238E27FC236}">
              <a16:creationId xmlns:a16="http://schemas.microsoft.com/office/drawing/2014/main" id="{00000000-0008-0000-0600-00004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a:extLst>
            <a:ext uri="{FF2B5EF4-FFF2-40B4-BE49-F238E27FC236}">
              <a16:creationId xmlns:a16="http://schemas.microsoft.com/office/drawing/2014/main" id="{00000000-0008-0000-0600-00004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a:extLst>
            <a:ext uri="{FF2B5EF4-FFF2-40B4-BE49-F238E27FC236}">
              <a16:creationId xmlns:a16="http://schemas.microsoft.com/office/drawing/2014/main" id="{00000000-0008-0000-0600-00005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a:extLst>
            <a:ext uri="{FF2B5EF4-FFF2-40B4-BE49-F238E27FC236}">
              <a16:creationId xmlns:a16="http://schemas.microsoft.com/office/drawing/2014/main" id="{00000000-0008-0000-0600-00005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a:extLst>
            <a:ext uri="{FF2B5EF4-FFF2-40B4-BE49-F238E27FC236}">
              <a16:creationId xmlns:a16="http://schemas.microsoft.com/office/drawing/2014/main" id="{00000000-0008-0000-0600-00005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a:extLst>
            <a:ext uri="{FF2B5EF4-FFF2-40B4-BE49-F238E27FC236}">
              <a16:creationId xmlns:a16="http://schemas.microsoft.com/office/drawing/2014/main" id="{00000000-0008-0000-0600-00005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a:extLst>
            <a:ext uri="{FF2B5EF4-FFF2-40B4-BE49-F238E27FC236}">
              <a16:creationId xmlns:a16="http://schemas.microsoft.com/office/drawing/2014/main" id="{00000000-0008-0000-0600-00005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a:extLst>
            <a:ext uri="{FF2B5EF4-FFF2-40B4-BE49-F238E27FC236}">
              <a16:creationId xmlns:a16="http://schemas.microsoft.com/office/drawing/2014/main" id="{00000000-0008-0000-0600-00005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a:extLst>
            <a:ext uri="{FF2B5EF4-FFF2-40B4-BE49-F238E27FC236}">
              <a16:creationId xmlns:a16="http://schemas.microsoft.com/office/drawing/2014/main" id="{00000000-0008-0000-0600-00005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a:extLst>
            <a:ext uri="{FF2B5EF4-FFF2-40B4-BE49-F238E27FC236}">
              <a16:creationId xmlns:a16="http://schemas.microsoft.com/office/drawing/2014/main" id="{00000000-0008-0000-0600-00005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a:extLst>
            <a:ext uri="{FF2B5EF4-FFF2-40B4-BE49-F238E27FC236}">
              <a16:creationId xmlns:a16="http://schemas.microsoft.com/office/drawing/2014/main" id="{00000000-0008-0000-0600-00005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a:extLst>
            <a:ext uri="{FF2B5EF4-FFF2-40B4-BE49-F238E27FC236}">
              <a16:creationId xmlns:a16="http://schemas.microsoft.com/office/drawing/2014/main" id="{00000000-0008-0000-0600-00005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a:extLst>
            <a:ext uri="{FF2B5EF4-FFF2-40B4-BE49-F238E27FC236}">
              <a16:creationId xmlns:a16="http://schemas.microsoft.com/office/drawing/2014/main" id="{00000000-0008-0000-0600-00005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a:extLst>
            <a:ext uri="{FF2B5EF4-FFF2-40B4-BE49-F238E27FC236}">
              <a16:creationId xmlns:a16="http://schemas.microsoft.com/office/drawing/2014/main" id="{00000000-0008-0000-0600-00005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a:extLst>
            <a:ext uri="{FF2B5EF4-FFF2-40B4-BE49-F238E27FC236}">
              <a16:creationId xmlns:a16="http://schemas.microsoft.com/office/drawing/2014/main" id="{00000000-0008-0000-0600-00005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a:extLst>
            <a:ext uri="{FF2B5EF4-FFF2-40B4-BE49-F238E27FC236}">
              <a16:creationId xmlns:a16="http://schemas.microsoft.com/office/drawing/2014/main" id="{00000000-0008-0000-0600-00005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a:extLst>
            <a:ext uri="{FF2B5EF4-FFF2-40B4-BE49-F238E27FC236}">
              <a16:creationId xmlns:a16="http://schemas.microsoft.com/office/drawing/2014/main" id="{00000000-0008-0000-0600-00005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a:extLst>
            <a:ext uri="{FF2B5EF4-FFF2-40B4-BE49-F238E27FC236}">
              <a16:creationId xmlns:a16="http://schemas.microsoft.com/office/drawing/2014/main" id="{00000000-0008-0000-0600-00005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a:extLst>
            <a:ext uri="{FF2B5EF4-FFF2-40B4-BE49-F238E27FC236}">
              <a16:creationId xmlns:a16="http://schemas.microsoft.com/office/drawing/2014/main" id="{00000000-0008-0000-0600-00006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a:extLst>
            <a:ext uri="{FF2B5EF4-FFF2-40B4-BE49-F238E27FC236}">
              <a16:creationId xmlns:a16="http://schemas.microsoft.com/office/drawing/2014/main" id="{00000000-0008-0000-0600-00006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a:extLst>
            <a:ext uri="{FF2B5EF4-FFF2-40B4-BE49-F238E27FC236}">
              <a16:creationId xmlns:a16="http://schemas.microsoft.com/office/drawing/2014/main" id="{00000000-0008-0000-0600-00006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a:extLst>
            <a:ext uri="{FF2B5EF4-FFF2-40B4-BE49-F238E27FC236}">
              <a16:creationId xmlns:a16="http://schemas.microsoft.com/office/drawing/2014/main" id="{00000000-0008-0000-0600-00006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a:extLst>
            <a:ext uri="{FF2B5EF4-FFF2-40B4-BE49-F238E27FC236}">
              <a16:creationId xmlns:a16="http://schemas.microsoft.com/office/drawing/2014/main" id="{00000000-0008-0000-0600-00006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a:extLst>
            <a:ext uri="{FF2B5EF4-FFF2-40B4-BE49-F238E27FC236}">
              <a16:creationId xmlns:a16="http://schemas.microsoft.com/office/drawing/2014/main" id="{00000000-0008-0000-0600-00006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a:extLst>
            <a:ext uri="{FF2B5EF4-FFF2-40B4-BE49-F238E27FC236}">
              <a16:creationId xmlns:a16="http://schemas.microsoft.com/office/drawing/2014/main" id="{00000000-0008-0000-0600-00006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a:extLst>
            <a:ext uri="{FF2B5EF4-FFF2-40B4-BE49-F238E27FC236}">
              <a16:creationId xmlns:a16="http://schemas.microsoft.com/office/drawing/2014/main" id="{00000000-0008-0000-0600-00006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a:extLst>
            <a:ext uri="{FF2B5EF4-FFF2-40B4-BE49-F238E27FC236}">
              <a16:creationId xmlns:a16="http://schemas.microsoft.com/office/drawing/2014/main" id="{00000000-0008-0000-0600-00006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a:extLst>
            <a:ext uri="{FF2B5EF4-FFF2-40B4-BE49-F238E27FC236}">
              <a16:creationId xmlns:a16="http://schemas.microsoft.com/office/drawing/2014/main" id="{00000000-0008-0000-0600-00006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a:extLst>
            <a:ext uri="{FF2B5EF4-FFF2-40B4-BE49-F238E27FC236}">
              <a16:creationId xmlns:a16="http://schemas.microsoft.com/office/drawing/2014/main" id="{00000000-0008-0000-0600-00006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a:extLst>
            <a:ext uri="{FF2B5EF4-FFF2-40B4-BE49-F238E27FC236}">
              <a16:creationId xmlns:a16="http://schemas.microsoft.com/office/drawing/2014/main" id="{00000000-0008-0000-0600-00006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a:extLst>
            <a:ext uri="{FF2B5EF4-FFF2-40B4-BE49-F238E27FC236}">
              <a16:creationId xmlns:a16="http://schemas.microsoft.com/office/drawing/2014/main" id="{00000000-0008-0000-0600-00006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a:extLst>
            <a:ext uri="{FF2B5EF4-FFF2-40B4-BE49-F238E27FC236}">
              <a16:creationId xmlns:a16="http://schemas.microsoft.com/office/drawing/2014/main" id="{00000000-0008-0000-0600-00006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a:extLst>
            <a:ext uri="{FF2B5EF4-FFF2-40B4-BE49-F238E27FC236}">
              <a16:creationId xmlns:a16="http://schemas.microsoft.com/office/drawing/2014/main" id="{00000000-0008-0000-0600-00006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a:extLst>
            <a:ext uri="{FF2B5EF4-FFF2-40B4-BE49-F238E27FC236}">
              <a16:creationId xmlns:a16="http://schemas.microsoft.com/office/drawing/2014/main" id="{00000000-0008-0000-0600-00006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a:extLst>
            <a:ext uri="{FF2B5EF4-FFF2-40B4-BE49-F238E27FC236}">
              <a16:creationId xmlns:a16="http://schemas.microsoft.com/office/drawing/2014/main" id="{00000000-0008-0000-0600-00007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a:extLst>
            <a:ext uri="{FF2B5EF4-FFF2-40B4-BE49-F238E27FC236}">
              <a16:creationId xmlns:a16="http://schemas.microsoft.com/office/drawing/2014/main" id="{00000000-0008-0000-0600-00007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a:extLst>
            <a:ext uri="{FF2B5EF4-FFF2-40B4-BE49-F238E27FC236}">
              <a16:creationId xmlns:a16="http://schemas.microsoft.com/office/drawing/2014/main" id="{00000000-0008-0000-0600-00007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a:extLst>
            <a:ext uri="{FF2B5EF4-FFF2-40B4-BE49-F238E27FC236}">
              <a16:creationId xmlns:a16="http://schemas.microsoft.com/office/drawing/2014/main" id="{00000000-0008-0000-0600-00007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a:extLst>
            <a:ext uri="{FF2B5EF4-FFF2-40B4-BE49-F238E27FC236}">
              <a16:creationId xmlns:a16="http://schemas.microsoft.com/office/drawing/2014/main" id="{00000000-0008-0000-0600-00007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a:extLst>
            <a:ext uri="{FF2B5EF4-FFF2-40B4-BE49-F238E27FC236}">
              <a16:creationId xmlns:a16="http://schemas.microsoft.com/office/drawing/2014/main" id="{00000000-0008-0000-0600-00007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a:extLst>
            <a:ext uri="{FF2B5EF4-FFF2-40B4-BE49-F238E27FC236}">
              <a16:creationId xmlns:a16="http://schemas.microsoft.com/office/drawing/2014/main" id="{00000000-0008-0000-0600-00007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a:extLst>
            <a:ext uri="{FF2B5EF4-FFF2-40B4-BE49-F238E27FC236}">
              <a16:creationId xmlns:a16="http://schemas.microsoft.com/office/drawing/2014/main" id="{00000000-0008-0000-0600-00007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a:extLst>
            <a:ext uri="{FF2B5EF4-FFF2-40B4-BE49-F238E27FC236}">
              <a16:creationId xmlns:a16="http://schemas.microsoft.com/office/drawing/2014/main" id="{00000000-0008-0000-0600-00007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a:extLst>
            <a:ext uri="{FF2B5EF4-FFF2-40B4-BE49-F238E27FC236}">
              <a16:creationId xmlns:a16="http://schemas.microsoft.com/office/drawing/2014/main" id="{00000000-0008-0000-0600-00007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a:extLst>
            <a:ext uri="{FF2B5EF4-FFF2-40B4-BE49-F238E27FC236}">
              <a16:creationId xmlns:a16="http://schemas.microsoft.com/office/drawing/2014/main" id="{00000000-0008-0000-0600-00007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a:extLst>
            <a:ext uri="{FF2B5EF4-FFF2-40B4-BE49-F238E27FC236}">
              <a16:creationId xmlns:a16="http://schemas.microsoft.com/office/drawing/2014/main" id="{00000000-0008-0000-0600-00007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a:extLst>
            <a:ext uri="{FF2B5EF4-FFF2-40B4-BE49-F238E27FC236}">
              <a16:creationId xmlns:a16="http://schemas.microsoft.com/office/drawing/2014/main" id="{00000000-0008-0000-0600-00007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a:extLst>
            <a:ext uri="{FF2B5EF4-FFF2-40B4-BE49-F238E27FC236}">
              <a16:creationId xmlns:a16="http://schemas.microsoft.com/office/drawing/2014/main" id="{00000000-0008-0000-0600-00007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a:extLst>
            <a:ext uri="{FF2B5EF4-FFF2-40B4-BE49-F238E27FC236}">
              <a16:creationId xmlns:a16="http://schemas.microsoft.com/office/drawing/2014/main" id="{00000000-0008-0000-0600-00007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a:extLst>
            <a:ext uri="{FF2B5EF4-FFF2-40B4-BE49-F238E27FC236}">
              <a16:creationId xmlns:a16="http://schemas.microsoft.com/office/drawing/2014/main" id="{00000000-0008-0000-0600-00007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a:extLst>
            <a:ext uri="{FF2B5EF4-FFF2-40B4-BE49-F238E27FC236}">
              <a16:creationId xmlns:a16="http://schemas.microsoft.com/office/drawing/2014/main" id="{00000000-0008-0000-0600-00008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a:extLst>
            <a:ext uri="{FF2B5EF4-FFF2-40B4-BE49-F238E27FC236}">
              <a16:creationId xmlns:a16="http://schemas.microsoft.com/office/drawing/2014/main" id="{00000000-0008-0000-0600-00008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a:extLst>
            <a:ext uri="{FF2B5EF4-FFF2-40B4-BE49-F238E27FC236}">
              <a16:creationId xmlns:a16="http://schemas.microsoft.com/office/drawing/2014/main" id="{00000000-0008-0000-0600-00008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a:extLst>
            <a:ext uri="{FF2B5EF4-FFF2-40B4-BE49-F238E27FC236}">
              <a16:creationId xmlns:a16="http://schemas.microsoft.com/office/drawing/2014/main" id="{00000000-0008-0000-0600-00008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a:extLst>
            <a:ext uri="{FF2B5EF4-FFF2-40B4-BE49-F238E27FC236}">
              <a16:creationId xmlns:a16="http://schemas.microsoft.com/office/drawing/2014/main" id="{00000000-0008-0000-0600-00008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a:extLst>
            <a:ext uri="{FF2B5EF4-FFF2-40B4-BE49-F238E27FC236}">
              <a16:creationId xmlns:a16="http://schemas.microsoft.com/office/drawing/2014/main" id="{00000000-0008-0000-0600-00008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a:extLst>
            <a:ext uri="{FF2B5EF4-FFF2-40B4-BE49-F238E27FC236}">
              <a16:creationId xmlns:a16="http://schemas.microsoft.com/office/drawing/2014/main" id="{00000000-0008-0000-0600-00008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a:extLst>
            <a:ext uri="{FF2B5EF4-FFF2-40B4-BE49-F238E27FC236}">
              <a16:creationId xmlns:a16="http://schemas.microsoft.com/office/drawing/2014/main" id="{00000000-0008-0000-0600-00008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a:extLst>
            <a:ext uri="{FF2B5EF4-FFF2-40B4-BE49-F238E27FC236}">
              <a16:creationId xmlns:a16="http://schemas.microsoft.com/office/drawing/2014/main" id="{00000000-0008-0000-0600-00008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a:extLst>
            <a:ext uri="{FF2B5EF4-FFF2-40B4-BE49-F238E27FC236}">
              <a16:creationId xmlns:a16="http://schemas.microsoft.com/office/drawing/2014/main" id="{00000000-0008-0000-0600-00008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a:extLst>
            <a:ext uri="{FF2B5EF4-FFF2-40B4-BE49-F238E27FC236}">
              <a16:creationId xmlns:a16="http://schemas.microsoft.com/office/drawing/2014/main" id="{00000000-0008-0000-0600-00008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a:extLst>
            <a:ext uri="{FF2B5EF4-FFF2-40B4-BE49-F238E27FC236}">
              <a16:creationId xmlns:a16="http://schemas.microsoft.com/office/drawing/2014/main" id="{00000000-0008-0000-0600-00008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a:extLst>
            <a:ext uri="{FF2B5EF4-FFF2-40B4-BE49-F238E27FC236}">
              <a16:creationId xmlns:a16="http://schemas.microsoft.com/office/drawing/2014/main" id="{00000000-0008-0000-0600-00008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a:extLst>
            <a:ext uri="{FF2B5EF4-FFF2-40B4-BE49-F238E27FC236}">
              <a16:creationId xmlns:a16="http://schemas.microsoft.com/office/drawing/2014/main" id="{00000000-0008-0000-0600-00008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a:extLst>
            <a:ext uri="{FF2B5EF4-FFF2-40B4-BE49-F238E27FC236}">
              <a16:creationId xmlns:a16="http://schemas.microsoft.com/office/drawing/2014/main" id="{00000000-0008-0000-0600-00008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a:extLst>
            <a:ext uri="{FF2B5EF4-FFF2-40B4-BE49-F238E27FC236}">
              <a16:creationId xmlns:a16="http://schemas.microsoft.com/office/drawing/2014/main" id="{00000000-0008-0000-0600-00008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a:extLst>
            <a:ext uri="{FF2B5EF4-FFF2-40B4-BE49-F238E27FC236}">
              <a16:creationId xmlns:a16="http://schemas.microsoft.com/office/drawing/2014/main" id="{00000000-0008-0000-0600-00009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a:extLst>
            <a:ext uri="{FF2B5EF4-FFF2-40B4-BE49-F238E27FC236}">
              <a16:creationId xmlns:a16="http://schemas.microsoft.com/office/drawing/2014/main" id="{00000000-0008-0000-0600-00009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a:extLst>
            <a:ext uri="{FF2B5EF4-FFF2-40B4-BE49-F238E27FC236}">
              <a16:creationId xmlns:a16="http://schemas.microsoft.com/office/drawing/2014/main" id="{00000000-0008-0000-0600-00009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a:extLst>
            <a:ext uri="{FF2B5EF4-FFF2-40B4-BE49-F238E27FC236}">
              <a16:creationId xmlns:a16="http://schemas.microsoft.com/office/drawing/2014/main" id="{00000000-0008-0000-0600-00009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a:extLst>
            <a:ext uri="{FF2B5EF4-FFF2-40B4-BE49-F238E27FC236}">
              <a16:creationId xmlns:a16="http://schemas.microsoft.com/office/drawing/2014/main" id="{00000000-0008-0000-0600-00009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a:extLst>
            <a:ext uri="{FF2B5EF4-FFF2-40B4-BE49-F238E27FC236}">
              <a16:creationId xmlns:a16="http://schemas.microsoft.com/office/drawing/2014/main" id="{00000000-0008-0000-0600-00009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a:extLst>
            <a:ext uri="{FF2B5EF4-FFF2-40B4-BE49-F238E27FC236}">
              <a16:creationId xmlns:a16="http://schemas.microsoft.com/office/drawing/2014/main" id="{00000000-0008-0000-0600-00009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a:extLst>
            <a:ext uri="{FF2B5EF4-FFF2-40B4-BE49-F238E27FC236}">
              <a16:creationId xmlns:a16="http://schemas.microsoft.com/office/drawing/2014/main" id="{00000000-0008-0000-0600-00009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a:extLst>
            <a:ext uri="{FF2B5EF4-FFF2-40B4-BE49-F238E27FC236}">
              <a16:creationId xmlns:a16="http://schemas.microsoft.com/office/drawing/2014/main" id="{00000000-0008-0000-0600-00009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a:extLst>
            <a:ext uri="{FF2B5EF4-FFF2-40B4-BE49-F238E27FC236}">
              <a16:creationId xmlns:a16="http://schemas.microsoft.com/office/drawing/2014/main" id="{00000000-0008-0000-0600-00009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a:extLst>
            <a:ext uri="{FF2B5EF4-FFF2-40B4-BE49-F238E27FC236}">
              <a16:creationId xmlns:a16="http://schemas.microsoft.com/office/drawing/2014/main" id="{00000000-0008-0000-0600-00009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a:extLst>
            <a:ext uri="{FF2B5EF4-FFF2-40B4-BE49-F238E27FC236}">
              <a16:creationId xmlns:a16="http://schemas.microsoft.com/office/drawing/2014/main" id="{00000000-0008-0000-0600-00009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a:extLst>
            <a:ext uri="{FF2B5EF4-FFF2-40B4-BE49-F238E27FC236}">
              <a16:creationId xmlns:a16="http://schemas.microsoft.com/office/drawing/2014/main" id="{00000000-0008-0000-0600-00009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a:extLst>
            <a:ext uri="{FF2B5EF4-FFF2-40B4-BE49-F238E27FC236}">
              <a16:creationId xmlns:a16="http://schemas.microsoft.com/office/drawing/2014/main" id="{00000000-0008-0000-0600-00009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a:extLst>
            <a:ext uri="{FF2B5EF4-FFF2-40B4-BE49-F238E27FC236}">
              <a16:creationId xmlns:a16="http://schemas.microsoft.com/office/drawing/2014/main" id="{00000000-0008-0000-0600-00009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a:extLst>
            <a:ext uri="{FF2B5EF4-FFF2-40B4-BE49-F238E27FC236}">
              <a16:creationId xmlns:a16="http://schemas.microsoft.com/office/drawing/2014/main" id="{00000000-0008-0000-0600-00009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a:extLst>
            <a:ext uri="{FF2B5EF4-FFF2-40B4-BE49-F238E27FC236}">
              <a16:creationId xmlns:a16="http://schemas.microsoft.com/office/drawing/2014/main" id="{00000000-0008-0000-0600-0000A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a:extLst>
            <a:ext uri="{FF2B5EF4-FFF2-40B4-BE49-F238E27FC236}">
              <a16:creationId xmlns:a16="http://schemas.microsoft.com/office/drawing/2014/main" id="{00000000-0008-0000-0600-0000A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a:extLst>
            <a:ext uri="{FF2B5EF4-FFF2-40B4-BE49-F238E27FC236}">
              <a16:creationId xmlns:a16="http://schemas.microsoft.com/office/drawing/2014/main" id="{00000000-0008-0000-0600-0000A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a:extLst>
            <a:ext uri="{FF2B5EF4-FFF2-40B4-BE49-F238E27FC236}">
              <a16:creationId xmlns:a16="http://schemas.microsoft.com/office/drawing/2014/main" id="{00000000-0008-0000-0600-0000A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a:extLst>
            <a:ext uri="{FF2B5EF4-FFF2-40B4-BE49-F238E27FC236}">
              <a16:creationId xmlns:a16="http://schemas.microsoft.com/office/drawing/2014/main" id="{00000000-0008-0000-0600-0000A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a:extLst>
            <a:ext uri="{FF2B5EF4-FFF2-40B4-BE49-F238E27FC236}">
              <a16:creationId xmlns:a16="http://schemas.microsoft.com/office/drawing/2014/main" id="{00000000-0008-0000-0600-0000A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a:extLst>
            <a:ext uri="{FF2B5EF4-FFF2-40B4-BE49-F238E27FC236}">
              <a16:creationId xmlns:a16="http://schemas.microsoft.com/office/drawing/2014/main" id="{00000000-0008-0000-0600-0000A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a:extLst>
            <a:ext uri="{FF2B5EF4-FFF2-40B4-BE49-F238E27FC236}">
              <a16:creationId xmlns:a16="http://schemas.microsoft.com/office/drawing/2014/main" id="{00000000-0008-0000-0600-0000A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a:extLst>
            <a:ext uri="{FF2B5EF4-FFF2-40B4-BE49-F238E27FC236}">
              <a16:creationId xmlns:a16="http://schemas.microsoft.com/office/drawing/2014/main" id="{00000000-0008-0000-0600-0000A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a:extLst>
            <a:ext uri="{FF2B5EF4-FFF2-40B4-BE49-F238E27FC236}">
              <a16:creationId xmlns:a16="http://schemas.microsoft.com/office/drawing/2014/main" id="{00000000-0008-0000-0600-0000A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a:extLst>
            <a:ext uri="{FF2B5EF4-FFF2-40B4-BE49-F238E27FC236}">
              <a16:creationId xmlns:a16="http://schemas.microsoft.com/office/drawing/2014/main" id="{00000000-0008-0000-0600-0000A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a:extLst>
            <a:ext uri="{FF2B5EF4-FFF2-40B4-BE49-F238E27FC236}">
              <a16:creationId xmlns:a16="http://schemas.microsoft.com/office/drawing/2014/main" id="{00000000-0008-0000-0600-0000A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a:extLst>
            <a:ext uri="{FF2B5EF4-FFF2-40B4-BE49-F238E27FC236}">
              <a16:creationId xmlns:a16="http://schemas.microsoft.com/office/drawing/2014/main" id="{00000000-0008-0000-0600-0000A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a:extLst>
            <a:ext uri="{FF2B5EF4-FFF2-40B4-BE49-F238E27FC236}">
              <a16:creationId xmlns:a16="http://schemas.microsoft.com/office/drawing/2014/main" id="{00000000-0008-0000-0600-0000A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a:extLst>
            <a:ext uri="{FF2B5EF4-FFF2-40B4-BE49-F238E27FC236}">
              <a16:creationId xmlns:a16="http://schemas.microsoft.com/office/drawing/2014/main" id="{00000000-0008-0000-0600-0000A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a:extLst>
            <a:ext uri="{FF2B5EF4-FFF2-40B4-BE49-F238E27FC236}">
              <a16:creationId xmlns:a16="http://schemas.microsoft.com/office/drawing/2014/main" id="{00000000-0008-0000-0600-0000A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a:extLst>
            <a:ext uri="{FF2B5EF4-FFF2-40B4-BE49-F238E27FC236}">
              <a16:creationId xmlns:a16="http://schemas.microsoft.com/office/drawing/2014/main" id="{00000000-0008-0000-0600-0000B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a:extLst>
            <a:ext uri="{FF2B5EF4-FFF2-40B4-BE49-F238E27FC236}">
              <a16:creationId xmlns:a16="http://schemas.microsoft.com/office/drawing/2014/main" id="{00000000-0008-0000-0600-0000B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a:extLst>
            <a:ext uri="{FF2B5EF4-FFF2-40B4-BE49-F238E27FC236}">
              <a16:creationId xmlns:a16="http://schemas.microsoft.com/office/drawing/2014/main" id="{00000000-0008-0000-0600-0000B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a:extLst>
            <a:ext uri="{FF2B5EF4-FFF2-40B4-BE49-F238E27FC236}">
              <a16:creationId xmlns:a16="http://schemas.microsoft.com/office/drawing/2014/main" id="{00000000-0008-0000-0600-0000B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a:extLst>
            <a:ext uri="{FF2B5EF4-FFF2-40B4-BE49-F238E27FC236}">
              <a16:creationId xmlns:a16="http://schemas.microsoft.com/office/drawing/2014/main" id="{00000000-0008-0000-0600-0000B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a:extLst>
            <a:ext uri="{FF2B5EF4-FFF2-40B4-BE49-F238E27FC236}">
              <a16:creationId xmlns:a16="http://schemas.microsoft.com/office/drawing/2014/main" id="{00000000-0008-0000-0600-0000B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a:extLst>
            <a:ext uri="{FF2B5EF4-FFF2-40B4-BE49-F238E27FC236}">
              <a16:creationId xmlns:a16="http://schemas.microsoft.com/office/drawing/2014/main" id="{00000000-0008-0000-0600-0000B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a:extLst>
            <a:ext uri="{FF2B5EF4-FFF2-40B4-BE49-F238E27FC236}">
              <a16:creationId xmlns:a16="http://schemas.microsoft.com/office/drawing/2014/main" id="{00000000-0008-0000-0600-0000B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a:extLst>
            <a:ext uri="{FF2B5EF4-FFF2-40B4-BE49-F238E27FC236}">
              <a16:creationId xmlns:a16="http://schemas.microsoft.com/office/drawing/2014/main" id="{00000000-0008-0000-0600-0000B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a:extLst>
            <a:ext uri="{FF2B5EF4-FFF2-40B4-BE49-F238E27FC236}">
              <a16:creationId xmlns:a16="http://schemas.microsoft.com/office/drawing/2014/main" id="{00000000-0008-0000-0600-0000B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a:extLst>
            <a:ext uri="{FF2B5EF4-FFF2-40B4-BE49-F238E27FC236}">
              <a16:creationId xmlns:a16="http://schemas.microsoft.com/office/drawing/2014/main" id="{00000000-0008-0000-0600-0000B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a:extLst>
            <a:ext uri="{FF2B5EF4-FFF2-40B4-BE49-F238E27FC236}">
              <a16:creationId xmlns:a16="http://schemas.microsoft.com/office/drawing/2014/main" id="{00000000-0008-0000-0600-0000B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a:extLst>
            <a:ext uri="{FF2B5EF4-FFF2-40B4-BE49-F238E27FC236}">
              <a16:creationId xmlns:a16="http://schemas.microsoft.com/office/drawing/2014/main" id="{00000000-0008-0000-0600-0000B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a:extLst>
            <a:ext uri="{FF2B5EF4-FFF2-40B4-BE49-F238E27FC236}">
              <a16:creationId xmlns:a16="http://schemas.microsoft.com/office/drawing/2014/main" id="{00000000-0008-0000-0600-0000B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a:extLst>
            <a:ext uri="{FF2B5EF4-FFF2-40B4-BE49-F238E27FC236}">
              <a16:creationId xmlns:a16="http://schemas.microsoft.com/office/drawing/2014/main" id="{00000000-0008-0000-0600-0000B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a:extLst>
            <a:ext uri="{FF2B5EF4-FFF2-40B4-BE49-F238E27FC236}">
              <a16:creationId xmlns:a16="http://schemas.microsoft.com/office/drawing/2014/main" id="{00000000-0008-0000-0600-0000B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a:extLst>
            <a:ext uri="{FF2B5EF4-FFF2-40B4-BE49-F238E27FC236}">
              <a16:creationId xmlns:a16="http://schemas.microsoft.com/office/drawing/2014/main" id="{00000000-0008-0000-0600-0000C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a:extLst>
            <a:ext uri="{FF2B5EF4-FFF2-40B4-BE49-F238E27FC236}">
              <a16:creationId xmlns:a16="http://schemas.microsoft.com/office/drawing/2014/main" id="{00000000-0008-0000-0600-0000C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a:extLst>
            <a:ext uri="{FF2B5EF4-FFF2-40B4-BE49-F238E27FC236}">
              <a16:creationId xmlns:a16="http://schemas.microsoft.com/office/drawing/2014/main" id="{00000000-0008-0000-0600-0000C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a:extLst>
            <a:ext uri="{FF2B5EF4-FFF2-40B4-BE49-F238E27FC236}">
              <a16:creationId xmlns:a16="http://schemas.microsoft.com/office/drawing/2014/main" id="{00000000-0008-0000-0600-0000C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a:extLst>
            <a:ext uri="{FF2B5EF4-FFF2-40B4-BE49-F238E27FC236}">
              <a16:creationId xmlns:a16="http://schemas.microsoft.com/office/drawing/2014/main" id="{00000000-0008-0000-0600-0000C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a:extLst>
            <a:ext uri="{FF2B5EF4-FFF2-40B4-BE49-F238E27FC236}">
              <a16:creationId xmlns:a16="http://schemas.microsoft.com/office/drawing/2014/main" id="{00000000-0008-0000-0600-0000C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a:extLst>
            <a:ext uri="{FF2B5EF4-FFF2-40B4-BE49-F238E27FC236}">
              <a16:creationId xmlns:a16="http://schemas.microsoft.com/office/drawing/2014/main" id="{00000000-0008-0000-0600-0000C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a:extLst>
            <a:ext uri="{FF2B5EF4-FFF2-40B4-BE49-F238E27FC236}">
              <a16:creationId xmlns:a16="http://schemas.microsoft.com/office/drawing/2014/main" id="{00000000-0008-0000-0600-0000C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a:extLst>
            <a:ext uri="{FF2B5EF4-FFF2-40B4-BE49-F238E27FC236}">
              <a16:creationId xmlns:a16="http://schemas.microsoft.com/office/drawing/2014/main" id="{00000000-0008-0000-0600-0000C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a:extLst>
            <a:ext uri="{FF2B5EF4-FFF2-40B4-BE49-F238E27FC236}">
              <a16:creationId xmlns:a16="http://schemas.microsoft.com/office/drawing/2014/main" id="{00000000-0008-0000-0600-0000C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a:extLst>
            <a:ext uri="{FF2B5EF4-FFF2-40B4-BE49-F238E27FC236}">
              <a16:creationId xmlns:a16="http://schemas.microsoft.com/office/drawing/2014/main" id="{00000000-0008-0000-0600-0000C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a:extLst>
            <a:ext uri="{FF2B5EF4-FFF2-40B4-BE49-F238E27FC236}">
              <a16:creationId xmlns:a16="http://schemas.microsoft.com/office/drawing/2014/main" id="{00000000-0008-0000-0600-0000C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a:extLst>
            <a:ext uri="{FF2B5EF4-FFF2-40B4-BE49-F238E27FC236}">
              <a16:creationId xmlns:a16="http://schemas.microsoft.com/office/drawing/2014/main" id="{00000000-0008-0000-0600-0000C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a:extLst>
            <a:ext uri="{FF2B5EF4-FFF2-40B4-BE49-F238E27FC236}">
              <a16:creationId xmlns:a16="http://schemas.microsoft.com/office/drawing/2014/main" id="{00000000-0008-0000-0600-0000C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a:extLst>
            <a:ext uri="{FF2B5EF4-FFF2-40B4-BE49-F238E27FC236}">
              <a16:creationId xmlns:a16="http://schemas.microsoft.com/office/drawing/2014/main" id="{00000000-0008-0000-0600-0000C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a:extLst>
            <a:ext uri="{FF2B5EF4-FFF2-40B4-BE49-F238E27FC236}">
              <a16:creationId xmlns:a16="http://schemas.microsoft.com/office/drawing/2014/main" id="{00000000-0008-0000-0600-0000C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a:extLst>
            <a:ext uri="{FF2B5EF4-FFF2-40B4-BE49-F238E27FC236}">
              <a16:creationId xmlns:a16="http://schemas.microsoft.com/office/drawing/2014/main" id="{00000000-0008-0000-0600-0000D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a:extLst>
            <a:ext uri="{FF2B5EF4-FFF2-40B4-BE49-F238E27FC236}">
              <a16:creationId xmlns:a16="http://schemas.microsoft.com/office/drawing/2014/main" id="{00000000-0008-0000-0600-0000D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a:extLst>
            <a:ext uri="{FF2B5EF4-FFF2-40B4-BE49-F238E27FC236}">
              <a16:creationId xmlns:a16="http://schemas.microsoft.com/office/drawing/2014/main" id="{00000000-0008-0000-0600-0000D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a:extLst>
            <a:ext uri="{FF2B5EF4-FFF2-40B4-BE49-F238E27FC236}">
              <a16:creationId xmlns:a16="http://schemas.microsoft.com/office/drawing/2014/main" id="{00000000-0008-0000-0600-0000D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a:extLst>
            <a:ext uri="{FF2B5EF4-FFF2-40B4-BE49-F238E27FC236}">
              <a16:creationId xmlns:a16="http://schemas.microsoft.com/office/drawing/2014/main" id="{00000000-0008-0000-0600-0000D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a:extLst>
            <a:ext uri="{FF2B5EF4-FFF2-40B4-BE49-F238E27FC236}">
              <a16:creationId xmlns:a16="http://schemas.microsoft.com/office/drawing/2014/main" id="{00000000-0008-0000-0600-0000D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a:extLst>
            <a:ext uri="{FF2B5EF4-FFF2-40B4-BE49-F238E27FC236}">
              <a16:creationId xmlns:a16="http://schemas.microsoft.com/office/drawing/2014/main" id="{00000000-0008-0000-0600-0000D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a:extLst>
            <a:ext uri="{FF2B5EF4-FFF2-40B4-BE49-F238E27FC236}">
              <a16:creationId xmlns:a16="http://schemas.microsoft.com/office/drawing/2014/main" id="{00000000-0008-0000-0600-0000D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a:extLst>
            <a:ext uri="{FF2B5EF4-FFF2-40B4-BE49-F238E27FC236}">
              <a16:creationId xmlns:a16="http://schemas.microsoft.com/office/drawing/2014/main" id="{00000000-0008-0000-0600-0000D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a:extLst>
            <a:ext uri="{FF2B5EF4-FFF2-40B4-BE49-F238E27FC236}">
              <a16:creationId xmlns:a16="http://schemas.microsoft.com/office/drawing/2014/main" id="{00000000-0008-0000-0600-0000D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a:extLst>
            <a:ext uri="{FF2B5EF4-FFF2-40B4-BE49-F238E27FC236}">
              <a16:creationId xmlns:a16="http://schemas.microsoft.com/office/drawing/2014/main" id="{00000000-0008-0000-0600-0000D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a:extLst>
            <a:ext uri="{FF2B5EF4-FFF2-40B4-BE49-F238E27FC236}">
              <a16:creationId xmlns:a16="http://schemas.microsoft.com/office/drawing/2014/main" id="{00000000-0008-0000-0600-0000D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a:extLst>
            <a:ext uri="{FF2B5EF4-FFF2-40B4-BE49-F238E27FC236}">
              <a16:creationId xmlns:a16="http://schemas.microsoft.com/office/drawing/2014/main" id="{00000000-0008-0000-0600-0000D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a:extLst>
            <a:ext uri="{FF2B5EF4-FFF2-40B4-BE49-F238E27FC236}">
              <a16:creationId xmlns:a16="http://schemas.microsoft.com/office/drawing/2014/main" id="{00000000-0008-0000-0600-0000D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a:extLst>
            <a:ext uri="{FF2B5EF4-FFF2-40B4-BE49-F238E27FC236}">
              <a16:creationId xmlns:a16="http://schemas.microsoft.com/office/drawing/2014/main" id="{00000000-0008-0000-0600-0000D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a:extLst>
            <a:ext uri="{FF2B5EF4-FFF2-40B4-BE49-F238E27FC236}">
              <a16:creationId xmlns:a16="http://schemas.microsoft.com/office/drawing/2014/main" id="{00000000-0008-0000-0600-0000D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a:extLst>
            <a:ext uri="{FF2B5EF4-FFF2-40B4-BE49-F238E27FC236}">
              <a16:creationId xmlns:a16="http://schemas.microsoft.com/office/drawing/2014/main" id="{00000000-0008-0000-0600-0000E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a:extLst>
            <a:ext uri="{FF2B5EF4-FFF2-40B4-BE49-F238E27FC236}">
              <a16:creationId xmlns:a16="http://schemas.microsoft.com/office/drawing/2014/main" id="{00000000-0008-0000-0600-0000E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a:extLst>
            <a:ext uri="{FF2B5EF4-FFF2-40B4-BE49-F238E27FC236}">
              <a16:creationId xmlns:a16="http://schemas.microsoft.com/office/drawing/2014/main" id="{00000000-0008-0000-0600-0000E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a:extLst>
            <a:ext uri="{FF2B5EF4-FFF2-40B4-BE49-F238E27FC236}">
              <a16:creationId xmlns:a16="http://schemas.microsoft.com/office/drawing/2014/main" id="{00000000-0008-0000-0600-0000E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a:extLst>
            <a:ext uri="{FF2B5EF4-FFF2-40B4-BE49-F238E27FC236}">
              <a16:creationId xmlns:a16="http://schemas.microsoft.com/office/drawing/2014/main" id="{00000000-0008-0000-0600-0000E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a:extLst>
            <a:ext uri="{FF2B5EF4-FFF2-40B4-BE49-F238E27FC236}">
              <a16:creationId xmlns:a16="http://schemas.microsoft.com/office/drawing/2014/main" id="{00000000-0008-0000-0600-0000E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a:extLst>
            <a:ext uri="{FF2B5EF4-FFF2-40B4-BE49-F238E27FC236}">
              <a16:creationId xmlns:a16="http://schemas.microsoft.com/office/drawing/2014/main" id="{00000000-0008-0000-0600-0000E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a:extLst>
            <a:ext uri="{FF2B5EF4-FFF2-40B4-BE49-F238E27FC236}">
              <a16:creationId xmlns:a16="http://schemas.microsoft.com/office/drawing/2014/main" id="{00000000-0008-0000-0600-0000E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a:extLst>
            <a:ext uri="{FF2B5EF4-FFF2-40B4-BE49-F238E27FC236}">
              <a16:creationId xmlns:a16="http://schemas.microsoft.com/office/drawing/2014/main" id="{00000000-0008-0000-0600-0000E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a:extLst>
            <a:ext uri="{FF2B5EF4-FFF2-40B4-BE49-F238E27FC236}">
              <a16:creationId xmlns:a16="http://schemas.microsoft.com/office/drawing/2014/main" id="{00000000-0008-0000-0600-0000E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a:extLst>
            <a:ext uri="{FF2B5EF4-FFF2-40B4-BE49-F238E27FC236}">
              <a16:creationId xmlns:a16="http://schemas.microsoft.com/office/drawing/2014/main" id="{00000000-0008-0000-0600-0000E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a:extLst>
            <a:ext uri="{FF2B5EF4-FFF2-40B4-BE49-F238E27FC236}">
              <a16:creationId xmlns:a16="http://schemas.microsoft.com/office/drawing/2014/main" id="{00000000-0008-0000-0600-0000E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a:extLst>
            <a:ext uri="{FF2B5EF4-FFF2-40B4-BE49-F238E27FC236}">
              <a16:creationId xmlns:a16="http://schemas.microsoft.com/office/drawing/2014/main" id="{00000000-0008-0000-0600-0000E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a:extLst>
            <a:ext uri="{FF2B5EF4-FFF2-40B4-BE49-F238E27FC236}">
              <a16:creationId xmlns:a16="http://schemas.microsoft.com/office/drawing/2014/main" id="{00000000-0008-0000-0600-0000E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a:extLst>
            <a:ext uri="{FF2B5EF4-FFF2-40B4-BE49-F238E27FC236}">
              <a16:creationId xmlns:a16="http://schemas.microsoft.com/office/drawing/2014/main" id="{00000000-0008-0000-0600-0000E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a:extLst>
            <a:ext uri="{FF2B5EF4-FFF2-40B4-BE49-F238E27FC236}">
              <a16:creationId xmlns:a16="http://schemas.microsoft.com/office/drawing/2014/main" id="{00000000-0008-0000-0600-0000E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a:extLst>
            <a:ext uri="{FF2B5EF4-FFF2-40B4-BE49-F238E27FC236}">
              <a16:creationId xmlns:a16="http://schemas.microsoft.com/office/drawing/2014/main" id="{00000000-0008-0000-0600-0000F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a:extLst>
            <a:ext uri="{FF2B5EF4-FFF2-40B4-BE49-F238E27FC236}">
              <a16:creationId xmlns:a16="http://schemas.microsoft.com/office/drawing/2014/main" id="{00000000-0008-0000-0600-0000F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a:extLst>
            <a:ext uri="{FF2B5EF4-FFF2-40B4-BE49-F238E27FC236}">
              <a16:creationId xmlns:a16="http://schemas.microsoft.com/office/drawing/2014/main" id="{00000000-0008-0000-0600-0000F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a:extLst>
            <a:ext uri="{FF2B5EF4-FFF2-40B4-BE49-F238E27FC236}">
              <a16:creationId xmlns:a16="http://schemas.microsoft.com/office/drawing/2014/main" id="{00000000-0008-0000-0600-0000F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a:extLst>
            <a:ext uri="{FF2B5EF4-FFF2-40B4-BE49-F238E27FC236}">
              <a16:creationId xmlns:a16="http://schemas.microsoft.com/office/drawing/2014/main" id="{00000000-0008-0000-0600-0000F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a:extLst>
            <a:ext uri="{FF2B5EF4-FFF2-40B4-BE49-F238E27FC236}">
              <a16:creationId xmlns:a16="http://schemas.microsoft.com/office/drawing/2014/main" id="{00000000-0008-0000-0600-0000F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a:extLst>
            <a:ext uri="{FF2B5EF4-FFF2-40B4-BE49-F238E27FC236}">
              <a16:creationId xmlns:a16="http://schemas.microsoft.com/office/drawing/2014/main" id="{00000000-0008-0000-0600-0000F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a:extLst>
            <a:ext uri="{FF2B5EF4-FFF2-40B4-BE49-F238E27FC236}">
              <a16:creationId xmlns:a16="http://schemas.microsoft.com/office/drawing/2014/main" id="{00000000-0008-0000-0600-0000F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a:extLst>
            <a:ext uri="{FF2B5EF4-FFF2-40B4-BE49-F238E27FC236}">
              <a16:creationId xmlns:a16="http://schemas.microsoft.com/office/drawing/2014/main" id="{00000000-0008-0000-0600-0000F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a:extLst>
            <a:ext uri="{FF2B5EF4-FFF2-40B4-BE49-F238E27FC236}">
              <a16:creationId xmlns:a16="http://schemas.microsoft.com/office/drawing/2014/main" id="{00000000-0008-0000-0600-0000F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a:extLst>
            <a:ext uri="{FF2B5EF4-FFF2-40B4-BE49-F238E27FC236}">
              <a16:creationId xmlns:a16="http://schemas.microsoft.com/office/drawing/2014/main" id="{00000000-0008-0000-0600-0000F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a:extLst>
            <a:ext uri="{FF2B5EF4-FFF2-40B4-BE49-F238E27FC236}">
              <a16:creationId xmlns:a16="http://schemas.microsoft.com/office/drawing/2014/main" id="{00000000-0008-0000-0600-0000F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a:extLst>
            <a:ext uri="{FF2B5EF4-FFF2-40B4-BE49-F238E27FC236}">
              <a16:creationId xmlns:a16="http://schemas.microsoft.com/office/drawing/2014/main" id="{00000000-0008-0000-0600-0000F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a:extLst>
            <a:ext uri="{FF2B5EF4-FFF2-40B4-BE49-F238E27FC236}">
              <a16:creationId xmlns:a16="http://schemas.microsoft.com/office/drawing/2014/main" id="{00000000-0008-0000-0600-0000F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a:extLst>
            <a:ext uri="{FF2B5EF4-FFF2-40B4-BE49-F238E27FC236}">
              <a16:creationId xmlns:a16="http://schemas.microsoft.com/office/drawing/2014/main" id="{00000000-0008-0000-0600-0000F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a:extLst>
            <a:ext uri="{FF2B5EF4-FFF2-40B4-BE49-F238E27FC236}">
              <a16:creationId xmlns:a16="http://schemas.microsoft.com/office/drawing/2014/main" id="{00000000-0008-0000-0600-0000F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a:extLst>
            <a:ext uri="{FF2B5EF4-FFF2-40B4-BE49-F238E27FC236}">
              <a16:creationId xmlns:a16="http://schemas.microsoft.com/office/drawing/2014/main" id="{00000000-0008-0000-0600-00000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a:extLst>
            <a:ext uri="{FF2B5EF4-FFF2-40B4-BE49-F238E27FC236}">
              <a16:creationId xmlns:a16="http://schemas.microsoft.com/office/drawing/2014/main" id="{00000000-0008-0000-0600-00000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a:extLst>
            <a:ext uri="{FF2B5EF4-FFF2-40B4-BE49-F238E27FC236}">
              <a16:creationId xmlns:a16="http://schemas.microsoft.com/office/drawing/2014/main" id="{00000000-0008-0000-0600-00000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a:extLst>
            <a:ext uri="{FF2B5EF4-FFF2-40B4-BE49-F238E27FC236}">
              <a16:creationId xmlns:a16="http://schemas.microsoft.com/office/drawing/2014/main" id="{00000000-0008-0000-0600-00000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a:extLst>
            <a:ext uri="{FF2B5EF4-FFF2-40B4-BE49-F238E27FC236}">
              <a16:creationId xmlns:a16="http://schemas.microsoft.com/office/drawing/2014/main" id="{00000000-0008-0000-0600-00000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a:extLst>
            <a:ext uri="{FF2B5EF4-FFF2-40B4-BE49-F238E27FC236}">
              <a16:creationId xmlns:a16="http://schemas.microsoft.com/office/drawing/2014/main" id="{00000000-0008-0000-0600-00000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a:extLst>
            <a:ext uri="{FF2B5EF4-FFF2-40B4-BE49-F238E27FC236}">
              <a16:creationId xmlns:a16="http://schemas.microsoft.com/office/drawing/2014/main" id="{00000000-0008-0000-0600-00000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a:extLst>
            <a:ext uri="{FF2B5EF4-FFF2-40B4-BE49-F238E27FC236}">
              <a16:creationId xmlns:a16="http://schemas.microsoft.com/office/drawing/2014/main" id="{00000000-0008-0000-0600-00000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a:extLst>
            <a:ext uri="{FF2B5EF4-FFF2-40B4-BE49-F238E27FC236}">
              <a16:creationId xmlns:a16="http://schemas.microsoft.com/office/drawing/2014/main" id="{00000000-0008-0000-0600-00000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a:extLst>
            <a:ext uri="{FF2B5EF4-FFF2-40B4-BE49-F238E27FC236}">
              <a16:creationId xmlns:a16="http://schemas.microsoft.com/office/drawing/2014/main" id="{00000000-0008-0000-0600-00000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a:extLst>
            <a:ext uri="{FF2B5EF4-FFF2-40B4-BE49-F238E27FC236}">
              <a16:creationId xmlns:a16="http://schemas.microsoft.com/office/drawing/2014/main" id="{00000000-0008-0000-0600-00000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a:extLst>
            <a:ext uri="{FF2B5EF4-FFF2-40B4-BE49-F238E27FC236}">
              <a16:creationId xmlns:a16="http://schemas.microsoft.com/office/drawing/2014/main" id="{00000000-0008-0000-0600-00000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a:extLst>
            <a:ext uri="{FF2B5EF4-FFF2-40B4-BE49-F238E27FC236}">
              <a16:creationId xmlns:a16="http://schemas.microsoft.com/office/drawing/2014/main" id="{00000000-0008-0000-0600-00000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a:extLst>
            <a:ext uri="{FF2B5EF4-FFF2-40B4-BE49-F238E27FC236}">
              <a16:creationId xmlns:a16="http://schemas.microsoft.com/office/drawing/2014/main" id="{00000000-0008-0000-0600-00000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a:extLst>
            <a:ext uri="{FF2B5EF4-FFF2-40B4-BE49-F238E27FC236}">
              <a16:creationId xmlns:a16="http://schemas.microsoft.com/office/drawing/2014/main" id="{00000000-0008-0000-0600-00000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a:extLst>
            <a:ext uri="{FF2B5EF4-FFF2-40B4-BE49-F238E27FC236}">
              <a16:creationId xmlns:a16="http://schemas.microsoft.com/office/drawing/2014/main" id="{00000000-0008-0000-0600-00000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a:extLst>
            <a:ext uri="{FF2B5EF4-FFF2-40B4-BE49-F238E27FC236}">
              <a16:creationId xmlns:a16="http://schemas.microsoft.com/office/drawing/2014/main" id="{00000000-0008-0000-0600-00001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a:extLst>
            <a:ext uri="{FF2B5EF4-FFF2-40B4-BE49-F238E27FC236}">
              <a16:creationId xmlns:a16="http://schemas.microsoft.com/office/drawing/2014/main" id="{00000000-0008-0000-0600-00001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a:extLst>
            <a:ext uri="{FF2B5EF4-FFF2-40B4-BE49-F238E27FC236}">
              <a16:creationId xmlns:a16="http://schemas.microsoft.com/office/drawing/2014/main" id="{00000000-0008-0000-0600-00001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a:extLst>
            <a:ext uri="{FF2B5EF4-FFF2-40B4-BE49-F238E27FC236}">
              <a16:creationId xmlns:a16="http://schemas.microsoft.com/office/drawing/2014/main" id="{00000000-0008-0000-0600-00001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a:extLst>
            <a:ext uri="{FF2B5EF4-FFF2-40B4-BE49-F238E27FC236}">
              <a16:creationId xmlns:a16="http://schemas.microsoft.com/office/drawing/2014/main" id="{00000000-0008-0000-0600-00001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a:extLst>
            <a:ext uri="{FF2B5EF4-FFF2-40B4-BE49-F238E27FC236}">
              <a16:creationId xmlns:a16="http://schemas.microsoft.com/office/drawing/2014/main" id="{00000000-0008-0000-0600-00001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a:extLst>
            <a:ext uri="{FF2B5EF4-FFF2-40B4-BE49-F238E27FC236}">
              <a16:creationId xmlns:a16="http://schemas.microsoft.com/office/drawing/2014/main" id="{00000000-0008-0000-0600-00001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a:extLst>
            <a:ext uri="{FF2B5EF4-FFF2-40B4-BE49-F238E27FC236}">
              <a16:creationId xmlns:a16="http://schemas.microsoft.com/office/drawing/2014/main" id="{00000000-0008-0000-0600-00001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a:extLst>
            <a:ext uri="{FF2B5EF4-FFF2-40B4-BE49-F238E27FC236}">
              <a16:creationId xmlns:a16="http://schemas.microsoft.com/office/drawing/2014/main" id="{00000000-0008-0000-0600-00001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a:extLst>
            <a:ext uri="{FF2B5EF4-FFF2-40B4-BE49-F238E27FC236}">
              <a16:creationId xmlns:a16="http://schemas.microsoft.com/office/drawing/2014/main" id="{00000000-0008-0000-0600-00001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a:extLst>
            <a:ext uri="{FF2B5EF4-FFF2-40B4-BE49-F238E27FC236}">
              <a16:creationId xmlns:a16="http://schemas.microsoft.com/office/drawing/2014/main" id="{00000000-0008-0000-0600-00001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a:extLst>
            <a:ext uri="{FF2B5EF4-FFF2-40B4-BE49-F238E27FC236}">
              <a16:creationId xmlns:a16="http://schemas.microsoft.com/office/drawing/2014/main" id="{00000000-0008-0000-0600-00001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a:extLst>
            <a:ext uri="{FF2B5EF4-FFF2-40B4-BE49-F238E27FC236}">
              <a16:creationId xmlns:a16="http://schemas.microsoft.com/office/drawing/2014/main" id="{00000000-0008-0000-0600-00001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a:extLst>
            <a:ext uri="{FF2B5EF4-FFF2-40B4-BE49-F238E27FC236}">
              <a16:creationId xmlns:a16="http://schemas.microsoft.com/office/drawing/2014/main" id="{00000000-0008-0000-0600-00001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a:extLst>
            <a:ext uri="{FF2B5EF4-FFF2-40B4-BE49-F238E27FC236}">
              <a16:creationId xmlns:a16="http://schemas.microsoft.com/office/drawing/2014/main" id="{00000000-0008-0000-0600-00001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a:extLst>
            <a:ext uri="{FF2B5EF4-FFF2-40B4-BE49-F238E27FC236}">
              <a16:creationId xmlns:a16="http://schemas.microsoft.com/office/drawing/2014/main" id="{00000000-0008-0000-0600-00001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a:extLst>
            <a:ext uri="{FF2B5EF4-FFF2-40B4-BE49-F238E27FC236}">
              <a16:creationId xmlns:a16="http://schemas.microsoft.com/office/drawing/2014/main" id="{00000000-0008-0000-0600-00002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a:extLst>
            <a:ext uri="{FF2B5EF4-FFF2-40B4-BE49-F238E27FC236}">
              <a16:creationId xmlns:a16="http://schemas.microsoft.com/office/drawing/2014/main" id="{00000000-0008-0000-0600-00002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a:extLst>
            <a:ext uri="{FF2B5EF4-FFF2-40B4-BE49-F238E27FC236}">
              <a16:creationId xmlns:a16="http://schemas.microsoft.com/office/drawing/2014/main" id="{00000000-0008-0000-0600-00002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a:extLst>
            <a:ext uri="{FF2B5EF4-FFF2-40B4-BE49-F238E27FC236}">
              <a16:creationId xmlns:a16="http://schemas.microsoft.com/office/drawing/2014/main" id="{00000000-0008-0000-0600-00002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a:extLst>
            <a:ext uri="{FF2B5EF4-FFF2-40B4-BE49-F238E27FC236}">
              <a16:creationId xmlns:a16="http://schemas.microsoft.com/office/drawing/2014/main" id="{00000000-0008-0000-0600-00002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a:extLst>
            <a:ext uri="{FF2B5EF4-FFF2-40B4-BE49-F238E27FC236}">
              <a16:creationId xmlns:a16="http://schemas.microsoft.com/office/drawing/2014/main" id="{00000000-0008-0000-0600-00002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a:extLst>
            <a:ext uri="{FF2B5EF4-FFF2-40B4-BE49-F238E27FC236}">
              <a16:creationId xmlns:a16="http://schemas.microsoft.com/office/drawing/2014/main" id="{00000000-0008-0000-0600-00002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a:extLst>
            <a:ext uri="{FF2B5EF4-FFF2-40B4-BE49-F238E27FC236}">
              <a16:creationId xmlns:a16="http://schemas.microsoft.com/office/drawing/2014/main" id="{00000000-0008-0000-0600-00002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a:extLst>
            <a:ext uri="{FF2B5EF4-FFF2-40B4-BE49-F238E27FC236}">
              <a16:creationId xmlns:a16="http://schemas.microsoft.com/office/drawing/2014/main" id="{00000000-0008-0000-0600-00002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a:extLst>
            <a:ext uri="{FF2B5EF4-FFF2-40B4-BE49-F238E27FC236}">
              <a16:creationId xmlns:a16="http://schemas.microsoft.com/office/drawing/2014/main" id="{00000000-0008-0000-0600-00002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a:extLst>
            <a:ext uri="{FF2B5EF4-FFF2-40B4-BE49-F238E27FC236}">
              <a16:creationId xmlns:a16="http://schemas.microsoft.com/office/drawing/2014/main" id="{00000000-0008-0000-0600-00002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a:extLst>
            <a:ext uri="{FF2B5EF4-FFF2-40B4-BE49-F238E27FC236}">
              <a16:creationId xmlns:a16="http://schemas.microsoft.com/office/drawing/2014/main" id="{00000000-0008-0000-0600-00002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a:extLst>
            <a:ext uri="{FF2B5EF4-FFF2-40B4-BE49-F238E27FC236}">
              <a16:creationId xmlns:a16="http://schemas.microsoft.com/office/drawing/2014/main" id="{00000000-0008-0000-0600-00002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a:extLst>
            <a:ext uri="{FF2B5EF4-FFF2-40B4-BE49-F238E27FC236}">
              <a16:creationId xmlns:a16="http://schemas.microsoft.com/office/drawing/2014/main" id="{00000000-0008-0000-0600-00002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a:extLst>
            <a:ext uri="{FF2B5EF4-FFF2-40B4-BE49-F238E27FC236}">
              <a16:creationId xmlns:a16="http://schemas.microsoft.com/office/drawing/2014/main" id="{00000000-0008-0000-0600-00002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a:extLst>
            <a:ext uri="{FF2B5EF4-FFF2-40B4-BE49-F238E27FC236}">
              <a16:creationId xmlns:a16="http://schemas.microsoft.com/office/drawing/2014/main" id="{00000000-0008-0000-0600-00002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a:extLst>
            <a:ext uri="{FF2B5EF4-FFF2-40B4-BE49-F238E27FC236}">
              <a16:creationId xmlns:a16="http://schemas.microsoft.com/office/drawing/2014/main" id="{00000000-0008-0000-0600-00003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a:extLst>
            <a:ext uri="{FF2B5EF4-FFF2-40B4-BE49-F238E27FC236}">
              <a16:creationId xmlns:a16="http://schemas.microsoft.com/office/drawing/2014/main" id="{00000000-0008-0000-0600-00003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a:extLst>
            <a:ext uri="{FF2B5EF4-FFF2-40B4-BE49-F238E27FC236}">
              <a16:creationId xmlns:a16="http://schemas.microsoft.com/office/drawing/2014/main" id="{00000000-0008-0000-0600-00003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a:extLst>
            <a:ext uri="{FF2B5EF4-FFF2-40B4-BE49-F238E27FC236}">
              <a16:creationId xmlns:a16="http://schemas.microsoft.com/office/drawing/2014/main" id="{00000000-0008-0000-0600-00003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a:extLst>
            <a:ext uri="{FF2B5EF4-FFF2-40B4-BE49-F238E27FC236}">
              <a16:creationId xmlns:a16="http://schemas.microsoft.com/office/drawing/2014/main" id="{00000000-0008-0000-0600-00003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a:extLst>
            <a:ext uri="{FF2B5EF4-FFF2-40B4-BE49-F238E27FC236}">
              <a16:creationId xmlns:a16="http://schemas.microsoft.com/office/drawing/2014/main" id="{00000000-0008-0000-0600-00003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a:extLst>
            <a:ext uri="{FF2B5EF4-FFF2-40B4-BE49-F238E27FC236}">
              <a16:creationId xmlns:a16="http://schemas.microsoft.com/office/drawing/2014/main" id="{00000000-0008-0000-0600-00003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a:extLst>
            <a:ext uri="{FF2B5EF4-FFF2-40B4-BE49-F238E27FC236}">
              <a16:creationId xmlns:a16="http://schemas.microsoft.com/office/drawing/2014/main" id="{00000000-0008-0000-0600-00003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a:extLst>
            <a:ext uri="{FF2B5EF4-FFF2-40B4-BE49-F238E27FC236}">
              <a16:creationId xmlns:a16="http://schemas.microsoft.com/office/drawing/2014/main" id="{00000000-0008-0000-0600-00003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a:extLst>
            <a:ext uri="{FF2B5EF4-FFF2-40B4-BE49-F238E27FC236}">
              <a16:creationId xmlns:a16="http://schemas.microsoft.com/office/drawing/2014/main" id="{00000000-0008-0000-0600-00003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a:extLst>
            <a:ext uri="{FF2B5EF4-FFF2-40B4-BE49-F238E27FC236}">
              <a16:creationId xmlns:a16="http://schemas.microsoft.com/office/drawing/2014/main" id="{00000000-0008-0000-0600-00003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a:extLst>
            <a:ext uri="{FF2B5EF4-FFF2-40B4-BE49-F238E27FC236}">
              <a16:creationId xmlns:a16="http://schemas.microsoft.com/office/drawing/2014/main" id="{00000000-0008-0000-0600-00003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a:extLst>
            <a:ext uri="{FF2B5EF4-FFF2-40B4-BE49-F238E27FC236}">
              <a16:creationId xmlns:a16="http://schemas.microsoft.com/office/drawing/2014/main" id="{00000000-0008-0000-0600-00003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a:extLst>
            <a:ext uri="{FF2B5EF4-FFF2-40B4-BE49-F238E27FC236}">
              <a16:creationId xmlns:a16="http://schemas.microsoft.com/office/drawing/2014/main" id="{00000000-0008-0000-0600-00003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a:extLst>
            <a:ext uri="{FF2B5EF4-FFF2-40B4-BE49-F238E27FC236}">
              <a16:creationId xmlns:a16="http://schemas.microsoft.com/office/drawing/2014/main" id="{00000000-0008-0000-0600-00003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a:extLst>
            <a:ext uri="{FF2B5EF4-FFF2-40B4-BE49-F238E27FC236}">
              <a16:creationId xmlns:a16="http://schemas.microsoft.com/office/drawing/2014/main" id="{00000000-0008-0000-0600-00003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a:extLst>
            <a:ext uri="{FF2B5EF4-FFF2-40B4-BE49-F238E27FC236}">
              <a16:creationId xmlns:a16="http://schemas.microsoft.com/office/drawing/2014/main" id="{00000000-0008-0000-0600-00004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a:extLst>
            <a:ext uri="{FF2B5EF4-FFF2-40B4-BE49-F238E27FC236}">
              <a16:creationId xmlns:a16="http://schemas.microsoft.com/office/drawing/2014/main" id="{00000000-0008-0000-0600-00004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a:extLst>
            <a:ext uri="{FF2B5EF4-FFF2-40B4-BE49-F238E27FC236}">
              <a16:creationId xmlns:a16="http://schemas.microsoft.com/office/drawing/2014/main" id="{00000000-0008-0000-0600-00004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a:extLst>
            <a:ext uri="{FF2B5EF4-FFF2-40B4-BE49-F238E27FC236}">
              <a16:creationId xmlns:a16="http://schemas.microsoft.com/office/drawing/2014/main" id="{00000000-0008-0000-0600-00004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a:extLst>
            <a:ext uri="{FF2B5EF4-FFF2-40B4-BE49-F238E27FC236}">
              <a16:creationId xmlns:a16="http://schemas.microsoft.com/office/drawing/2014/main" id="{00000000-0008-0000-0600-00004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a:extLst>
            <a:ext uri="{FF2B5EF4-FFF2-40B4-BE49-F238E27FC236}">
              <a16:creationId xmlns:a16="http://schemas.microsoft.com/office/drawing/2014/main" id="{00000000-0008-0000-0600-00004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a:extLst>
            <a:ext uri="{FF2B5EF4-FFF2-40B4-BE49-F238E27FC236}">
              <a16:creationId xmlns:a16="http://schemas.microsoft.com/office/drawing/2014/main" id="{00000000-0008-0000-0600-00004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a:extLst>
            <a:ext uri="{FF2B5EF4-FFF2-40B4-BE49-F238E27FC236}">
              <a16:creationId xmlns:a16="http://schemas.microsoft.com/office/drawing/2014/main" id="{00000000-0008-0000-0600-00004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a:extLst>
            <a:ext uri="{FF2B5EF4-FFF2-40B4-BE49-F238E27FC236}">
              <a16:creationId xmlns:a16="http://schemas.microsoft.com/office/drawing/2014/main" id="{00000000-0008-0000-0600-00004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a:extLst>
            <a:ext uri="{FF2B5EF4-FFF2-40B4-BE49-F238E27FC236}">
              <a16:creationId xmlns:a16="http://schemas.microsoft.com/office/drawing/2014/main" id="{00000000-0008-0000-0600-00004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a:extLst>
            <a:ext uri="{FF2B5EF4-FFF2-40B4-BE49-F238E27FC236}">
              <a16:creationId xmlns:a16="http://schemas.microsoft.com/office/drawing/2014/main" id="{00000000-0008-0000-0600-00004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a:extLst>
            <a:ext uri="{FF2B5EF4-FFF2-40B4-BE49-F238E27FC236}">
              <a16:creationId xmlns:a16="http://schemas.microsoft.com/office/drawing/2014/main" id="{00000000-0008-0000-0600-00004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a:extLst>
            <a:ext uri="{FF2B5EF4-FFF2-40B4-BE49-F238E27FC236}">
              <a16:creationId xmlns:a16="http://schemas.microsoft.com/office/drawing/2014/main" id="{00000000-0008-0000-0600-00004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a:extLst>
            <a:ext uri="{FF2B5EF4-FFF2-40B4-BE49-F238E27FC236}">
              <a16:creationId xmlns:a16="http://schemas.microsoft.com/office/drawing/2014/main" id="{00000000-0008-0000-0600-00004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a:extLst>
            <a:ext uri="{FF2B5EF4-FFF2-40B4-BE49-F238E27FC236}">
              <a16:creationId xmlns:a16="http://schemas.microsoft.com/office/drawing/2014/main" id="{00000000-0008-0000-0600-00004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a:extLst>
            <a:ext uri="{FF2B5EF4-FFF2-40B4-BE49-F238E27FC236}">
              <a16:creationId xmlns:a16="http://schemas.microsoft.com/office/drawing/2014/main" id="{00000000-0008-0000-0600-00004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a:extLst>
            <a:ext uri="{FF2B5EF4-FFF2-40B4-BE49-F238E27FC236}">
              <a16:creationId xmlns:a16="http://schemas.microsoft.com/office/drawing/2014/main" id="{00000000-0008-0000-0600-00005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a:extLst>
            <a:ext uri="{FF2B5EF4-FFF2-40B4-BE49-F238E27FC236}">
              <a16:creationId xmlns:a16="http://schemas.microsoft.com/office/drawing/2014/main" id="{00000000-0008-0000-0600-00005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a:extLst>
            <a:ext uri="{FF2B5EF4-FFF2-40B4-BE49-F238E27FC236}">
              <a16:creationId xmlns:a16="http://schemas.microsoft.com/office/drawing/2014/main" id="{00000000-0008-0000-0600-00005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a:extLst>
            <a:ext uri="{FF2B5EF4-FFF2-40B4-BE49-F238E27FC236}">
              <a16:creationId xmlns:a16="http://schemas.microsoft.com/office/drawing/2014/main" id="{00000000-0008-0000-0600-00005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a:extLst>
            <a:ext uri="{FF2B5EF4-FFF2-40B4-BE49-F238E27FC236}">
              <a16:creationId xmlns:a16="http://schemas.microsoft.com/office/drawing/2014/main" id="{00000000-0008-0000-0600-00005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a:extLst>
            <a:ext uri="{FF2B5EF4-FFF2-40B4-BE49-F238E27FC236}">
              <a16:creationId xmlns:a16="http://schemas.microsoft.com/office/drawing/2014/main" id="{00000000-0008-0000-0600-00005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a:extLst>
            <a:ext uri="{FF2B5EF4-FFF2-40B4-BE49-F238E27FC236}">
              <a16:creationId xmlns:a16="http://schemas.microsoft.com/office/drawing/2014/main" id="{00000000-0008-0000-0600-00005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a:extLst>
            <a:ext uri="{FF2B5EF4-FFF2-40B4-BE49-F238E27FC236}">
              <a16:creationId xmlns:a16="http://schemas.microsoft.com/office/drawing/2014/main" id="{00000000-0008-0000-0600-00005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a:extLst>
            <a:ext uri="{FF2B5EF4-FFF2-40B4-BE49-F238E27FC236}">
              <a16:creationId xmlns:a16="http://schemas.microsoft.com/office/drawing/2014/main" id="{00000000-0008-0000-0600-00005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a:extLst>
            <a:ext uri="{FF2B5EF4-FFF2-40B4-BE49-F238E27FC236}">
              <a16:creationId xmlns:a16="http://schemas.microsoft.com/office/drawing/2014/main" id="{00000000-0008-0000-0600-00005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a:extLst>
            <a:ext uri="{FF2B5EF4-FFF2-40B4-BE49-F238E27FC236}">
              <a16:creationId xmlns:a16="http://schemas.microsoft.com/office/drawing/2014/main" id="{00000000-0008-0000-0600-00005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a:extLst>
            <a:ext uri="{FF2B5EF4-FFF2-40B4-BE49-F238E27FC236}">
              <a16:creationId xmlns:a16="http://schemas.microsoft.com/office/drawing/2014/main" id="{00000000-0008-0000-0600-00005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a:extLst>
            <a:ext uri="{FF2B5EF4-FFF2-40B4-BE49-F238E27FC236}">
              <a16:creationId xmlns:a16="http://schemas.microsoft.com/office/drawing/2014/main" id="{00000000-0008-0000-0600-00005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a:extLst>
            <a:ext uri="{FF2B5EF4-FFF2-40B4-BE49-F238E27FC236}">
              <a16:creationId xmlns:a16="http://schemas.microsoft.com/office/drawing/2014/main" id="{00000000-0008-0000-0600-00005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a:extLst>
            <a:ext uri="{FF2B5EF4-FFF2-40B4-BE49-F238E27FC236}">
              <a16:creationId xmlns:a16="http://schemas.microsoft.com/office/drawing/2014/main" id="{00000000-0008-0000-0600-00005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a:extLst>
            <a:ext uri="{FF2B5EF4-FFF2-40B4-BE49-F238E27FC236}">
              <a16:creationId xmlns:a16="http://schemas.microsoft.com/office/drawing/2014/main" id="{00000000-0008-0000-0600-00005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a:extLst>
            <a:ext uri="{FF2B5EF4-FFF2-40B4-BE49-F238E27FC236}">
              <a16:creationId xmlns:a16="http://schemas.microsoft.com/office/drawing/2014/main" id="{00000000-0008-0000-0600-00006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a:extLst>
            <a:ext uri="{FF2B5EF4-FFF2-40B4-BE49-F238E27FC236}">
              <a16:creationId xmlns:a16="http://schemas.microsoft.com/office/drawing/2014/main" id="{00000000-0008-0000-0600-00006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a:extLst>
            <a:ext uri="{FF2B5EF4-FFF2-40B4-BE49-F238E27FC236}">
              <a16:creationId xmlns:a16="http://schemas.microsoft.com/office/drawing/2014/main" id="{00000000-0008-0000-0600-00006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a:extLst>
            <a:ext uri="{FF2B5EF4-FFF2-40B4-BE49-F238E27FC236}">
              <a16:creationId xmlns:a16="http://schemas.microsoft.com/office/drawing/2014/main" id="{00000000-0008-0000-0600-00006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a:extLst>
            <a:ext uri="{FF2B5EF4-FFF2-40B4-BE49-F238E27FC236}">
              <a16:creationId xmlns:a16="http://schemas.microsoft.com/office/drawing/2014/main" id="{00000000-0008-0000-0600-00006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a:extLst>
            <a:ext uri="{FF2B5EF4-FFF2-40B4-BE49-F238E27FC236}">
              <a16:creationId xmlns:a16="http://schemas.microsoft.com/office/drawing/2014/main" id="{00000000-0008-0000-0600-00006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a:extLst>
            <a:ext uri="{FF2B5EF4-FFF2-40B4-BE49-F238E27FC236}">
              <a16:creationId xmlns:a16="http://schemas.microsoft.com/office/drawing/2014/main" id="{00000000-0008-0000-0600-00006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a:extLst>
            <a:ext uri="{FF2B5EF4-FFF2-40B4-BE49-F238E27FC236}">
              <a16:creationId xmlns:a16="http://schemas.microsoft.com/office/drawing/2014/main" id="{00000000-0008-0000-0600-00006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a:extLst>
            <a:ext uri="{FF2B5EF4-FFF2-40B4-BE49-F238E27FC236}">
              <a16:creationId xmlns:a16="http://schemas.microsoft.com/office/drawing/2014/main" id="{00000000-0008-0000-0600-00006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a:extLst>
            <a:ext uri="{FF2B5EF4-FFF2-40B4-BE49-F238E27FC236}">
              <a16:creationId xmlns:a16="http://schemas.microsoft.com/office/drawing/2014/main" id="{00000000-0008-0000-0600-00006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a:extLst>
            <a:ext uri="{FF2B5EF4-FFF2-40B4-BE49-F238E27FC236}">
              <a16:creationId xmlns:a16="http://schemas.microsoft.com/office/drawing/2014/main" id="{00000000-0008-0000-0600-00006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a:extLst>
            <a:ext uri="{FF2B5EF4-FFF2-40B4-BE49-F238E27FC236}">
              <a16:creationId xmlns:a16="http://schemas.microsoft.com/office/drawing/2014/main" id="{00000000-0008-0000-0600-00006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a:extLst>
            <a:ext uri="{FF2B5EF4-FFF2-40B4-BE49-F238E27FC236}">
              <a16:creationId xmlns:a16="http://schemas.microsoft.com/office/drawing/2014/main" id="{00000000-0008-0000-0600-00006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a:extLst>
            <a:ext uri="{FF2B5EF4-FFF2-40B4-BE49-F238E27FC236}">
              <a16:creationId xmlns:a16="http://schemas.microsoft.com/office/drawing/2014/main" id="{00000000-0008-0000-0600-00006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a:extLst>
            <a:ext uri="{FF2B5EF4-FFF2-40B4-BE49-F238E27FC236}">
              <a16:creationId xmlns:a16="http://schemas.microsoft.com/office/drawing/2014/main" id="{00000000-0008-0000-0600-00006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a:extLst>
            <a:ext uri="{FF2B5EF4-FFF2-40B4-BE49-F238E27FC236}">
              <a16:creationId xmlns:a16="http://schemas.microsoft.com/office/drawing/2014/main" id="{00000000-0008-0000-0600-00006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a:extLst>
            <a:ext uri="{FF2B5EF4-FFF2-40B4-BE49-F238E27FC236}">
              <a16:creationId xmlns:a16="http://schemas.microsoft.com/office/drawing/2014/main" id="{00000000-0008-0000-0600-00007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a:extLst>
            <a:ext uri="{FF2B5EF4-FFF2-40B4-BE49-F238E27FC236}">
              <a16:creationId xmlns:a16="http://schemas.microsoft.com/office/drawing/2014/main" id="{00000000-0008-0000-0600-00007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a:extLst>
            <a:ext uri="{FF2B5EF4-FFF2-40B4-BE49-F238E27FC236}">
              <a16:creationId xmlns:a16="http://schemas.microsoft.com/office/drawing/2014/main" id="{00000000-0008-0000-0600-00007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a:extLst>
            <a:ext uri="{FF2B5EF4-FFF2-40B4-BE49-F238E27FC236}">
              <a16:creationId xmlns:a16="http://schemas.microsoft.com/office/drawing/2014/main" id="{00000000-0008-0000-0600-00007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a:extLst>
            <a:ext uri="{FF2B5EF4-FFF2-40B4-BE49-F238E27FC236}">
              <a16:creationId xmlns:a16="http://schemas.microsoft.com/office/drawing/2014/main" id="{00000000-0008-0000-0600-00007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a:extLst>
            <a:ext uri="{FF2B5EF4-FFF2-40B4-BE49-F238E27FC236}">
              <a16:creationId xmlns:a16="http://schemas.microsoft.com/office/drawing/2014/main" id="{00000000-0008-0000-0600-00007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a:extLst>
            <a:ext uri="{FF2B5EF4-FFF2-40B4-BE49-F238E27FC236}">
              <a16:creationId xmlns:a16="http://schemas.microsoft.com/office/drawing/2014/main" id="{00000000-0008-0000-0600-00007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a:extLst>
            <a:ext uri="{FF2B5EF4-FFF2-40B4-BE49-F238E27FC236}">
              <a16:creationId xmlns:a16="http://schemas.microsoft.com/office/drawing/2014/main" id="{00000000-0008-0000-0600-00007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a:extLst>
            <a:ext uri="{FF2B5EF4-FFF2-40B4-BE49-F238E27FC236}">
              <a16:creationId xmlns:a16="http://schemas.microsoft.com/office/drawing/2014/main" id="{00000000-0008-0000-0600-00007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a:extLst>
            <a:ext uri="{FF2B5EF4-FFF2-40B4-BE49-F238E27FC236}">
              <a16:creationId xmlns:a16="http://schemas.microsoft.com/office/drawing/2014/main" id="{00000000-0008-0000-0600-00007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a:extLst>
            <a:ext uri="{FF2B5EF4-FFF2-40B4-BE49-F238E27FC236}">
              <a16:creationId xmlns:a16="http://schemas.microsoft.com/office/drawing/2014/main" id="{00000000-0008-0000-0600-00007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a:extLst>
            <a:ext uri="{FF2B5EF4-FFF2-40B4-BE49-F238E27FC236}">
              <a16:creationId xmlns:a16="http://schemas.microsoft.com/office/drawing/2014/main" id="{00000000-0008-0000-0600-00007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a:extLst>
            <a:ext uri="{FF2B5EF4-FFF2-40B4-BE49-F238E27FC236}">
              <a16:creationId xmlns:a16="http://schemas.microsoft.com/office/drawing/2014/main" id="{00000000-0008-0000-0600-00007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a:extLst>
            <a:ext uri="{FF2B5EF4-FFF2-40B4-BE49-F238E27FC236}">
              <a16:creationId xmlns:a16="http://schemas.microsoft.com/office/drawing/2014/main" id="{00000000-0008-0000-0600-00007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a:extLst>
            <a:ext uri="{FF2B5EF4-FFF2-40B4-BE49-F238E27FC236}">
              <a16:creationId xmlns:a16="http://schemas.microsoft.com/office/drawing/2014/main" id="{00000000-0008-0000-0600-00007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a:extLst>
            <a:ext uri="{FF2B5EF4-FFF2-40B4-BE49-F238E27FC236}">
              <a16:creationId xmlns:a16="http://schemas.microsoft.com/office/drawing/2014/main" id="{00000000-0008-0000-0600-00007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a:extLst>
            <a:ext uri="{FF2B5EF4-FFF2-40B4-BE49-F238E27FC236}">
              <a16:creationId xmlns:a16="http://schemas.microsoft.com/office/drawing/2014/main" id="{00000000-0008-0000-0600-00008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a:extLst>
            <a:ext uri="{FF2B5EF4-FFF2-40B4-BE49-F238E27FC236}">
              <a16:creationId xmlns:a16="http://schemas.microsoft.com/office/drawing/2014/main" id="{00000000-0008-0000-0600-00008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a:extLst>
            <a:ext uri="{FF2B5EF4-FFF2-40B4-BE49-F238E27FC236}">
              <a16:creationId xmlns:a16="http://schemas.microsoft.com/office/drawing/2014/main" id="{00000000-0008-0000-0600-00008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a:extLst>
            <a:ext uri="{FF2B5EF4-FFF2-40B4-BE49-F238E27FC236}">
              <a16:creationId xmlns:a16="http://schemas.microsoft.com/office/drawing/2014/main" id="{00000000-0008-0000-0600-00008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a:extLst>
            <a:ext uri="{FF2B5EF4-FFF2-40B4-BE49-F238E27FC236}">
              <a16:creationId xmlns:a16="http://schemas.microsoft.com/office/drawing/2014/main" id="{00000000-0008-0000-0600-00008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a:extLst>
            <a:ext uri="{FF2B5EF4-FFF2-40B4-BE49-F238E27FC236}">
              <a16:creationId xmlns:a16="http://schemas.microsoft.com/office/drawing/2014/main" id="{00000000-0008-0000-0600-00008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a:extLst>
            <a:ext uri="{FF2B5EF4-FFF2-40B4-BE49-F238E27FC236}">
              <a16:creationId xmlns:a16="http://schemas.microsoft.com/office/drawing/2014/main" id="{00000000-0008-0000-0600-00008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a:extLst>
            <a:ext uri="{FF2B5EF4-FFF2-40B4-BE49-F238E27FC236}">
              <a16:creationId xmlns:a16="http://schemas.microsoft.com/office/drawing/2014/main" id="{00000000-0008-0000-0600-00008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a:extLst>
            <a:ext uri="{FF2B5EF4-FFF2-40B4-BE49-F238E27FC236}">
              <a16:creationId xmlns:a16="http://schemas.microsoft.com/office/drawing/2014/main" id="{00000000-0008-0000-0600-00008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a:extLst>
            <a:ext uri="{FF2B5EF4-FFF2-40B4-BE49-F238E27FC236}">
              <a16:creationId xmlns:a16="http://schemas.microsoft.com/office/drawing/2014/main" id="{00000000-0008-0000-0600-00008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a:extLst>
            <a:ext uri="{FF2B5EF4-FFF2-40B4-BE49-F238E27FC236}">
              <a16:creationId xmlns:a16="http://schemas.microsoft.com/office/drawing/2014/main" id="{00000000-0008-0000-0600-00008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a:extLst>
            <a:ext uri="{FF2B5EF4-FFF2-40B4-BE49-F238E27FC236}">
              <a16:creationId xmlns:a16="http://schemas.microsoft.com/office/drawing/2014/main" id="{00000000-0008-0000-0600-00008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a:extLst>
            <a:ext uri="{FF2B5EF4-FFF2-40B4-BE49-F238E27FC236}">
              <a16:creationId xmlns:a16="http://schemas.microsoft.com/office/drawing/2014/main" id="{00000000-0008-0000-0600-00008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a:extLst>
            <a:ext uri="{FF2B5EF4-FFF2-40B4-BE49-F238E27FC236}">
              <a16:creationId xmlns:a16="http://schemas.microsoft.com/office/drawing/2014/main" id="{00000000-0008-0000-0600-00008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a:extLst>
            <a:ext uri="{FF2B5EF4-FFF2-40B4-BE49-F238E27FC236}">
              <a16:creationId xmlns:a16="http://schemas.microsoft.com/office/drawing/2014/main" id="{00000000-0008-0000-0600-00008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a:extLst>
            <a:ext uri="{FF2B5EF4-FFF2-40B4-BE49-F238E27FC236}">
              <a16:creationId xmlns:a16="http://schemas.microsoft.com/office/drawing/2014/main" id="{00000000-0008-0000-0600-00008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a:extLst>
            <a:ext uri="{FF2B5EF4-FFF2-40B4-BE49-F238E27FC236}">
              <a16:creationId xmlns:a16="http://schemas.microsoft.com/office/drawing/2014/main" id="{00000000-0008-0000-0600-00009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a:extLst>
            <a:ext uri="{FF2B5EF4-FFF2-40B4-BE49-F238E27FC236}">
              <a16:creationId xmlns:a16="http://schemas.microsoft.com/office/drawing/2014/main" id="{00000000-0008-0000-0600-00009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381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a:extLst>
            <a:ext uri="{FF2B5EF4-FFF2-40B4-BE49-F238E27FC236}">
              <a16:creationId xmlns:a16="http://schemas.microsoft.com/office/drawing/2014/main" id="{00000000-0008-0000-0600-00009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a:extLst>
            <a:ext uri="{FF2B5EF4-FFF2-40B4-BE49-F238E27FC236}">
              <a16:creationId xmlns:a16="http://schemas.microsoft.com/office/drawing/2014/main" id="{00000000-0008-0000-0600-00009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a:extLst>
            <a:ext uri="{FF2B5EF4-FFF2-40B4-BE49-F238E27FC236}">
              <a16:creationId xmlns:a16="http://schemas.microsoft.com/office/drawing/2014/main" id="{00000000-0008-0000-0600-00009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a:extLst>
            <a:ext uri="{FF2B5EF4-FFF2-40B4-BE49-F238E27FC236}">
              <a16:creationId xmlns:a16="http://schemas.microsoft.com/office/drawing/2014/main" id="{00000000-0008-0000-0600-00009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a:extLst>
            <a:ext uri="{FF2B5EF4-FFF2-40B4-BE49-F238E27FC236}">
              <a16:creationId xmlns:a16="http://schemas.microsoft.com/office/drawing/2014/main" id="{00000000-0008-0000-0600-00009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a:extLst>
            <a:ext uri="{FF2B5EF4-FFF2-40B4-BE49-F238E27FC236}">
              <a16:creationId xmlns:a16="http://schemas.microsoft.com/office/drawing/2014/main" id="{00000000-0008-0000-0600-00009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a:extLst>
            <a:ext uri="{FF2B5EF4-FFF2-40B4-BE49-F238E27FC236}">
              <a16:creationId xmlns:a16="http://schemas.microsoft.com/office/drawing/2014/main" id="{00000000-0008-0000-0600-00009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a:extLst>
            <a:ext uri="{FF2B5EF4-FFF2-40B4-BE49-F238E27FC236}">
              <a16:creationId xmlns:a16="http://schemas.microsoft.com/office/drawing/2014/main" id="{00000000-0008-0000-0600-00009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a:extLst>
            <a:ext uri="{FF2B5EF4-FFF2-40B4-BE49-F238E27FC236}">
              <a16:creationId xmlns:a16="http://schemas.microsoft.com/office/drawing/2014/main" id="{00000000-0008-0000-0600-00009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a:extLst>
            <a:ext uri="{FF2B5EF4-FFF2-40B4-BE49-F238E27FC236}">
              <a16:creationId xmlns:a16="http://schemas.microsoft.com/office/drawing/2014/main" id="{00000000-0008-0000-0600-00009B020000}"/>
            </a:ext>
          </a:extLst>
        </xdr:cNvPr>
        <xdr:cNvSpPr>
          <a:spLocks noChangeAspect="1" noChangeArrowheads="1"/>
        </xdr:cNvSpPr>
      </xdr:nvSpPr>
      <xdr:spPr bwMode="auto">
        <a:xfrm>
          <a:off x="5772150" y="4000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a:extLst>
            <a:ext uri="{FF2B5EF4-FFF2-40B4-BE49-F238E27FC236}">
              <a16:creationId xmlns:a16="http://schemas.microsoft.com/office/drawing/2014/main" id="{00000000-0008-0000-0600-00009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a:extLst>
            <a:ext uri="{FF2B5EF4-FFF2-40B4-BE49-F238E27FC236}">
              <a16:creationId xmlns:a16="http://schemas.microsoft.com/office/drawing/2014/main" id="{00000000-0008-0000-0600-00009D020000}"/>
            </a:ext>
          </a:extLst>
        </xdr:cNvPr>
        <xdr:cNvSpPr>
          <a:spLocks noChangeAspect="1" noChangeArrowheads="1"/>
        </xdr:cNvSpPr>
      </xdr:nvSpPr>
      <xdr:spPr bwMode="auto">
        <a:xfrm>
          <a:off x="5772150" y="4191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a:extLst>
            <a:ext uri="{FF2B5EF4-FFF2-40B4-BE49-F238E27FC236}">
              <a16:creationId xmlns:a16="http://schemas.microsoft.com/office/drawing/2014/main" id="{00000000-0008-0000-0600-00009E020000}"/>
            </a:ext>
          </a:extLst>
        </xdr:cNvPr>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a:extLst>
            <a:ext uri="{FF2B5EF4-FFF2-40B4-BE49-F238E27FC236}">
              <a16:creationId xmlns:a16="http://schemas.microsoft.com/office/drawing/2014/main" id="{00000000-0008-0000-0600-00009F020000}"/>
            </a:ext>
          </a:extLst>
        </xdr:cNvPr>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a:extLst>
            <a:ext uri="{FF2B5EF4-FFF2-40B4-BE49-F238E27FC236}">
              <a16:creationId xmlns:a16="http://schemas.microsoft.com/office/drawing/2014/main" id="{00000000-0008-0000-0600-0000A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a:extLst>
            <a:ext uri="{FF2B5EF4-FFF2-40B4-BE49-F238E27FC236}">
              <a16:creationId xmlns:a16="http://schemas.microsoft.com/office/drawing/2014/main" id="{00000000-0008-0000-0600-0000A1020000}"/>
            </a:ext>
          </a:extLst>
        </xdr:cNvPr>
        <xdr:cNvSpPr>
          <a:spLocks noChangeAspect="1" noChangeArrowheads="1"/>
        </xdr:cNvSpPr>
      </xdr:nvSpPr>
      <xdr:spPr bwMode="auto">
        <a:xfrm>
          <a:off x="5772150" y="36195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a:extLst>
            <a:ext uri="{FF2B5EF4-FFF2-40B4-BE49-F238E27FC236}">
              <a16:creationId xmlns:a16="http://schemas.microsoft.com/office/drawing/2014/main" id="{00000000-0008-0000-0600-0000A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a:extLst>
            <a:ext uri="{FF2B5EF4-FFF2-40B4-BE49-F238E27FC236}">
              <a16:creationId xmlns:a16="http://schemas.microsoft.com/office/drawing/2014/main" id="{00000000-0008-0000-0600-0000A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a:extLst>
            <a:ext uri="{FF2B5EF4-FFF2-40B4-BE49-F238E27FC236}">
              <a16:creationId xmlns:a16="http://schemas.microsoft.com/office/drawing/2014/main" id="{00000000-0008-0000-0600-0000A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a:extLst>
            <a:ext uri="{FF2B5EF4-FFF2-40B4-BE49-F238E27FC236}">
              <a16:creationId xmlns:a16="http://schemas.microsoft.com/office/drawing/2014/main" id="{00000000-0008-0000-0600-0000A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a:extLst>
            <a:ext uri="{FF2B5EF4-FFF2-40B4-BE49-F238E27FC236}">
              <a16:creationId xmlns:a16="http://schemas.microsoft.com/office/drawing/2014/main" id="{00000000-0008-0000-0600-0000A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a:extLst>
            <a:ext uri="{FF2B5EF4-FFF2-40B4-BE49-F238E27FC236}">
              <a16:creationId xmlns:a16="http://schemas.microsoft.com/office/drawing/2014/main" id="{00000000-0008-0000-0600-0000A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a:extLst>
            <a:ext uri="{FF2B5EF4-FFF2-40B4-BE49-F238E27FC236}">
              <a16:creationId xmlns:a16="http://schemas.microsoft.com/office/drawing/2014/main" id="{00000000-0008-0000-0600-0000A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a:extLst>
            <a:ext uri="{FF2B5EF4-FFF2-40B4-BE49-F238E27FC236}">
              <a16:creationId xmlns:a16="http://schemas.microsoft.com/office/drawing/2014/main" id="{00000000-0008-0000-0600-0000A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a:extLst>
            <a:ext uri="{FF2B5EF4-FFF2-40B4-BE49-F238E27FC236}">
              <a16:creationId xmlns:a16="http://schemas.microsoft.com/office/drawing/2014/main" id="{00000000-0008-0000-0600-0000A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a:extLst>
            <a:ext uri="{FF2B5EF4-FFF2-40B4-BE49-F238E27FC236}">
              <a16:creationId xmlns:a16="http://schemas.microsoft.com/office/drawing/2014/main" id="{00000000-0008-0000-0600-0000A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a:extLst>
            <a:ext uri="{FF2B5EF4-FFF2-40B4-BE49-F238E27FC236}">
              <a16:creationId xmlns:a16="http://schemas.microsoft.com/office/drawing/2014/main" id="{00000000-0008-0000-0600-0000A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a:extLst>
            <a:ext uri="{FF2B5EF4-FFF2-40B4-BE49-F238E27FC236}">
              <a16:creationId xmlns:a16="http://schemas.microsoft.com/office/drawing/2014/main" id="{00000000-0008-0000-0600-0000A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a:extLst>
            <a:ext uri="{FF2B5EF4-FFF2-40B4-BE49-F238E27FC236}">
              <a16:creationId xmlns:a16="http://schemas.microsoft.com/office/drawing/2014/main" id="{00000000-0008-0000-0600-0000A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a:extLst>
            <a:ext uri="{FF2B5EF4-FFF2-40B4-BE49-F238E27FC236}">
              <a16:creationId xmlns:a16="http://schemas.microsoft.com/office/drawing/2014/main" id="{00000000-0008-0000-0600-0000A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a:extLst>
            <a:ext uri="{FF2B5EF4-FFF2-40B4-BE49-F238E27FC236}">
              <a16:creationId xmlns:a16="http://schemas.microsoft.com/office/drawing/2014/main" id="{00000000-0008-0000-0600-0000B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a:extLst>
            <a:ext uri="{FF2B5EF4-FFF2-40B4-BE49-F238E27FC236}">
              <a16:creationId xmlns:a16="http://schemas.microsoft.com/office/drawing/2014/main" id="{00000000-0008-0000-0600-0000B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a:extLst>
            <a:ext uri="{FF2B5EF4-FFF2-40B4-BE49-F238E27FC236}">
              <a16:creationId xmlns:a16="http://schemas.microsoft.com/office/drawing/2014/main" id="{00000000-0008-0000-0600-0000B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a:extLst>
            <a:ext uri="{FF2B5EF4-FFF2-40B4-BE49-F238E27FC236}">
              <a16:creationId xmlns:a16="http://schemas.microsoft.com/office/drawing/2014/main" id="{00000000-0008-0000-0600-0000B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a:extLst>
            <a:ext uri="{FF2B5EF4-FFF2-40B4-BE49-F238E27FC236}">
              <a16:creationId xmlns:a16="http://schemas.microsoft.com/office/drawing/2014/main" id="{00000000-0008-0000-0600-0000B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a:extLst>
            <a:ext uri="{FF2B5EF4-FFF2-40B4-BE49-F238E27FC236}">
              <a16:creationId xmlns:a16="http://schemas.microsoft.com/office/drawing/2014/main" id="{00000000-0008-0000-0600-0000B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a:extLst>
            <a:ext uri="{FF2B5EF4-FFF2-40B4-BE49-F238E27FC236}">
              <a16:creationId xmlns:a16="http://schemas.microsoft.com/office/drawing/2014/main" id="{00000000-0008-0000-0600-0000B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a:extLst>
            <a:ext uri="{FF2B5EF4-FFF2-40B4-BE49-F238E27FC236}">
              <a16:creationId xmlns:a16="http://schemas.microsoft.com/office/drawing/2014/main" id="{00000000-0008-0000-0600-0000B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a:extLst>
            <a:ext uri="{FF2B5EF4-FFF2-40B4-BE49-F238E27FC236}">
              <a16:creationId xmlns:a16="http://schemas.microsoft.com/office/drawing/2014/main" id="{00000000-0008-0000-0600-0000B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a:extLst>
            <a:ext uri="{FF2B5EF4-FFF2-40B4-BE49-F238E27FC236}">
              <a16:creationId xmlns:a16="http://schemas.microsoft.com/office/drawing/2014/main" id="{00000000-0008-0000-0600-0000B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a:extLst>
            <a:ext uri="{FF2B5EF4-FFF2-40B4-BE49-F238E27FC236}">
              <a16:creationId xmlns:a16="http://schemas.microsoft.com/office/drawing/2014/main" id="{00000000-0008-0000-0600-0000B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a:extLst>
            <a:ext uri="{FF2B5EF4-FFF2-40B4-BE49-F238E27FC236}">
              <a16:creationId xmlns:a16="http://schemas.microsoft.com/office/drawing/2014/main" id="{00000000-0008-0000-0600-0000B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a:extLst>
            <a:ext uri="{FF2B5EF4-FFF2-40B4-BE49-F238E27FC236}">
              <a16:creationId xmlns:a16="http://schemas.microsoft.com/office/drawing/2014/main" id="{00000000-0008-0000-0600-0000B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a:extLst>
            <a:ext uri="{FF2B5EF4-FFF2-40B4-BE49-F238E27FC236}">
              <a16:creationId xmlns:a16="http://schemas.microsoft.com/office/drawing/2014/main" id="{00000000-0008-0000-0600-0000B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a:extLst>
            <a:ext uri="{FF2B5EF4-FFF2-40B4-BE49-F238E27FC236}">
              <a16:creationId xmlns:a16="http://schemas.microsoft.com/office/drawing/2014/main" id="{00000000-0008-0000-0600-0000B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a:extLst>
            <a:ext uri="{FF2B5EF4-FFF2-40B4-BE49-F238E27FC236}">
              <a16:creationId xmlns:a16="http://schemas.microsoft.com/office/drawing/2014/main" id="{00000000-0008-0000-0600-0000B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a:extLst>
            <a:ext uri="{FF2B5EF4-FFF2-40B4-BE49-F238E27FC236}">
              <a16:creationId xmlns:a16="http://schemas.microsoft.com/office/drawing/2014/main" id="{00000000-0008-0000-0600-0000C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a:extLst>
            <a:ext uri="{FF2B5EF4-FFF2-40B4-BE49-F238E27FC236}">
              <a16:creationId xmlns:a16="http://schemas.microsoft.com/office/drawing/2014/main" id="{00000000-0008-0000-0600-0000C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a:extLst>
            <a:ext uri="{FF2B5EF4-FFF2-40B4-BE49-F238E27FC236}">
              <a16:creationId xmlns:a16="http://schemas.microsoft.com/office/drawing/2014/main" id="{00000000-0008-0000-0600-0000C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a:extLst>
            <a:ext uri="{FF2B5EF4-FFF2-40B4-BE49-F238E27FC236}">
              <a16:creationId xmlns:a16="http://schemas.microsoft.com/office/drawing/2014/main" id="{00000000-0008-0000-0600-0000C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a:extLst>
            <a:ext uri="{FF2B5EF4-FFF2-40B4-BE49-F238E27FC236}">
              <a16:creationId xmlns:a16="http://schemas.microsoft.com/office/drawing/2014/main" id="{00000000-0008-0000-0600-0000C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a:extLst>
            <a:ext uri="{FF2B5EF4-FFF2-40B4-BE49-F238E27FC236}">
              <a16:creationId xmlns:a16="http://schemas.microsoft.com/office/drawing/2014/main" id="{00000000-0008-0000-0600-0000C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a:extLst>
            <a:ext uri="{FF2B5EF4-FFF2-40B4-BE49-F238E27FC236}">
              <a16:creationId xmlns:a16="http://schemas.microsoft.com/office/drawing/2014/main" id="{00000000-0008-0000-0600-0000C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a:extLst>
            <a:ext uri="{FF2B5EF4-FFF2-40B4-BE49-F238E27FC236}">
              <a16:creationId xmlns:a16="http://schemas.microsoft.com/office/drawing/2014/main" id="{00000000-0008-0000-0600-0000C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a:extLst>
            <a:ext uri="{FF2B5EF4-FFF2-40B4-BE49-F238E27FC236}">
              <a16:creationId xmlns:a16="http://schemas.microsoft.com/office/drawing/2014/main" id="{00000000-0008-0000-0600-0000C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a:extLst>
            <a:ext uri="{FF2B5EF4-FFF2-40B4-BE49-F238E27FC236}">
              <a16:creationId xmlns:a16="http://schemas.microsoft.com/office/drawing/2014/main" id="{00000000-0008-0000-0600-0000C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a:extLst>
            <a:ext uri="{FF2B5EF4-FFF2-40B4-BE49-F238E27FC236}">
              <a16:creationId xmlns:a16="http://schemas.microsoft.com/office/drawing/2014/main" id="{00000000-0008-0000-0600-0000C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a:extLst>
            <a:ext uri="{FF2B5EF4-FFF2-40B4-BE49-F238E27FC236}">
              <a16:creationId xmlns:a16="http://schemas.microsoft.com/office/drawing/2014/main" id="{00000000-0008-0000-0600-0000C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a:extLst>
            <a:ext uri="{FF2B5EF4-FFF2-40B4-BE49-F238E27FC236}">
              <a16:creationId xmlns:a16="http://schemas.microsoft.com/office/drawing/2014/main" id="{00000000-0008-0000-0600-0000C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a:extLst>
            <a:ext uri="{FF2B5EF4-FFF2-40B4-BE49-F238E27FC236}">
              <a16:creationId xmlns:a16="http://schemas.microsoft.com/office/drawing/2014/main" id="{00000000-0008-0000-0600-0000C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a:extLst>
            <a:ext uri="{FF2B5EF4-FFF2-40B4-BE49-F238E27FC236}">
              <a16:creationId xmlns:a16="http://schemas.microsoft.com/office/drawing/2014/main" id="{00000000-0008-0000-0600-0000C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a:extLst>
            <a:ext uri="{FF2B5EF4-FFF2-40B4-BE49-F238E27FC236}">
              <a16:creationId xmlns:a16="http://schemas.microsoft.com/office/drawing/2014/main" id="{00000000-0008-0000-0600-0000C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a:extLst>
            <a:ext uri="{FF2B5EF4-FFF2-40B4-BE49-F238E27FC236}">
              <a16:creationId xmlns:a16="http://schemas.microsoft.com/office/drawing/2014/main" id="{00000000-0008-0000-0600-0000D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a:extLst>
            <a:ext uri="{FF2B5EF4-FFF2-40B4-BE49-F238E27FC236}">
              <a16:creationId xmlns:a16="http://schemas.microsoft.com/office/drawing/2014/main" id="{00000000-0008-0000-0600-0000D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a:extLst>
            <a:ext uri="{FF2B5EF4-FFF2-40B4-BE49-F238E27FC236}">
              <a16:creationId xmlns:a16="http://schemas.microsoft.com/office/drawing/2014/main" id="{00000000-0008-0000-0600-0000D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a:extLst>
            <a:ext uri="{FF2B5EF4-FFF2-40B4-BE49-F238E27FC236}">
              <a16:creationId xmlns:a16="http://schemas.microsoft.com/office/drawing/2014/main" id="{00000000-0008-0000-0600-0000D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a:extLst>
            <a:ext uri="{FF2B5EF4-FFF2-40B4-BE49-F238E27FC236}">
              <a16:creationId xmlns:a16="http://schemas.microsoft.com/office/drawing/2014/main" id="{00000000-0008-0000-0600-0000D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a:extLst>
            <a:ext uri="{FF2B5EF4-FFF2-40B4-BE49-F238E27FC236}">
              <a16:creationId xmlns:a16="http://schemas.microsoft.com/office/drawing/2014/main" id="{00000000-0008-0000-0600-0000D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a:extLst>
            <a:ext uri="{FF2B5EF4-FFF2-40B4-BE49-F238E27FC236}">
              <a16:creationId xmlns:a16="http://schemas.microsoft.com/office/drawing/2014/main" id="{00000000-0008-0000-0600-0000D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a:extLst>
            <a:ext uri="{FF2B5EF4-FFF2-40B4-BE49-F238E27FC236}">
              <a16:creationId xmlns:a16="http://schemas.microsoft.com/office/drawing/2014/main" id="{00000000-0008-0000-0600-0000D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a:extLst>
            <a:ext uri="{FF2B5EF4-FFF2-40B4-BE49-F238E27FC236}">
              <a16:creationId xmlns:a16="http://schemas.microsoft.com/office/drawing/2014/main" id="{00000000-0008-0000-0600-0000D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a:extLst>
            <a:ext uri="{FF2B5EF4-FFF2-40B4-BE49-F238E27FC236}">
              <a16:creationId xmlns:a16="http://schemas.microsoft.com/office/drawing/2014/main" id="{00000000-0008-0000-0600-0000D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a:extLst>
            <a:ext uri="{FF2B5EF4-FFF2-40B4-BE49-F238E27FC236}">
              <a16:creationId xmlns:a16="http://schemas.microsoft.com/office/drawing/2014/main" id="{00000000-0008-0000-0600-0000D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a:extLst>
            <a:ext uri="{FF2B5EF4-FFF2-40B4-BE49-F238E27FC236}">
              <a16:creationId xmlns:a16="http://schemas.microsoft.com/office/drawing/2014/main" id="{00000000-0008-0000-0600-0000D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a:extLst>
            <a:ext uri="{FF2B5EF4-FFF2-40B4-BE49-F238E27FC236}">
              <a16:creationId xmlns:a16="http://schemas.microsoft.com/office/drawing/2014/main" id="{00000000-0008-0000-0600-0000D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a:extLst>
            <a:ext uri="{FF2B5EF4-FFF2-40B4-BE49-F238E27FC236}">
              <a16:creationId xmlns:a16="http://schemas.microsoft.com/office/drawing/2014/main" id="{00000000-0008-0000-0600-0000D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a:extLst>
            <a:ext uri="{FF2B5EF4-FFF2-40B4-BE49-F238E27FC236}">
              <a16:creationId xmlns:a16="http://schemas.microsoft.com/office/drawing/2014/main" id="{00000000-0008-0000-0600-0000D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a:extLst>
            <a:ext uri="{FF2B5EF4-FFF2-40B4-BE49-F238E27FC236}">
              <a16:creationId xmlns:a16="http://schemas.microsoft.com/office/drawing/2014/main" id="{00000000-0008-0000-0600-0000D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a:extLst>
            <a:ext uri="{FF2B5EF4-FFF2-40B4-BE49-F238E27FC236}">
              <a16:creationId xmlns:a16="http://schemas.microsoft.com/office/drawing/2014/main" id="{00000000-0008-0000-0600-0000E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a:extLst>
            <a:ext uri="{FF2B5EF4-FFF2-40B4-BE49-F238E27FC236}">
              <a16:creationId xmlns:a16="http://schemas.microsoft.com/office/drawing/2014/main" id="{00000000-0008-0000-0600-0000E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a:extLst>
            <a:ext uri="{FF2B5EF4-FFF2-40B4-BE49-F238E27FC236}">
              <a16:creationId xmlns:a16="http://schemas.microsoft.com/office/drawing/2014/main" id="{00000000-0008-0000-0600-0000E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a:extLst>
            <a:ext uri="{FF2B5EF4-FFF2-40B4-BE49-F238E27FC236}">
              <a16:creationId xmlns:a16="http://schemas.microsoft.com/office/drawing/2014/main" id="{00000000-0008-0000-0600-0000E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a:extLst>
            <a:ext uri="{FF2B5EF4-FFF2-40B4-BE49-F238E27FC236}">
              <a16:creationId xmlns:a16="http://schemas.microsoft.com/office/drawing/2014/main" id="{00000000-0008-0000-0600-0000E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a:extLst>
            <a:ext uri="{FF2B5EF4-FFF2-40B4-BE49-F238E27FC236}">
              <a16:creationId xmlns:a16="http://schemas.microsoft.com/office/drawing/2014/main" id="{00000000-0008-0000-0600-0000E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a:extLst>
            <a:ext uri="{FF2B5EF4-FFF2-40B4-BE49-F238E27FC236}">
              <a16:creationId xmlns:a16="http://schemas.microsoft.com/office/drawing/2014/main" id="{00000000-0008-0000-0600-0000E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a:extLst>
            <a:ext uri="{FF2B5EF4-FFF2-40B4-BE49-F238E27FC236}">
              <a16:creationId xmlns:a16="http://schemas.microsoft.com/office/drawing/2014/main" id="{00000000-0008-0000-0600-0000E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a:extLst>
            <a:ext uri="{FF2B5EF4-FFF2-40B4-BE49-F238E27FC236}">
              <a16:creationId xmlns:a16="http://schemas.microsoft.com/office/drawing/2014/main" id="{00000000-0008-0000-0600-0000E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a:extLst>
            <a:ext uri="{FF2B5EF4-FFF2-40B4-BE49-F238E27FC236}">
              <a16:creationId xmlns:a16="http://schemas.microsoft.com/office/drawing/2014/main" id="{00000000-0008-0000-0600-0000E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a:extLst>
            <a:ext uri="{FF2B5EF4-FFF2-40B4-BE49-F238E27FC236}">
              <a16:creationId xmlns:a16="http://schemas.microsoft.com/office/drawing/2014/main" id="{00000000-0008-0000-0600-0000E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a:extLst>
            <a:ext uri="{FF2B5EF4-FFF2-40B4-BE49-F238E27FC236}">
              <a16:creationId xmlns:a16="http://schemas.microsoft.com/office/drawing/2014/main" id="{00000000-0008-0000-0600-0000E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a:extLst>
            <a:ext uri="{FF2B5EF4-FFF2-40B4-BE49-F238E27FC236}">
              <a16:creationId xmlns:a16="http://schemas.microsoft.com/office/drawing/2014/main" id="{00000000-0008-0000-0600-0000E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a:extLst>
            <a:ext uri="{FF2B5EF4-FFF2-40B4-BE49-F238E27FC236}">
              <a16:creationId xmlns:a16="http://schemas.microsoft.com/office/drawing/2014/main" id="{00000000-0008-0000-0600-0000E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a:extLst>
            <a:ext uri="{FF2B5EF4-FFF2-40B4-BE49-F238E27FC236}">
              <a16:creationId xmlns:a16="http://schemas.microsoft.com/office/drawing/2014/main" id="{00000000-0008-0000-0600-0000E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a:extLst>
            <a:ext uri="{FF2B5EF4-FFF2-40B4-BE49-F238E27FC236}">
              <a16:creationId xmlns:a16="http://schemas.microsoft.com/office/drawing/2014/main" id="{00000000-0008-0000-0600-0000E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a:extLst>
            <a:ext uri="{FF2B5EF4-FFF2-40B4-BE49-F238E27FC236}">
              <a16:creationId xmlns:a16="http://schemas.microsoft.com/office/drawing/2014/main" id="{00000000-0008-0000-0600-0000F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a:extLst>
            <a:ext uri="{FF2B5EF4-FFF2-40B4-BE49-F238E27FC236}">
              <a16:creationId xmlns:a16="http://schemas.microsoft.com/office/drawing/2014/main" id="{00000000-0008-0000-0600-0000F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a:extLst>
            <a:ext uri="{FF2B5EF4-FFF2-40B4-BE49-F238E27FC236}">
              <a16:creationId xmlns:a16="http://schemas.microsoft.com/office/drawing/2014/main" id="{00000000-0008-0000-0600-0000F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a:extLst>
            <a:ext uri="{FF2B5EF4-FFF2-40B4-BE49-F238E27FC236}">
              <a16:creationId xmlns:a16="http://schemas.microsoft.com/office/drawing/2014/main" id="{00000000-0008-0000-0600-0000F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a:extLst>
            <a:ext uri="{FF2B5EF4-FFF2-40B4-BE49-F238E27FC236}">
              <a16:creationId xmlns:a16="http://schemas.microsoft.com/office/drawing/2014/main" id="{00000000-0008-0000-0600-0000F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a:extLst>
            <a:ext uri="{FF2B5EF4-FFF2-40B4-BE49-F238E27FC236}">
              <a16:creationId xmlns:a16="http://schemas.microsoft.com/office/drawing/2014/main" id="{00000000-0008-0000-0600-0000F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a:extLst>
            <a:ext uri="{FF2B5EF4-FFF2-40B4-BE49-F238E27FC236}">
              <a16:creationId xmlns:a16="http://schemas.microsoft.com/office/drawing/2014/main" id="{00000000-0008-0000-0600-0000F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a:extLst>
            <a:ext uri="{FF2B5EF4-FFF2-40B4-BE49-F238E27FC236}">
              <a16:creationId xmlns:a16="http://schemas.microsoft.com/office/drawing/2014/main" id="{00000000-0008-0000-0600-0000F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a:extLst>
            <a:ext uri="{FF2B5EF4-FFF2-40B4-BE49-F238E27FC236}">
              <a16:creationId xmlns:a16="http://schemas.microsoft.com/office/drawing/2014/main" id="{00000000-0008-0000-0600-0000F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a:extLst>
            <a:ext uri="{FF2B5EF4-FFF2-40B4-BE49-F238E27FC236}">
              <a16:creationId xmlns:a16="http://schemas.microsoft.com/office/drawing/2014/main" id="{00000000-0008-0000-0600-0000F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a:extLst>
            <a:ext uri="{FF2B5EF4-FFF2-40B4-BE49-F238E27FC236}">
              <a16:creationId xmlns:a16="http://schemas.microsoft.com/office/drawing/2014/main" id="{00000000-0008-0000-0600-0000F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a:extLst>
            <a:ext uri="{FF2B5EF4-FFF2-40B4-BE49-F238E27FC236}">
              <a16:creationId xmlns:a16="http://schemas.microsoft.com/office/drawing/2014/main" id="{00000000-0008-0000-0600-0000F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a:extLst>
            <a:ext uri="{FF2B5EF4-FFF2-40B4-BE49-F238E27FC236}">
              <a16:creationId xmlns:a16="http://schemas.microsoft.com/office/drawing/2014/main" id="{00000000-0008-0000-0600-0000F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a:extLst>
            <a:ext uri="{FF2B5EF4-FFF2-40B4-BE49-F238E27FC236}">
              <a16:creationId xmlns:a16="http://schemas.microsoft.com/office/drawing/2014/main" id="{00000000-0008-0000-0600-0000F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a:extLst>
            <a:ext uri="{FF2B5EF4-FFF2-40B4-BE49-F238E27FC236}">
              <a16:creationId xmlns:a16="http://schemas.microsoft.com/office/drawing/2014/main" id="{00000000-0008-0000-0600-0000F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a:extLst>
            <a:ext uri="{FF2B5EF4-FFF2-40B4-BE49-F238E27FC236}">
              <a16:creationId xmlns:a16="http://schemas.microsoft.com/office/drawing/2014/main" id="{00000000-0008-0000-0600-0000F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a:extLst>
            <a:ext uri="{FF2B5EF4-FFF2-40B4-BE49-F238E27FC236}">
              <a16:creationId xmlns:a16="http://schemas.microsoft.com/office/drawing/2014/main" id="{00000000-0008-0000-0600-00000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a:extLst>
            <a:ext uri="{FF2B5EF4-FFF2-40B4-BE49-F238E27FC236}">
              <a16:creationId xmlns:a16="http://schemas.microsoft.com/office/drawing/2014/main" id="{00000000-0008-0000-0600-00000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a:extLst>
            <a:ext uri="{FF2B5EF4-FFF2-40B4-BE49-F238E27FC236}">
              <a16:creationId xmlns:a16="http://schemas.microsoft.com/office/drawing/2014/main" id="{00000000-0008-0000-0600-00000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a:extLst>
            <a:ext uri="{FF2B5EF4-FFF2-40B4-BE49-F238E27FC236}">
              <a16:creationId xmlns:a16="http://schemas.microsoft.com/office/drawing/2014/main" id="{00000000-0008-0000-0600-00000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a:extLst>
            <a:ext uri="{FF2B5EF4-FFF2-40B4-BE49-F238E27FC236}">
              <a16:creationId xmlns:a16="http://schemas.microsoft.com/office/drawing/2014/main" id="{00000000-0008-0000-0600-00000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a:extLst>
            <a:ext uri="{FF2B5EF4-FFF2-40B4-BE49-F238E27FC236}">
              <a16:creationId xmlns:a16="http://schemas.microsoft.com/office/drawing/2014/main" id="{00000000-0008-0000-0600-00000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a:extLst>
            <a:ext uri="{FF2B5EF4-FFF2-40B4-BE49-F238E27FC236}">
              <a16:creationId xmlns:a16="http://schemas.microsoft.com/office/drawing/2014/main" id="{00000000-0008-0000-0600-00000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a:extLst>
            <a:ext uri="{FF2B5EF4-FFF2-40B4-BE49-F238E27FC236}">
              <a16:creationId xmlns:a16="http://schemas.microsoft.com/office/drawing/2014/main" id="{00000000-0008-0000-0600-00000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a:extLst>
            <a:ext uri="{FF2B5EF4-FFF2-40B4-BE49-F238E27FC236}">
              <a16:creationId xmlns:a16="http://schemas.microsoft.com/office/drawing/2014/main" id="{00000000-0008-0000-0600-00000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a:extLst>
            <a:ext uri="{FF2B5EF4-FFF2-40B4-BE49-F238E27FC236}">
              <a16:creationId xmlns:a16="http://schemas.microsoft.com/office/drawing/2014/main" id="{00000000-0008-0000-0600-00000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a:extLst>
            <a:ext uri="{FF2B5EF4-FFF2-40B4-BE49-F238E27FC236}">
              <a16:creationId xmlns:a16="http://schemas.microsoft.com/office/drawing/2014/main" id="{00000000-0008-0000-0600-00000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a:extLst>
            <a:ext uri="{FF2B5EF4-FFF2-40B4-BE49-F238E27FC236}">
              <a16:creationId xmlns:a16="http://schemas.microsoft.com/office/drawing/2014/main" id="{00000000-0008-0000-0600-00000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a:extLst>
            <a:ext uri="{FF2B5EF4-FFF2-40B4-BE49-F238E27FC236}">
              <a16:creationId xmlns:a16="http://schemas.microsoft.com/office/drawing/2014/main" id="{00000000-0008-0000-0600-00000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a:extLst>
            <a:ext uri="{FF2B5EF4-FFF2-40B4-BE49-F238E27FC236}">
              <a16:creationId xmlns:a16="http://schemas.microsoft.com/office/drawing/2014/main" id="{00000000-0008-0000-0600-00000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a:extLst>
            <a:ext uri="{FF2B5EF4-FFF2-40B4-BE49-F238E27FC236}">
              <a16:creationId xmlns:a16="http://schemas.microsoft.com/office/drawing/2014/main" id="{00000000-0008-0000-0600-00000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a:extLst>
            <a:ext uri="{FF2B5EF4-FFF2-40B4-BE49-F238E27FC236}">
              <a16:creationId xmlns:a16="http://schemas.microsoft.com/office/drawing/2014/main" id="{00000000-0008-0000-0600-00000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a:extLst>
            <a:ext uri="{FF2B5EF4-FFF2-40B4-BE49-F238E27FC236}">
              <a16:creationId xmlns:a16="http://schemas.microsoft.com/office/drawing/2014/main" id="{00000000-0008-0000-0600-00001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a:extLst>
            <a:ext uri="{FF2B5EF4-FFF2-40B4-BE49-F238E27FC236}">
              <a16:creationId xmlns:a16="http://schemas.microsoft.com/office/drawing/2014/main" id="{00000000-0008-0000-0600-00001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a:extLst>
            <a:ext uri="{FF2B5EF4-FFF2-40B4-BE49-F238E27FC236}">
              <a16:creationId xmlns:a16="http://schemas.microsoft.com/office/drawing/2014/main" id="{00000000-0008-0000-0600-00001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a:extLst>
            <a:ext uri="{FF2B5EF4-FFF2-40B4-BE49-F238E27FC236}">
              <a16:creationId xmlns:a16="http://schemas.microsoft.com/office/drawing/2014/main" id="{00000000-0008-0000-0600-00001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a:extLst>
            <a:ext uri="{FF2B5EF4-FFF2-40B4-BE49-F238E27FC236}">
              <a16:creationId xmlns:a16="http://schemas.microsoft.com/office/drawing/2014/main" id="{00000000-0008-0000-0600-00001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a:extLst>
            <a:ext uri="{FF2B5EF4-FFF2-40B4-BE49-F238E27FC236}">
              <a16:creationId xmlns:a16="http://schemas.microsoft.com/office/drawing/2014/main" id="{00000000-0008-0000-0600-00001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a:extLst>
            <a:ext uri="{FF2B5EF4-FFF2-40B4-BE49-F238E27FC236}">
              <a16:creationId xmlns:a16="http://schemas.microsoft.com/office/drawing/2014/main" id="{00000000-0008-0000-0600-00001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a:extLst>
            <a:ext uri="{FF2B5EF4-FFF2-40B4-BE49-F238E27FC236}">
              <a16:creationId xmlns:a16="http://schemas.microsoft.com/office/drawing/2014/main" id="{00000000-0008-0000-0600-00001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a:extLst>
            <a:ext uri="{FF2B5EF4-FFF2-40B4-BE49-F238E27FC236}">
              <a16:creationId xmlns:a16="http://schemas.microsoft.com/office/drawing/2014/main" id="{00000000-0008-0000-0600-00001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a:extLst>
            <a:ext uri="{FF2B5EF4-FFF2-40B4-BE49-F238E27FC236}">
              <a16:creationId xmlns:a16="http://schemas.microsoft.com/office/drawing/2014/main" id="{00000000-0008-0000-0600-00001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a:extLst>
            <a:ext uri="{FF2B5EF4-FFF2-40B4-BE49-F238E27FC236}">
              <a16:creationId xmlns:a16="http://schemas.microsoft.com/office/drawing/2014/main" id="{00000000-0008-0000-0600-00001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a:extLst>
            <a:ext uri="{FF2B5EF4-FFF2-40B4-BE49-F238E27FC236}">
              <a16:creationId xmlns:a16="http://schemas.microsoft.com/office/drawing/2014/main" id="{00000000-0008-0000-0600-00001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a:extLst>
            <a:ext uri="{FF2B5EF4-FFF2-40B4-BE49-F238E27FC236}">
              <a16:creationId xmlns:a16="http://schemas.microsoft.com/office/drawing/2014/main" id="{00000000-0008-0000-0600-00001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a:extLst>
            <a:ext uri="{FF2B5EF4-FFF2-40B4-BE49-F238E27FC236}">
              <a16:creationId xmlns:a16="http://schemas.microsoft.com/office/drawing/2014/main" id="{00000000-0008-0000-0600-00001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a:extLst>
            <a:ext uri="{FF2B5EF4-FFF2-40B4-BE49-F238E27FC236}">
              <a16:creationId xmlns:a16="http://schemas.microsoft.com/office/drawing/2014/main" id="{00000000-0008-0000-0600-00001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a:extLst>
            <a:ext uri="{FF2B5EF4-FFF2-40B4-BE49-F238E27FC236}">
              <a16:creationId xmlns:a16="http://schemas.microsoft.com/office/drawing/2014/main" id="{00000000-0008-0000-0600-00001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a:extLst>
            <a:ext uri="{FF2B5EF4-FFF2-40B4-BE49-F238E27FC236}">
              <a16:creationId xmlns:a16="http://schemas.microsoft.com/office/drawing/2014/main" id="{00000000-0008-0000-0600-00002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a:extLst>
            <a:ext uri="{FF2B5EF4-FFF2-40B4-BE49-F238E27FC236}">
              <a16:creationId xmlns:a16="http://schemas.microsoft.com/office/drawing/2014/main" id="{00000000-0008-0000-0600-00002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a:extLst>
            <a:ext uri="{FF2B5EF4-FFF2-40B4-BE49-F238E27FC236}">
              <a16:creationId xmlns:a16="http://schemas.microsoft.com/office/drawing/2014/main" id="{00000000-0008-0000-0600-00002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a:extLst>
            <a:ext uri="{FF2B5EF4-FFF2-40B4-BE49-F238E27FC236}">
              <a16:creationId xmlns:a16="http://schemas.microsoft.com/office/drawing/2014/main" id="{00000000-0008-0000-0600-00002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a:extLst>
            <a:ext uri="{FF2B5EF4-FFF2-40B4-BE49-F238E27FC236}">
              <a16:creationId xmlns:a16="http://schemas.microsoft.com/office/drawing/2014/main" id="{00000000-0008-0000-0600-00002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a:extLst>
            <a:ext uri="{FF2B5EF4-FFF2-40B4-BE49-F238E27FC236}">
              <a16:creationId xmlns:a16="http://schemas.microsoft.com/office/drawing/2014/main" id="{00000000-0008-0000-0600-00002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a:extLst>
            <a:ext uri="{FF2B5EF4-FFF2-40B4-BE49-F238E27FC236}">
              <a16:creationId xmlns:a16="http://schemas.microsoft.com/office/drawing/2014/main" id="{00000000-0008-0000-0600-00002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a:extLst>
            <a:ext uri="{FF2B5EF4-FFF2-40B4-BE49-F238E27FC236}">
              <a16:creationId xmlns:a16="http://schemas.microsoft.com/office/drawing/2014/main" id="{00000000-0008-0000-0600-00002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a:extLst>
            <a:ext uri="{FF2B5EF4-FFF2-40B4-BE49-F238E27FC236}">
              <a16:creationId xmlns:a16="http://schemas.microsoft.com/office/drawing/2014/main" id="{00000000-0008-0000-0600-00002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a:extLst>
            <a:ext uri="{FF2B5EF4-FFF2-40B4-BE49-F238E27FC236}">
              <a16:creationId xmlns:a16="http://schemas.microsoft.com/office/drawing/2014/main" id="{00000000-0008-0000-0600-00002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a:extLst>
            <a:ext uri="{FF2B5EF4-FFF2-40B4-BE49-F238E27FC236}">
              <a16:creationId xmlns:a16="http://schemas.microsoft.com/office/drawing/2014/main" id="{00000000-0008-0000-0600-00002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a:extLst>
            <a:ext uri="{FF2B5EF4-FFF2-40B4-BE49-F238E27FC236}">
              <a16:creationId xmlns:a16="http://schemas.microsoft.com/office/drawing/2014/main" id="{00000000-0008-0000-0600-00002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a:extLst>
            <a:ext uri="{FF2B5EF4-FFF2-40B4-BE49-F238E27FC236}">
              <a16:creationId xmlns:a16="http://schemas.microsoft.com/office/drawing/2014/main" id="{00000000-0008-0000-0600-00002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a:extLst>
            <a:ext uri="{FF2B5EF4-FFF2-40B4-BE49-F238E27FC236}">
              <a16:creationId xmlns:a16="http://schemas.microsoft.com/office/drawing/2014/main" id="{00000000-0008-0000-0600-00002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a:extLst>
            <a:ext uri="{FF2B5EF4-FFF2-40B4-BE49-F238E27FC236}">
              <a16:creationId xmlns:a16="http://schemas.microsoft.com/office/drawing/2014/main" id="{00000000-0008-0000-0600-00002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a:extLst>
            <a:ext uri="{FF2B5EF4-FFF2-40B4-BE49-F238E27FC236}">
              <a16:creationId xmlns:a16="http://schemas.microsoft.com/office/drawing/2014/main" id="{00000000-0008-0000-0600-00002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a:extLst>
            <a:ext uri="{FF2B5EF4-FFF2-40B4-BE49-F238E27FC236}">
              <a16:creationId xmlns:a16="http://schemas.microsoft.com/office/drawing/2014/main" id="{00000000-0008-0000-0600-00003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a:extLst>
            <a:ext uri="{FF2B5EF4-FFF2-40B4-BE49-F238E27FC236}">
              <a16:creationId xmlns:a16="http://schemas.microsoft.com/office/drawing/2014/main" id="{00000000-0008-0000-0600-00003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a:extLst>
            <a:ext uri="{FF2B5EF4-FFF2-40B4-BE49-F238E27FC236}">
              <a16:creationId xmlns:a16="http://schemas.microsoft.com/office/drawing/2014/main" id="{00000000-0008-0000-0600-00003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a:extLst>
            <a:ext uri="{FF2B5EF4-FFF2-40B4-BE49-F238E27FC236}">
              <a16:creationId xmlns:a16="http://schemas.microsoft.com/office/drawing/2014/main" id="{00000000-0008-0000-0600-00003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a:extLst>
            <a:ext uri="{FF2B5EF4-FFF2-40B4-BE49-F238E27FC236}">
              <a16:creationId xmlns:a16="http://schemas.microsoft.com/office/drawing/2014/main" id="{00000000-0008-0000-0600-00003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a:extLst>
            <a:ext uri="{FF2B5EF4-FFF2-40B4-BE49-F238E27FC236}">
              <a16:creationId xmlns:a16="http://schemas.microsoft.com/office/drawing/2014/main" id="{00000000-0008-0000-0600-00003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a:extLst>
            <a:ext uri="{FF2B5EF4-FFF2-40B4-BE49-F238E27FC236}">
              <a16:creationId xmlns:a16="http://schemas.microsoft.com/office/drawing/2014/main" id="{00000000-0008-0000-0600-00003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a:extLst>
            <a:ext uri="{FF2B5EF4-FFF2-40B4-BE49-F238E27FC236}">
              <a16:creationId xmlns:a16="http://schemas.microsoft.com/office/drawing/2014/main" id="{00000000-0008-0000-0600-00003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a:extLst>
            <a:ext uri="{FF2B5EF4-FFF2-40B4-BE49-F238E27FC236}">
              <a16:creationId xmlns:a16="http://schemas.microsoft.com/office/drawing/2014/main" id="{00000000-0008-0000-0600-00003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a:extLst>
            <a:ext uri="{FF2B5EF4-FFF2-40B4-BE49-F238E27FC236}">
              <a16:creationId xmlns:a16="http://schemas.microsoft.com/office/drawing/2014/main" id="{00000000-0008-0000-0600-00003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a:extLst>
            <a:ext uri="{FF2B5EF4-FFF2-40B4-BE49-F238E27FC236}">
              <a16:creationId xmlns:a16="http://schemas.microsoft.com/office/drawing/2014/main" id="{00000000-0008-0000-0600-00003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a:extLst>
            <a:ext uri="{FF2B5EF4-FFF2-40B4-BE49-F238E27FC236}">
              <a16:creationId xmlns:a16="http://schemas.microsoft.com/office/drawing/2014/main" id="{00000000-0008-0000-0600-00003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a:extLst>
            <a:ext uri="{FF2B5EF4-FFF2-40B4-BE49-F238E27FC236}">
              <a16:creationId xmlns:a16="http://schemas.microsoft.com/office/drawing/2014/main" id="{00000000-0008-0000-0600-00003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a:extLst>
            <a:ext uri="{FF2B5EF4-FFF2-40B4-BE49-F238E27FC236}">
              <a16:creationId xmlns:a16="http://schemas.microsoft.com/office/drawing/2014/main" id="{00000000-0008-0000-0600-00003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a:extLst>
            <a:ext uri="{FF2B5EF4-FFF2-40B4-BE49-F238E27FC236}">
              <a16:creationId xmlns:a16="http://schemas.microsoft.com/office/drawing/2014/main" id="{00000000-0008-0000-0600-00003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a:extLst>
            <a:ext uri="{FF2B5EF4-FFF2-40B4-BE49-F238E27FC236}">
              <a16:creationId xmlns:a16="http://schemas.microsoft.com/office/drawing/2014/main" id="{00000000-0008-0000-0600-00003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a:extLst>
            <a:ext uri="{FF2B5EF4-FFF2-40B4-BE49-F238E27FC236}">
              <a16:creationId xmlns:a16="http://schemas.microsoft.com/office/drawing/2014/main" id="{00000000-0008-0000-0600-00004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a:extLst>
            <a:ext uri="{FF2B5EF4-FFF2-40B4-BE49-F238E27FC236}">
              <a16:creationId xmlns:a16="http://schemas.microsoft.com/office/drawing/2014/main" id="{00000000-0008-0000-0600-00004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a:extLst>
            <a:ext uri="{FF2B5EF4-FFF2-40B4-BE49-F238E27FC236}">
              <a16:creationId xmlns:a16="http://schemas.microsoft.com/office/drawing/2014/main" id="{00000000-0008-0000-0600-00004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a:extLst>
            <a:ext uri="{FF2B5EF4-FFF2-40B4-BE49-F238E27FC236}">
              <a16:creationId xmlns:a16="http://schemas.microsoft.com/office/drawing/2014/main" id="{00000000-0008-0000-0600-00004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a:extLst>
            <a:ext uri="{FF2B5EF4-FFF2-40B4-BE49-F238E27FC236}">
              <a16:creationId xmlns:a16="http://schemas.microsoft.com/office/drawing/2014/main" id="{00000000-0008-0000-0600-00004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a:extLst>
            <a:ext uri="{FF2B5EF4-FFF2-40B4-BE49-F238E27FC236}">
              <a16:creationId xmlns:a16="http://schemas.microsoft.com/office/drawing/2014/main" id="{00000000-0008-0000-0600-00004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a:extLst>
            <a:ext uri="{FF2B5EF4-FFF2-40B4-BE49-F238E27FC236}">
              <a16:creationId xmlns:a16="http://schemas.microsoft.com/office/drawing/2014/main" id="{00000000-0008-0000-0600-00004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a:extLst>
            <a:ext uri="{FF2B5EF4-FFF2-40B4-BE49-F238E27FC236}">
              <a16:creationId xmlns:a16="http://schemas.microsoft.com/office/drawing/2014/main" id="{00000000-0008-0000-0600-00004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a:extLst>
            <a:ext uri="{FF2B5EF4-FFF2-40B4-BE49-F238E27FC236}">
              <a16:creationId xmlns:a16="http://schemas.microsoft.com/office/drawing/2014/main" id="{00000000-0008-0000-0600-00004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a:extLst>
            <a:ext uri="{FF2B5EF4-FFF2-40B4-BE49-F238E27FC236}">
              <a16:creationId xmlns:a16="http://schemas.microsoft.com/office/drawing/2014/main" id="{00000000-0008-0000-0600-00004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a:extLst>
            <a:ext uri="{FF2B5EF4-FFF2-40B4-BE49-F238E27FC236}">
              <a16:creationId xmlns:a16="http://schemas.microsoft.com/office/drawing/2014/main" id="{00000000-0008-0000-0600-00004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a:extLst>
            <a:ext uri="{FF2B5EF4-FFF2-40B4-BE49-F238E27FC236}">
              <a16:creationId xmlns:a16="http://schemas.microsoft.com/office/drawing/2014/main" id="{00000000-0008-0000-0600-00004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a:extLst>
            <a:ext uri="{FF2B5EF4-FFF2-40B4-BE49-F238E27FC236}">
              <a16:creationId xmlns:a16="http://schemas.microsoft.com/office/drawing/2014/main" id="{00000000-0008-0000-0600-00004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a:extLst>
            <a:ext uri="{FF2B5EF4-FFF2-40B4-BE49-F238E27FC236}">
              <a16:creationId xmlns:a16="http://schemas.microsoft.com/office/drawing/2014/main" id="{00000000-0008-0000-0600-00004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a:extLst>
            <a:ext uri="{FF2B5EF4-FFF2-40B4-BE49-F238E27FC236}">
              <a16:creationId xmlns:a16="http://schemas.microsoft.com/office/drawing/2014/main" id="{00000000-0008-0000-0600-00004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a:extLst>
            <a:ext uri="{FF2B5EF4-FFF2-40B4-BE49-F238E27FC236}">
              <a16:creationId xmlns:a16="http://schemas.microsoft.com/office/drawing/2014/main" id="{00000000-0008-0000-0600-00004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a:extLst>
            <a:ext uri="{FF2B5EF4-FFF2-40B4-BE49-F238E27FC236}">
              <a16:creationId xmlns:a16="http://schemas.microsoft.com/office/drawing/2014/main" id="{00000000-0008-0000-0600-00005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a:extLst>
            <a:ext uri="{FF2B5EF4-FFF2-40B4-BE49-F238E27FC236}">
              <a16:creationId xmlns:a16="http://schemas.microsoft.com/office/drawing/2014/main" id="{00000000-0008-0000-0600-00005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a:extLst>
            <a:ext uri="{FF2B5EF4-FFF2-40B4-BE49-F238E27FC236}">
              <a16:creationId xmlns:a16="http://schemas.microsoft.com/office/drawing/2014/main" id="{00000000-0008-0000-0600-00005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a:extLst>
            <a:ext uri="{FF2B5EF4-FFF2-40B4-BE49-F238E27FC236}">
              <a16:creationId xmlns:a16="http://schemas.microsoft.com/office/drawing/2014/main" id="{00000000-0008-0000-0600-00005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a:extLst>
            <a:ext uri="{FF2B5EF4-FFF2-40B4-BE49-F238E27FC236}">
              <a16:creationId xmlns:a16="http://schemas.microsoft.com/office/drawing/2014/main" id="{00000000-0008-0000-0600-00005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a:extLst>
            <a:ext uri="{FF2B5EF4-FFF2-40B4-BE49-F238E27FC236}">
              <a16:creationId xmlns:a16="http://schemas.microsoft.com/office/drawing/2014/main" id="{00000000-0008-0000-0600-00005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a:extLst>
            <a:ext uri="{FF2B5EF4-FFF2-40B4-BE49-F238E27FC236}">
              <a16:creationId xmlns:a16="http://schemas.microsoft.com/office/drawing/2014/main" id="{00000000-0008-0000-0600-00005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a:extLst>
            <a:ext uri="{FF2B5EF4-FFF2-40B4-BE49-F238E27FC236}">
              <a16:creationId xmlns:a16="http://schemas.microsoft.com/office/drawing/2014/main" id="{00000000-0008-0000-0600-00005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a:extLst>
            <a:ext uri="{FF2B5EF4-FFF2-40B4-BE49-F238E27FC236}">
              <a16:creationId xmlns:a16="http://schemas.microsoft.com/office/drawing/2014/main" id="{00000000-0008-0000-0600-00005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a:extLst>
            <a:ext uri="{FF2B5EF4-FFF2-40B4-BE49-F238E27FC236}">
              <a16:creationId xmlns:a16="http://schemas.microsoft.com/office/drawing/2014/main" id="{00000000-0008-0000-0600-00005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a:extLst>
            <a:ext uri="{FF2B5EF4-FFF2-40B4-BE49-F238E27FC236}">
              <a16:creationId xmlns:a16="http://schemas.microsoft.com/office/drawing/2014/main" id="{00000000-0008-0000-0600-00005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a:extLst>
            <a:ext uri="{FF2B5EF4-FFF2-40B4-BE49-F238E27FC236}">
              <a16:creationId xmlns:a16="http://schemas.microsoft.com/office/drawing/2014/main" id="{00000000-0008-0000-0600-00005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a:extLst>
            <a:ext uri="{FF2B5EF4-FFF2-40B4-BE49-F238E27FC236}">
              <a16:creationId xmlns:a16="http://schemas.microsoft.com/office/drawing/2014/main" id="{00000000-0008-0000-0600-00005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a:extLst>
            <a:ext uri="{FF2B5EF4-FFF2-40B4-BE49-F238E27FC236}">
              <a16:creationId xmlns:a16="http://schemas.microsoft.com/office/drawing/2014/main" id="{00000000-0008-0000-0600-00005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a:extLst>
            <a:ext uri="{FF2B5EF4-FFF2-40B4-BE49-F238E27FC236}">
              <a16:creationId xmlns:a16="http://schemas.microsoft.com/office/drawing/2014/main" id="{00000000-0008-0000-0600-00005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a:extLst>
            <a:ext uri="{FF2B5EF4-FFF2-40B4-BE49-F238E27FC236}">
              <a16:creationId xmlns:a16="http://schemas.microsoft.com/office/drawing/2014/main" id="{00000000-0008-0000-0600-00005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a:extLst>
            <a:ext uri="{FF2B5EF4-FFF2-40B4-BE49-F238E27FC236}">
              <a16:creationId xmlns:a16="http://schemas.microsoft.com/office/drawing/2014/main" id="{00000000-0008-0000-0600-00006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a:extLst>
            <a:ext uri="{FF2B5EF4-FFF2-40B4-BE49-F238E27FC236}">
              <a16:creationId xmlns:a16="http://schemas.microsoft.com/office/drawing/2014/main" id="{00000000-0008-0000-0600-00006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a:extLst>
            <a:ext uri="{FF2B5EF4-FFF2-40B4-BE49-F238E27FC236}">
              <a16:creationId xmlns:a16="http://schemas.microsoft.com/office/drawing/2014/main" id="{00000000-0008-0000-0600-00006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a:extLst>
            <a:ext uri="{FF2B5EF4-FFF2-40B4-BE49-F238E27FC236}">
              <a16:creationId xmlns:a16="http://schemas.microsoft.com/office/drawing/2014/main" id="{00000000-0008-0000-0600-00006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a:extLst>
            <a:ext uri="{FF2B5EF4-FFF2-40B4-BE49-F238E27FC236}">
              <a16:creationId xmlns:a16="http://schemas.microsoft.com/office/drawing/2014/main" id="{00000000-0008-0000-0600-00006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a:extLst>
            <a:ext uri="{FF2B5EF4-FFF2-40B4-BE49-F238E27FC236}">
              <a16:creationId xmlns:a16="http://schemas.microsoft.com/office/drawing/2014/main" id="{00000000-0008-0000-0600-00006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a:extLst>
            <a:ext uri="{FF2B5EF4-FFF2-40B4-BE49-F238E27FC236}">
              <a16:creationId xmlns:a16="http://schemas.microsoft.com/office/drawing/2014/main" id="{00000000-0008-0000-0600-00006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a:extLst>
            <a:ext uri="{FF2B5EF4-FFF2-40B4-BE49-F238E27FC236}">
              <a16:creationId xmlns:a16="http://schemas.microsoft.com/office/drawing/2014/main" id="{00000000-0008-0000-0600-00006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a:extLst>
            <a:ext uri="{FF2B5EF4-FFF2-40B4-BE49-F238E27FC236}">
              <a16:creationId xmlns:a16="http://schemas.microsoft.com/office/drawing/2014/main" id="{00000000-0008-0000-0600-00006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a:extLst>
            <a:ext uri="{FF2B5EF4-FFF2-40B4-BE49-F238E27FC236}">
              <a16:creationId xmlns:a16="http://schemas.microsoft.com/office/drawing/2014/main" id="{00000000-0008-0000-0600-00006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a:extLst>
            <a:ext uri="{FF2B5EF4-FFF2-40B4-BE49-F238E27FC236}">
              <a16:creationId xmlns:a16="http://schemas.microsoft.com/office/drawing/2014/main" id="{00000000-0008-0000-0600-00006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a:extLst>
            <a:ext uri="{FF2B5EF4-FFF2-40B4-BE49-F238E27FC236}">
              <a16:creationId xmlns:a16="http://schemas.microsoft.com/office/drawing/2014/main" id="{00000000-0008-0000-0600-00006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a:extLst>
            <a:ext uri="{FF2B5EF4-FFF2-40B4-BE49-F238E27FC236}">
              <a16:creationId xmlns:a16="http://schemas.microsoft.com/office/drawing/2014/main" id="{00000000-0008-0000-0600-00006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a:extLst>
            <a:ext uri="{FF2B5EF4-FFF2-40B4-BE49-F238E27FC236}">
              <a16:creationId xmlns:a16="http://schemas.microsoft.com/office/drawing/2014/main" id="{00000000-0008-0000-0600-00006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a:extLst>
            <a:ext uri="{FF2B5EF4-FFF2-40B4-BE49-F238E27FC236}">
              <a16:creationId xmlns:a16="http://schemas.microsoft.com/office/drawing/2014/main" id="{00000000-0008-0000-0600-00006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a:extLst>
            <a:ext uri="{FF2B5EF4-FFF2-40B4-BE49-F238E27FC236}">
              <a16:creationId xmlns:a16="http://schemas.microsoft.com/office/drawing/2014/main" id="{00000000-0008-0000-0600-00006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a:extLst>
            <a:ext uri="{FF2B5EF4-FFF2-40B4-BE49-F238E27FC236}">
              <a16:creationId xmlns:a16="http://schemas.microsoft.com/office/drawing/2014/main" id="{00000000-0008-0000-0600-00007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a:extLst>
            <a:ext uri="{FF2B5EF4-FFF2-40B4-BE49-F238E27FC236}">
              <a16:creationId xmlns:a16="http://schemas.microsoft.com/office/drawing/2014/main" id="{00000000-0008-0000-0600-00007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a:extLst>
            <a:ext uri="{FF2B5EF4-FFF2-40B4-BE49-F238E27FC236}">
              <a16:creationId xmlns:a16="http://schemas.microsoft.com/office/drawing/2014/main" id="{00000000-0008-0000-0600-00007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a:extLst>
            <a:ext uri="{FF2B5EF4-FFF2-40B4-BE49-F238E27FC236}">
              <a16:creationId xmlns:a16="http://schemas.microsoft.com/office/drawing/2014/main" id="{00000000-0008-0000-0600-00007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a:extLst>
            <a:ext uri="{FF2B5EF4-FFF2-40B4-BE49-F238E27FC236}">
              <a16:creationId xmlns:a16="http://schemas.microsoft.com/office/drawing/2014/main" id="{00000000-0008-0000-0600-00007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a:extLst>
            <a:ext uri="{FF2B5EF4-FFF2-40B4-BE49-F238E27FC236}">
              <a16:creationId xmlns:a16="http://schemas.microsoft.com/office/drawing/2014/main" id="{00000000-0008-0000-0600-00007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a:extLst>
            <a:ext uri="{FF2B5EF4-FFF2-40B4-BE49-F238E27FC236}">
              <a16:creationId xmlns:a16="http://schemas.microsoft.com/office/drawing/2014/main" id="{00000000-0008-0000-0600-00007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a:extLst>
            <a:ext uri="{FF2B5EF4-FFF2-40B4-BE49-F238E27FC236}">
              <a16:creationId xmlns:a16="http://schemas.microsoft.com/office/drawing/2014/main" id="{00000000-0008-0000-0600-00007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a:extLst>
            <a:ext uri="{FF2B5EF4-FFF2-40B4-BE49-F238E27FC236}">
              <a16:creationId xmlns:a16="http://schemas.microsoft.com/office/drawing/2014/main" id="{00000000-0008-0000-0600-00007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a:extLst>
            <a:ext uri="{FF2B5EF4-FFF2-40B4-BE49-F238E27FC236}">
              <a16:creationId xmlns:a16="http://schemas.microsoft.com/office/drawing/2014/main" id="{00000000-0008-0000-0600-00007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a:extLst>
            <a:ext uri="{FF2B5EF4-FFF2-40B4-BE49-F238E27FC236}">
              <a16:creationId xmlns:a16="http://schemas.microsoft.com/office/drawing/2014/main" id="{00000000-0008-0000-0600-00007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a:extLst>
            <a:ext uri="{FF2B5EF4-FFF2-40B4-BE49-F238E27FC236}">
              <a16:creationId xmlns:a16="http://schemas.microsoft.com/office/drawing/2014/main" id="{00000000-0008-0000-0600-00007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a:extLst>
            <a:ext uri="{FF2B5EF4-FFF2-40B4-BE49-F238E27FC236}">
              <a16:creationId xmlns:a16="http://schemas.microsoft.com/office/drawing/2014/main" id="{00000000-0008-0000-0600-00007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a:extLst>
            <a:ext uri="{FF2B5EF4-FFF2-40B4-BE49-F238E27FC236}">
              <a16:creationId xmlns:a16="http://schemas.microsoft.com/office/drawing/2014/main" id="{00000000-0008-0000-0600-00007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a:extLst>
            <a:ext uri="{FF2B5EF4-FFF2-40B4-BE49-F238E27FC236}">
              <a16:creationId xmlns:a16="http://schemas.microsoft.com/office/drawing/2014/main" id="{00000000-0008-0000-0600-00007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a:extLst>
            <a:ext uri="{FF2B5EF4-FFF2-40B4-BE49-F238E27FC236}">
              <a16:creationId xmlns:a16="http://schemas.microsoft.com/office/drawing/2014/main" id="{00000000-0008-0000-0600-00007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a:extLst>
            <a:ext uri="{FF2B5EF4-FFF2-40B4-BE49-F238E27FC236}">
              <a16:creationId xmlns:a16="http://schemas.microsoft.com/office/drawing/2014/main" id="{00000000-0008-0000-0600-00008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a:extLst>
            <a:ext uri="{FF2B5EF4-FFF2-40B4-BE49-F238E27FC236}">
              <a16:creationId xmlns:a16="http://schemas.microsoft.com/office/drawing/2014/main" id="{00000000-0008-0000-0600-00008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a:extLst>
            <a:ext uri="{FF2B5EF4-FFF2-40B4-BE49-F238E27FC236}">
              <a16:creationId xmlns:a16="http://schemas.microsoft.com/office/drawing/2014/main" id="{00000000-0008-0000-0600-00008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a:extLst>
            <a:ext uri="{FF2B5EF4-FFF2-40B4-BE49-F238E27FC236}">
              <a16:creationId xmlns:a16="http://schemas.microsoft.com/office/drawing/2014/main" id="{00000000-0008-0000-0600-00008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a:extLst>
            <a:ext uri="{FF2B5EF4-FFF2-40B4-BE49-F238E27FC236}">
              <a16:creationId xmlns:a16="http://schemas.microsoft.com/office/drawing/2014/main" id="{00000000-0008-0000-0600-00008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a:extLst>
            <a:ext uri="{FF2B5EF4-FFF2-40B4-BE49-F238E27FC236}">
              <a16:creationId xmlns:a16="http://schemas.microsoft.com/office/drawing/2014/main" id="{00000000-0008-0000-0600-00008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a:extLst>
            <a:ext uri="{FF2B5EF4-FFF2-40B4-BE49-F238E27FC236}">
              <a16:creationId xmlns:a16="http://schemas.microsoft.com/office/drawing/2014/main" id="{00000000-0008-0000-0600-00008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a:extLst>
            <a:ext uri="{FF2B5EF4-FFF2-40B4-BE49-F238E27FC236}">
              <a16:creationId xmlns:a16="http://schemas.microsoft.com/office/drawing/2014/main" id="{00000000-0008-0000-0600-00008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a:extLst>
            <a:ext uri="{FF2B5EF4-FFF2-40B4-BE49-F238E27FC236}">
              <a16:creationId xmlns:a16="http://schemas.microsoft.com/office/drawing/2014/main" id="{00000000-0008-0000-0600-00008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a:extLst>
            <a:ext uri="{FF2B5EF4-FFF2-40B4-BE49-F238E27FC236}">
              <a16:creationId xmlns:a16="http://schemas.microsoft.com/office/drawing/2014/main" id="{00000000-0008-0000-0600-00008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a:extLst>
            <a:ext uri="{FF2B5EF4-FFF2-40B4-BE49-F238E27FC236}">
              <a16:creationId xmlns:a16="http://schemas.microsoft.com/office/drawing/2014/main" id="{00000000-0008-0000-0600-00008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a:extLst>
            <a:ext uri="{FF2B5EF4-FFF2-40B4-BE49-F238E27FC236}">
              <a16:creationId xmlns:a16="http://schemas.microsoft.com/office/drawing/2014/main" id="{00000000-0008-0000-0600-00008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a:extLst>
            <a:ext uri="{FF2B5EF4-FFF2-40B4-BE49-F238E27FC236}">
              <a16:creationId xmlns:a16="http://schemas.microsoft.com/office/drawing/2014/main" id="{00000000-0008-0000-0600-00008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a:extLst>
            <a:ext uri="{FF2B5EF4-FFF2-40B4-BE49-F238E27FC236}">
              <a16:creationId xmlns:a16="http://schemas.microsoft.com/office/drawing/2014/main" id="{00000000-0008-0000-0600-00008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a:extLst>
            <a:ext uri="{FF2B5EF4-FFF2-40B4-BE49-F238E27FC236}">
              <a16:creationId xmlns:a16="http://schemas.microsoft.com/office/drawing/2014/main" id="{00000000-0008-0000-0600-00008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a:extLst>
            <a:ext uri="{FF2B5EF4-FFF2-40B4-BE49-F238E27FC236}">
              <a16:creationId xmlns:a16="http://schemas.microsoft.com/office/drawing/2014/main" id="{00000000-0008-0000-0600-00008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a:extLst>
            <a:ext uri="{FF2B5EF4-FFF2-40B4-BE49-F238E27FC236}">
              <a16:creationId xmlns:a16="http://schemas.microsoft.com/office/drawing/2014/main" id="{00000000-0008-0000-0600-00009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a:extLst>
            <a:ext uri="{FF2B5EF4-FFF2-40B4-BE49-F238E27FC236}">
              <a16:creationId xmlns:a16="http://schemas.microsoft.com/office/drawing/2014/main" id="{00000000-0008-0000-0600-00009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a:extLst>
            <a:ext uri="{FF2B5EF4-FFF2-40B4-BE49-F238E27FC236}">
              <a16:creationId xmlns:a16="http://schemas.microsoft.com/office/drawing/2014/main" id="{00000000-0008-0000-0600-00009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a:extLst>
            <a:ext uri="{FF2B5EF4-FFF2-40B4-BE49-F238E27FC236}">
              <a16:creationId xmlns:a16="http://schemas.microsoft.com/office/drawing/2014/main" id="{00000000-0008-0000-0600-00009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a:extLst>
            <a:ext uri="{FF2B5EF4-FFF2-40B4-BE49-F238E27FC236}">
              <a16:creationId xmlns:a16="http://schemas.microsoft.com/office/drawing/2014/main" id="{00000000-0008-0000-0600-00009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a:extLst>
            <a:ext uri="{FF2B5EF4-FFF2-40B4-BE49-F238E27FC236}">
              <a16:creationId xmlns:a16="http://schemas.microsoft.com/office/drawing/2014/main" id="{00000000-0008-0000-0600-00009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a:extLst>
            <a:ext uri="{FF2B5EF4-FFF2-40B4-BE49-F238E27FC236}">
              <a16:creationId xmlns:a16="http://schemas.microsoft.com/office/drawing/2014/main" id="{00000000-0008-0000-0600-00009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a:extLst>
            <a:ext uri="{FF2B5EF4-FFF2-40B4-BE49-F238E27FC236}">
              <a16:creationId xmlns:a16="http://schemas.microsoft.com/office/drawing/2014/main" id="{00000000-0008-0000-0600-00009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a:extLst>
            <a:ext uri="{FF2B5EF4-FFF2-40B4-BE49-F238E27FC236}">
              <a16:creationId xmlns:a16="http://schemas.microsoft.com/office/drawing/2014/main" id="{00000000-0008-0000-0600-00009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a:extLst>
            <a:ext uri="{FF2B5EF4-FFF2-40B4-BE49-F238E27FC236}">
              <a16:creationId xmlns:a16="http://schemas.microsoft.com/office/drawing/2014/main" id="{00000000-0008-0000-0600-00009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a:extLst>
            <a:ext uri="{FF2B5EF4-FFF2-40B4-BE49-F238E27FC236}">
              <a16:creationId xmlns:a16="http://schemas.microsoft.com/office/drawing/2014/main" id="{00000000-0008-0000-0600-00009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a:extLst>
            <a:ext uri="{FF2B5EF4-FFF2-40B4-BE49-F238E27FC236}">
              <a16:creationId xmlns:a16="http://schemas.microsoft.com/office/drawing/2014/main" id="{00000000-0008-0000-0600-00009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a:extLst>
            <a:ext uri="{FF2B5EF4-FFF2-40B4-BE49-F238E27FC236}">
              <a16:creationId xmlns:a16="http://schemas.microsoft.com/office/drawing/2014/main" id="{00000000-0008-0000-0600-00009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a:extLst>
            <a:ext uri="{FF2B5EF4-FFF2-40B4-BE49-F238E27FC236}">
              <a16:creationId xmlns:a16="http://schemas.microsoft.com/office/drawing/2014/main" id="{00000000-0008-0000-0600-00009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a:extLst>
            <a:ext uri="{FF2B5EF4-FFF2-40B4-BE49-F238E27FC236}">
              <a16:creationId xmlns:a16="http://schemas.microsoft.com/office/drawing/2014/main" id="{00000000-0008-0000-0600-00009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a:extLst>
            <a:ext uri="{FF2B5EF4-FFF2-40B4-BE49-F238E27FC236}">
              <a16:creationId xmlns:a16="http://schemas.microsoft.com/office/drawing/2014/main" id="{00000000-0008-0000-0600-00009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a:extLst>
            <a:ext uri="{FF2B5EF4-FFF2-40B4-BE49-F238E27FC236}">
              <a16:creationId xmlns:a16="http://schemas.microsoft.com/office/drawing/2014/main" id="{00000000-0008-0000-0600-0000A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a:extLst>
            <a:ext uri="{FF2B5EF4-FFF2-40B4-BE49-F238E27FC236}">
              <a16:creationId xmlns:a16="http://schemas.microsoft.com/office/drawing/2014/main" id="{00000000-0008-0000-0600-0000A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a:extLst>
            <a:ext uri="{FF2B5EF4-FFF2-40B4-BE49-F238E27FC236}">
              <a16:creationId xmlns:a16="http://schemas.microsoft.com/office/drawing/2014/main" id="{00000000-0008-0000-0600-0000A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a:extLst>
            <a:ext uri="{FF2B5EF4-FFF2-40B4-BE49-F238E27FC236}">
              <a16:creationId xmlns:a16="http://schemas.microsoft.com/office/drawing/2014/main" id="{00000000-0008-0000-0600-0000A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a:extLst>
            <a:ext uri="{FF2B5EF4-FFF2-40B4-BE49-F238E27FC236}">
              <a16:creationId xmlns:a16="http://schemas.microsoft.com/office/drawing/2014/main" id="{00000000-0008-0000-0600-0000A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a:extLst>
            <a:ext uri="{FF2B5EF4-FFF2-40B4-BE49-F238E27FC236}">
              <a16:creationId xmlns:a16="http://schemas.microsoft.com/office/drawing/2014/main" id="{00000000-0008-0000-0600-0000A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a:extLst>
            <a:ext uri="{FF2B5EF4-FFF2-40B4-BE49-F238E27FC236}">
              <a16:creationId xmlns:a16="http://schemas.microsoft.com/office/drawing/2014/main" id="{00000000-0008-0000-0600-0000A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a:extLst>
            <a:ext uri="{FF2B5EF4-FFF2-40B4-BE49-F238E27FC236}">
              <a16:creationId xmlns:a16="http://schemas.microsoft.com/office/drawing/2014/main" id="{00000000-0008-0000-0600-0000A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a:extLst>
            <a:ext uri="{FF2B5EF4-FFF2-40B4-BE49-F238E27FC236}">
              <a16:creationId xmlns:a16="http://schemas.microsoft.com/office/drawing/2014/main" id="{00000000-0008-0000-0600-0000A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a:extLst>
            <a:ext uri="{FF2B5EF4-FFF2-40B4-BE49-F238E27FC236}">
              <a16:creationId xmlns:a16="http://schemas.microsoft.com/office/drawing/2014/main" id="{00000000-0008-0000-0600-0000A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a:extLst>
            <a:ext uri="{FF2B5EF4-FFF2-40B4-BE49-F238E27FC236}">
              <a16:creationId xmlns:a16="http://schemas.microsoft.com/office/drawing/2014/main" id="{00000000-0008-0000-0600-0000A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a:extLst>
            <a:ext uri="{FF2B5EF4-FFF2-40B4-BE49-F238E27FC236}">
              <a16:creationId xmlns:a16="http://schemas.microsoft.com/office/drawing/2014/main" id="{00000000-0008-0000-0600-0000A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a:extLst>
            <a:ext uri="{FF2B5EF4-FFF2-40B4-BE49-F238E27FC236}">
              <a16:creationId xmlns:a16="http://schemas.microsoft.com/office/drawing/2014/main" id="{00000000-0008-0000-0600-0000A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a:extLst>
            <a:ext uri="{FF2B5EF4-FFF2-40B4-BE49-F238E27FC236}">
              <a16:creationId xmlns:a16="http://schemas.microsoft.com/office/drawing/2014/main" id="{00000000-0008-0000-0600-0000A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a:extLst>
            <a:ext uri="{FF2B5EF4-FFF2-40B4-BE49-F238E27FC236}">
              <a16:creationId xmlns:a16="http://schemas.microsoft.com/office/drawing/2014/main" id="{00000000-0008-0000-0600-0000A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a:extLst>
            <a:ext uri="{FF2B5EF4-FFF2-40B4-BE49-F238E27FC236}">
              <a16:creationId xmlns:a16="http://schemas.microsoft.com/office/drawing/2014/main" id="{00000000-0008-0000-0600-0000A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a:extLst>
            <a:ext uri="{FF2B5EF4-FFF2-40B4-BE49-F238E27FC236}">
              <a16:creationId xmlns:a16="http://schemas.microsoft.com/office/drawing/2014/main" id="{00000000-0008-0000-0600-0000B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a:extLst>
            <a:ext uri="{FF2B5EF4-FFF2-40B4-BE49-F238E27FC236}">
              <a16:creationId xmlns:a16="http://schemas.microsoft.com/office/drawing/2014/main" id="{00000000-0008-0000-0600-0000B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a:extLst>
            <a:ext uri="{FF2B5EF4-FFF2-40B4-BE49-F238E27FC236}">
              <a16:creationId xmlns:a16="http://schemas.microsoft.com/office/drawing/2014/main" id="{00000000-0008-0000-0600-0000B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a:extLst>
            <a:ext uri="{FF2B5EF4-FFF2-40B4-BE49-F238E27FC236}">
              <a16:creationId xmlns:a16="http://schemas.microsoft.com/office/drawing/2014/main" id="{00000000-0008-0000-0600-0000B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a:extLst>
            <a:ext uri="{FF2B5EF4-FFF2-40B4-BE49-F238E27FC236}">
              <a16:creationId xmlns:a16="http://schemas.microsoft.com/office/drawing/2014/main" id="{00000000-0008-0000-0600-0000B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a:extLst>
            <a:ext uri="{FF2B5EF4-FFF2-40B4-BE49-F238E27FC236}">
              <a16:creationId xmlns:a16="http://schemas.microsoft.com/office/drawing/2014/main" id="{00000000-0008-0000-0600-0000B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a:extLst>
            <a:ext uri="{FF2B5EF4-FFF2-40B4-BE49-F238E27FC236}">
              <a16:creationId xmlns:a16="http://schemas.microsoft.com/office/drawing/2014/main" id="{00000000-0008-0000-0600-0000B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a:extLst>
            <a:ext uri="{FF2B5EF4-FFF2-40B4-BE49-F238E27FC236}">
              <a16:creationId xmlns:a16="http://schemas.microsoft.com/office/drawing/2014/main" id="{00000000-0008-0000-0600-0000B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a:extLst>
            <a:ext uri="{FF2B5EF4-FFF2-40B4-BE49-F238E27FC236}">
              <a16:creationId xmlns:a16="http://schemas.microsoft.com/office/drawing/2014/main" id="{00000000-0008-0000-0600-0000B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a:extLst>
            <a:ext uri="{FF2B5EF4-FFF2-40B4-BE49-F238E27FC236}">
              <a16:creationId xmlns:a16="http://schemas.microsoft.com/office/drawing/2014/main" id="{00000000-0008-0000-0600-0000B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a:extLst>
            <a:ext uri="{FF2B5EF4-FFF2-40B4-BE49-F238E27FC236}">
              <a16:creationId xmlns:a16="http://schemas.microsoft.com/office/drawing/2014/main" id="{00000000-0008-0000-0600-0000B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a:extLst>
            <a:ext uri="{FF2B5EF4-FFF2-40B4-BE49-F238E27FC236}">
              <a16:creationId xmlns:a16="http://schemas.microsoft.com/office/drawing/2014/main" id="{00000000-0008-0000-0600-0000B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a:extLst>
            <a:ext uri="{FF2B5EF4-FFF2-40B4-BE49-F238E27FC236}">
              <a16:creationId xmlns:a16="http://schemas.microsoft.com/office/drawing/2014/main" id="{00000000-0008-0000-0600-0000B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a:extLst>
            <a:ext uri="{FF2B5EF4-FFF2-40B4-BE49-F238E27FC236}">
              <a16:creationId xmlns:a16="http://schemas.microsoft.com/office/drawing/2014/main" id="{00000000-0008-0000-0600-0000B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a:extLst>
            <a:ext uri="{FF2B5EF4-FFF2-40B4-BE49-F238E27FC236}">
              <a16:creationId xmlns:a16="http://schemas.microsoft.com/office/drawing/2014/main" id="{00000000-0008-0000-0600-0000B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a:extLst>
            <a:ext uri="{FF2B5EF4-FFF2-40B4-BE49-F238E27FC236}">
              <a16:creationId xmlns:a16="http://schemas.microsoft.com/office/drawing/2014/main" id="{00000000-0008-0000-0600-0000B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a:extLst>
            <a:ext uri="{FF2B5EF4-FFF2-40B4-BE49-F238E27FC236}">
              <a16:creationId xmlns:a16="http://schemas.microsoft.com/office/drawing/2014/main" id="{00000000-0008-0000-0600-0000C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a:extLst>
            <a:ext uri="{FF2B5EF4-FFF2-40B4-BE49-F238E27FC236}">
              <a16:creationId xmlns:a16="http://schemas.microsoft.com/office/drawing/2014/main" id="{00000000-0008-0000-0600-0000C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a:extLst>
            <a:ext uri="{FF2B5EF4-FFF2-40B4-BE49-F238E27FC236}">
              <a16:creationId xmlns:a16="http://schemas.microsoft.com/office/drawing/2014/main" id="{00000000-0008-0000-0600-0000C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a:extLst>
            <a:ext uri="{FF2B5EF4-FFF2-40B4-BE49-F238E27FC236}">
              <a16:creationId xmlns:a16="http://schemas.microsoft.com/office/drawing/2014/main" id="{00000000-0008-0000-0600-0000C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a:extLst>
            <a:ext uri="{FF2B5EF4-FFF2-40B4-BE49-F238E27FC236}">
              <a16:creationId xmlns:a16="http://schemas.microsoft.com/office/drawing/2014/main" id="{00000000-0008-0000-0600-0000C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a:extLst>
            <a:ext uri="{FF2B5EF4-FFF2-40B4-BE49-F238E27FC236}">
              <a16:creationId xmlns:a16="http://schemas.microsoft.com/office/drawing/2014/main" id="{00000000-0008-0000-0600-0000C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a:extLst>
            <a:ext uri="{FF2B5EF4-FFF2-40B4-BE49-F238E27FC236}">
              <a16:creationId xmlns:a16="http://schemas.microsoft.com/office/drawing/2014/main" id="{00000000-0008-0000-0600-0000C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a:extLst>
            <a:ext uri="{FF2B5EF4-FFF2-40B4-BE49-F238E27FC236}">
              <a16:creationId xmlns:a16="http://schemas.microsoft.com/office/drawing/2014/main" id="{00000000-0008-0000-0600-0000C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a:extLst>
            <a:ext uri="{FF2B5EF4-FFF2-40B4-BE49-F238E27FC236}">
              <a16:creationId xmlns:a16="http://schemas.microsoft.com/office/drawing/2014/main" id="{00000000-0008-0000-0600-0000C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a:extLst>
            <a:ext uri="{FF2B5EF4-FFF2-40B4-BE49-F238E27FC236}">
              <a16:creationId xmlns:a16="http://schemas.microsoft.com/office/drawing/2014/main" id="{00000000-0008-0000-0600-0000C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a:extLst>
            <a:ext uri="{FF2B5EF4-FFF2-40B4-BE49-F238E27FC236}">
              <a16:creationId xmlns:a16="http://schemas.microsoft.com/office/drawing/2014/main" id="{00000000-0008-0000-0600-0000C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a:extLst>
            <a:ext uri="{FF2B5EF4-FFF2-40B4-BE49-F238E27FC236}">
              <a16:creationId xmlns:a16="http://schemas.microsoft.com/office/drawing/2014/main" id="{00000000-0008-0000-0600-0000C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a:extLst>
            <a:ext uri="{FF2B5EF4-FFF2-40B4-BE49-F238E27FC236}">
              <a16:creationId xmlns:a16="http://schemas.microsoft.com/office/drawing/2014/main" id="{00000000-0008-0000-0600-0000C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a:extLst>
            <a:ext uri="{FF2B5EF4-FFF2-40B4-BE49-F238E27FC236}">
              <a16:creationId xmlns:a16="http://schemas.microsoft.com/office/drawing/2014/main" id="{00000000-0008-0000-0600-0000C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a:extLst>
            <a:ext uri="{FF2B5EF4-FFF2-40B4-BE49-F238E27FC236}">
              <a16:creationId xmlns:a16="http://schemas.microsoft.com/office/drawing/2014/main" id="{00000000-0008-0000-0600-0000C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a:extLst>
            <a:ext uri="{FF2B5EF4-FFF2-40B4-BE49-F238E27FC236}">
              <a16:creationId xmlns:a16="http://schemas.microsoft.com/office/drawing/2014/main" id="{00000000-0008-0000-0600-0000C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a:extLst>
            <a:ext uri="{FF2B5EF4-FFF2-40B4-BE49-F238E27FC236}">
              <a16:creationId xmlns:a16="http://schemas.microsoft.com/office/drawing/2014/main" id="{00000000-0008-0000-0600-0000D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a:extLst>
            <a:ext uri="{FF2B5EF4-FFF2-40B4-BE49-F238E27FC236}">
              <a16:creationId xmlns:a16="http://schemas.microsoft.com/office/drawing/2014/main" id="{00000000-0008-0000-0600-0000D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a:extLst>
            <a:ext uri="{FF2B5EF4-FFF2-40B4-BE49-F238E27FC236}">
              <a16:creationId xmlns:a16="http://schemas.microsoft.com/office/drawing/2014/main" id="{00000000-0008-0000-0600-0000D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a:extLst>
            <a:ext uri="{FF2B5EF4-FFF2-40B4-BE49-F238E27FC236}">
              <a16:creationId xmlns:a16="http://schemas.microsoft.com/office/drawing/2014/main" id="{00000000-0008-0000-0600-0000D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a:extLst>
            <a:ext uri="{FF2B5EF4-FFF2-40B4-BE49-F238E27FC236}">
              <a16:creationId xmlns:a16="http://schemas.microsoft.com/office/drawing/2014/main" id="{00000000-0008-0000-0600-0000D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a:extLst>
            <a:ext uri="{FF2B5EF4-FFF2-40B4-BE49-F238E27FC236}">
              <a16:creationId xmlns:a16="http://schemas.microsoft.com/office/drawing/2014/main" id="{00000000-0008-0000-0600-0000D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a:extLst>
            <a:ext uri="{FF2B5EF4-FFF2-40B4-BE49-F238E27FC236}">
              <a16:creationId xmlns:a16="http://schemas.microsoft.com/office/drawing/2014/main" id="{00000000-0008-0000-0600-0000D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a:extLst>
            <a:ext uri="{FF2B5EF4-FFF2-40B4-BE49-F238E27FC236}">
              <a16:creationId xmlns:a16="http://schemas.microsoft.com/office/drawing/2014/main" id="{00000000-0008-0000-0600-0000D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a:extLst>
            <a:ext uri="{FF2B5EF4-FFF2-40B4-BE49-F238E27FC236}">
              <a16:creationId xmlns:a16="http://schemas.microsoft.com/office/drawing/2014/main" id="{00000000-0008-0000-0600-0000D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a:extLst>
            <a:ext uri="{FF2B5EF4-FFF2-40B4-BE49-F238E27FC236}">
              <a16:creationId xmlns:a16="http://schemas.microsoft.com/office/drawing/2014/main" id="{00000000-0008-0000-0600-0000D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a:extLst>
            <a:ext uri="{FF2B5EF4-FFF2-40B4-BE49-F238E27FC236}">
              <a16:creationId xmlns:a16="http://schemas.microsoft.com/office/drawing/2014/main" id="{00000000-0008-0000-0600-0000D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a:extLst>
            <a:ext uri="{FF2B5EF4-FFF2-40B4-BE49-F238E27FC236}">
              <a16:creationId xmlns:a16="http://schemas.microsoft.com/office/drawing/2014/main" id="{00000000-0008-0000-0600-0000D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a:extLst>
            <a:ext uri="{FF2B5EF4-FFF2-40B4-BE49-F238E27FC236}">
              <a16:creationId xmlns:a16="http://schemas.microsoft.com/office/drawing/2014/main" id="{00000000-0008-0000-0600-0000D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a:extLst>
            <a:ext uri="{FF2B5EF4-FFF2-40B4-BE49-F238E27FC236}">
              <a16:creationId xmlns:a16="http://schemas.microsoft.com/office/drawing/2014/main" id="{00000000-0008-0000-0600-0000D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a:extLst>
            <a:ext uri="{FF2B5EF4-FFF2-40B4-BE49-F238E27FC236}">
              <a16:creationId xmlns:a16="http://schemas.microsoft.com/office/drawing/2014/main" id="{00000000-0008-0000-0600-0000D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a:extLst>
            <a:ext uri="{FF2B5EF4-FFF2-40B4-BE49-F238E27FC236}">
              <a16:creationId xmlns:a16="http://schemas.microsoft.com/office/drawing/2014/main" id="{00000000-0008-0000-0600-0000D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a:extLst>
            <a:ext uri="{FF2B5EF4-FFF2-40B4-BE49-F238E27FC236}">
              <a16:creationId xmlns:a16="http://schemas.microsoft.com/office/drawing/2014/main" id="{00000000-0008-0000-0600-0000E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a:extLst>
            <a:ext uri="{FF2B5EF4-FFF2-40B4-BE49-F238E27FC236}">
              <a16:creationId xmlns:a16="http://schemas.microsoft.com/office/drawing/2014/main" id="{00000000-0008-0000-0600-0000E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a:extLst>
            <a:ext uri="{FF2B5EF4-FFF2-40B4-BE49-F238E27FC236}">
              <a16:creationId xmlns:a16="http://schemas.microsoft.com/office/drawing/2014/main" id="{00000000-0008-0000-0600-0000E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a:extLst>
            <a:ext uri="{FF2B5EF4-FFF2-40B4-BE49-F238E27FC236}">
              <a16:creationId xmlns:a16="http://schemas.microsoft.com/office/drawing/2014/main" id="{00000000-0008-0000-0600-0000E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a:extLst>
            <a:ext uri="{FF2B5EF4-FFF2-40B4-BE49-F238E27FC236}">
              <a16:creationId xmlns:a16="http://schemas.microsoft.com/office/drawing/2014/main" id="{00000000-0008-0000-0600-0000E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a:extLst>
            <a:ext uri="{FF2B5EF4-FFF2-40B4-BE49-F238E27FC236}">
              <a16:creationId xmlns:a16="http://schemas.microsoft.com/office/drawing/2014/main" id="{00000000-0008-0000-0600-0000E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a:extLst>
            <a:ext uri="{FF2B5EF4-FFF2-40B4-BE49-F238E27FC236}">
              <a16:creationId xmlns:a16="http://schemas.microsoft.com/office/drawing/2014/main" id="{00000000-0008-0000-0600-0000E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a:extLst>
            <a:ext uri="{FF2B5EF4-FFF2-40B4-BE49-F238E27FC236}">
              <a16:creationId xmlns:a16="http://schemas.microsoft.com/office/drawing/2014/main" id="{00000000-0008-0000-0600-0000E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a:extLst>
            <a:ext uri="{FF2B5EF4-FFF2-40B4-BE49-F238E27FC236}">
              <a16:creationId xmlns:a16="http://schemas.microsoft.com/office/drawing/2014/main" id="{00000000-0008-0000-0600-0000E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a:extLst>
            <a:ext uri="{FF2B5EF4-FFF2-40B4-BE49-F238E27FC236}">
              <a16:creationId xmlns:a16="http://schemas.microsoft.com/office/drawing/2014/main" id="{00000000-0008-0000-0600-0000E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a:extLst>
            <a:ext uri="{FF2B5EF4-FFF2-40B4-BE49-F238E27FC236}">
              <a16:creationId xmlns:a16="http://schemas.microsoft.com/office/drawing/2014/main" id="{00000000-0008-0000-0600-0000E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a:extLst>
            <a:ext uri="{FF2B5EF4-FFF2-40B4-BE49-F238E27FC236}">
              <a16:creationId xmlns:a16="http://schemas.microsoft.com/office/drawing/2014/main" id="{00000000-0008-0000-0600-0000E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a:extLst>
            <a:ext uri="{FF2B5EF4-FFF2-40B4-BE49-F238E27FC236}">
              <a16:creationId xmlns:a16="http://schemas.microsoft.com/office/drawing/2014/main" id="{00000000-0008-0000-0600-0000E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a:extLst>
            <a:ext uri="{FF2B5EF4-FFF2-40B4-BE49-F238E27FC236}">
              <a16:creationId xmlns:a16="http://schemas.microsoft.com/office/drawing/2014/main" id="{00000000-0008-0000-0600-0000E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a:extLst>
            <a:ext uri="{FF2B5EF4-FFF2-40B4-BE49-F238E27FC236}">
              <a16:creationId xmlns:a16="http://schemas.microsoft.com/office/drawing/2014/main" id="{00000000-0008-0000-0600-0000E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a:extLst>
            <a:ext uri="{FF2B5EF4-FFF2-40B4-BE49-F238E27FC236}">
              <a16:creationId xmlns:a16="http://schemas.microsoft.com/office/drawing/2014/main" id="{00000000-0008-0000-0600-0000E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a:extLst>
            <a:ext uri="{FF2B5EF4-FFF2-40B4-BE49-F238E27FC236}">
              <a16:creationId xmlns:a16="http://schemas.microsoft.com/office/drawing/2014/main" id="{00000000-0008-0000-0600-0000F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a:extLst>
            <a:ext uri="{FF2B5EF4-FFF2-40B4-BE49-F238E27FC236}">
              <a16:creationId xmlns:a16="http://schemas.microsoft.com/office/drawing/2014/main" id="{00000000-0008-0000-0600-0000F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a:extLst>
            <a:ext uri="{FF2B5EF4-FFF2-40B4-BE49-F238E27FC236}">
              <a16:creationId xmlns:a16="http://schemas.microsoft.com/office/drawing/2014/main" id="{00000000-0008-0000-0600-0000F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a:extLst>
            <a:ext uri="{FF2B5EF4-FFF2-40B4-BE49-F238E27FC236}">
              <a16:creationId xmlns:a16="http://schemas.microsoft.com/office/drawing/2014/main" id="{00000000-0008-0000-0600-0000F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a:extLst>
            <a:ext uri="{FF2B5EF4-FFF2-40B4-BE49-F238E27FC236}">
              <a16:creationId xmlns:a16="http://schemas.microsoft.com/office/drawing/2014/main" id="{00000000-0008-0000-0600-0000F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a:extLst>
            <a:ext uri="{FF2B5EF4-FFF2-40B4-BE49-F238E27FC236}">
              <a16:creationId xmlns:a16="http://schemas.microsoft.com/office/drawing/2014/main" id="{00000000-0008-0000-0600-0000F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a:extLst>
            <a:ext uri="{FF2B5EF4-FFF2-40B4-BE49-F238E27FC236}">
              <a16:creationId xmlns:a16="http://schemas.microsoft.com/office/drawing/2014/main" id="{00000000-0008-0000-0600-0000F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a:extLst>
            <a:ext uri="{FF2B5EF4-FFF2-40B4-BE49-F238E27FC236}">
              <a16:creationId xmlns:a16="http://schemas.microsoft.com/office/drawing/2014/main" id="{00000000-0008-0000-0600-0000F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a:extLst>
            <a:ext uri="{FF2B5EF4-FFF2-40B4-BE49-F238E27FC236}">
              <a16:creationId xmlns:a16="http://schemas.microsoft.com/office/drawing/2014/main" id="{00000000-0008-0000-0600-0000F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a:extLst>
            <a:ext uri="{FF2B5EF4-FFF2-40B4-BE49-F238E27FC236}">
              <a16:creationId xmlns:a16="http://schemas.microsoft.com/office/drawing/2014/main" id="{00000000-0008-0000-0600-0000F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a:extLst>
            <a:ext uri="{FF2B5EF4-FFF2-40B4-BE49-F238E27FC236}">
              <a16:creationId xmlns:a16="http://schemas.microsoft.com/office/drawing/2014/main" id="{00000000-0008-0000-0600-0000F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a:extLst>
            <a:ext uri="{FF2B5EF4-FFF2-40B4-BE49-F238E27FC236}">
              <a16:creationId xmlns:a16="http://schemas.microsoft.com/office/drawing/2014/main" id="{00000000-0008-0000-0600-0000F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a:extLst>
            <a:ext uri="{FF2B5EF4-FFF2-40B4-BE49-F238E27FC236}">
              <a16:creationId xmlns:a16="http://schemas.microsoft.com/office/drawing/2014/main" id="{00000000-0008-0000-0600-0000F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a:extLst>
            <a:ext uri="{FF2B5EF4-FFF2-40B4-BE49-F238E27FC236}">
              <a16:creationId xmlns:a16="http://schemas.microsoft.com/office/drawing/2014/main" id="{00000000-0008-0000-0600-0000F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a:extLst>
            <a:ext uri="{FF2B5EF4-FFF2-40B4-BE49-F238E27FC236}">
              <a16:creationId xmlns:a16="http://schemas.microsoft.com/office/drawing/2014/main" id="{00000000-0008-0000-0600-0000F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a:extLst>
            <a:ext uri="{FF2B5EF4-FFF2-40B4-BE49-F238E27FC236}">
              <a16:creationId xmlns:a16="http://schemas.microsoft.com/office/drawing/2014/main" id="{00000000-0008-0000-0600-0000F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a:extLst>
            <a:ext uri="{FF2B5EF4-FFF2-40B4-BE49-F238E27FC236}">
              <a16:creationId xmlns:a16="http://schemas.microsoft.com/office/drawing/2014/main" id="{00000000-0008-0000-0600-00000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a:extLst>
            <a:ext uri="{FF2B5EF4-FFF2-40B4-BE49-F238E27FC236}">
              <a16:creationId xmlns:a16="http://schemas.microsoft.com/office/drawing/2014/main" id="{00000000-0008-0000-0600-00000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a:extLst>
            <a:ext uri="{FF2B5EF4-FFF2-40B4-BE49-F238E27FC236}">
              <a16:creationId xmlns:a16="http://schemas.microsoft.com/office/drawing/2014/main" id="{00000000-0008-0000-0600-00000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a:extLst>
            <a:ext uri="{FF2B5EF4-FFF2-40B4-BE49-F238E27FC236}">
              <a16:creationId xmlns:a16="http://schemas.microsoft.com/office/drawing/2014/main" id="{00000000-0008-0000-0600-00000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a:extLst>
            <a:ext uri="{FF2B5EF4-FFF2-40B4-BE49-F238E27FC236}">
              <a16:creationId xmlns:a16="http://schemas.microsoft.com/office/drawing/2014/main" id="{00000000-0008-0000-0600-00000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a:extLst>
            <a:ext uri="{FF2B5EF4-FFF2-40B4-BE49-F238E27FC236}">
              <a16:creationId xmlns:a16="http://schemas.microsoft.com/office/drawing/2014/main" id="{00000000-0008-0000-0600-00000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a:extLst>
            <a:ext uri="{FF2B5EF4-FFF2-40B4-BE49-F238E27FC236}">
              <a16:creationId xmlns:a16="http://schemas.microsoft.com/office/drawing/2014/main" id="{00000000-0008-0000-0600-00000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a:extLst>
            <a:ext uri="{FF2B5EF4-FFF2-40B4-BE49-F238E27FC236}">
              <a16:creationId xmlns:a16="http://schemas.microsoft.com/office/drawing/2014/main" id="{00000000-0008-0000-0600-00000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a:extLst>
            <a:ext uri="{FF2B5EF4-FFF2-40B4-BE49-F238E27FC236}">
              <a16:creationId xmlns:a16="http://schemas.microsoft.com/office/drawing/2014/main" id="{00000000-0008-0000-0600-00000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a:extLst>
            <a:ext uri="{FF2B5EF4-FFF2-40B4-BE49-F238E27FC236}">
              <a16:creationId xmlns:a16="http://schemas.microsoft.com/office/drawing/2014/main" id="{00000000-0008-0000-0600-00000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a:extLst>
            <a:ext uri="{FF2B5EF4-FFF2-40B4-BE49-F238E27FC236}">
              <a16:creationId xmlns:a16="http://schemas.microsoft.com/office/drawing/2014/main" id="{00000000-0008-0000-0600-00000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a:extLst>
            <a:ext uri="{FF2B5EF4-FFF2-40B4-BE49-F238E27FC236}">
              <a16:creationId xmlns:a16="http://schemas.microsoft.com/office/drawing/2014/main" id="{00000000-0008-0000-0600-00000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a:extLst>
            <a:ext uri="{FF2B5EF4-FFF2-40B4-BE49-F238E27FC236}">
              <a16:creationId xmlns:a16="http://schemas.microsoft.com/office/drawing/2014/main" id="{00000000-0008-0000-0600-00000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a:extLst>
            <a:ext uri="{FF2B5EF4-FFF2-40B4-BE49-F238E27FC236}">
              <a16:creationId xmlns:a16="http://schemas.microsoft.com/office/drawing/2014/main" id="{00000000-0008-0000-0600-00000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a:extLst>
            <a:ext uri="{FF2B5EF4-FFF2-40B4-BE49-F238E27FC236}">
              <a16:creationId xmlns:a16="http://schemas.microsoft.com/office/drawing/2014/main" id="{00000000-0008-0000-0600-00000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a:extLst>
            <a:ext uri="{FF2B5EF4-FFF2-40B4-BE49-F238E27FC236}">
              <a16:creationId xmlns:a16="http://schemas.microsoft.com/office/drawing/2014/main" id="{00000000-0008-0000-0600-00000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a:extLst>
            <a:ext uri="{FF2B5EF4-FFF2-40B4-BE49-F238E27FC236}">
              <a16:creationId xmlns:a16="http://schemas.microsoft.com/office/drawing/2014/main" id="{00000000-0008-0000-0600-00001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a:extLst>
            <a:ext uri="{FF2B5EF4-FFF2-40B4-BE49-F238E27FC236}">
              <a16:creationId xmlns:a16="http://schemas.microsoft.com/office/drawing/2014/main" id="{00000000-0008-0000-0600-00001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a:extLst>
            <a:ext uri="{FF2B5EF4-FFF2-40B4-BE49-F238E27FC236}">
              <a16:creationId xmlns:a16="http://schemas.microsoft.com/office/drawing/2014/main" id="{00000000-0008-0000-0600-00001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a:extLst>
            <a:ext uri="{FF2B5EF4-FFF2-40B4-BE49-F238E27FC236}">
              <a16:creationId xmlns:a16="http://schemas.microsoft.com/office/drawing/2014/main" id="{00000000-0008-0000-0600-00001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a:extLst>
            <a:ext uri="{FF2B5EF4-FFF2-40B4-BE49-F238E27FC236}">
              <a16:creationId xmlns:a16="http://schemas.microsoft.com/office/drawing/2014/main" id="{00000000-0008-0000-0600-00001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a:extLst>
            <a:ext uri="{FF2B5EF4-FFF2-40B4-BE49-F238E27FC236}">
              <a16:creationId xmlns:a16="http://schemas.microsoft.com/office/drawing/2014/main" id="{00000000-0008-0000-0600-00001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a:extLst>
            <a:ext uri="{FF2B5EF4-FFF2-40B4-BE49-F238E27FC236}">
              <a16:creationId xmlns:a16="http://schemas.microsoft.com/office/drawing/2014/main" id="{00000000-0008-0000-0600-00001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a:extLst>
            <a:ext uri="{FF2B5EF4-FFF2-40B4-BE49-F238E27FC236}">
              <a16:creationId xmlns:a16="http://schemas.microsoft.com/office/drawing/2014/main" id="{00000000-0008-0000-0600-00001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a:extLst>
            <a:ext uri="{FF2B5EF4-FFF2-40B4-BE49-F238E27FC236}">
              <a16:creationId xmlns:a16="http://schemas.microsoft.com/office/drawing/2014/main" id="{00000000-0008-0000-0600-00001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a:extLst>
            <a:ext uri="{FF2B5EF4-FFF2-40B4-BE49-F238E27FC236}">
              <a16:creationId xmlns:a16="http://schemas.microsoft.com/office/drawing/2014/main" id="{00000000-0008-0000-0600-00001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a:extLst>
            <a:ext uri="{FF2B5EF4-FFF2-40B4-BE49-F238E27FC236}">
              <a16:creationId xmlns:a16="http://schemas.microsoft.com/office/drawing/2014/main" id="{00000000-0008-0000-0600-00001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a:extLst>
            <a:ext uri="{FF2B5EF4-FFF2-40B4-BE49-F238E27FC236}">
              <a16:creationId xmlns:a16="http://schemas.microsoft.com/office/drawing/2014/main" id="{00000000-0008-0000-0600-00001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a:extLst>
            <a:ext uri="{FF2B5EF4-FFF2-40B4-BE49-F238E27FC236}">
              <a16:creationId xmlns:a16="http://schemas.microsoft.com/office/drawing/2014/main" id="{00000000-0008-0000-0600-00001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a:extLst>
            <a:ext uri="{FF2B5EF4-FFF2-40B4-BE49-F238E27FC236}">
              <a16:creationId xmlns:a16="http://schemas.microsoft.com/office/drawing/2014/main" id="{00000000-0008-0000-0600-00001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a:extLst>
            <a:ext uri="{FF2B5EF4-FFF2-40B4-BE49-F238E27FC236}">
              <a16:creationId xmlns:a16="http://schemas.microsoft.com/office/drawing/2014/main" id="{00000000-0008-0000-0600-00001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a:extLst>
            <a:ext uri="{FF2B5EF4-FFF2-40B4-BE49-F238E27FC236}">
              <a16:creationId xmlns:a16="http://schemas.microsoft.com/office/drawing/2014/main" id="{00000000-0008-0000-0600-00001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a:extLst>
            <a:ext uri="{FF2B5EF4-FFF2-40B4-BE49-F238E27FC236}">
              <a16:creationId xmlns:a16="http://schemas.microsoft.com/office/drawing/2014/main" id="{00000000-0008-0000-0600-00002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a:extLst>
            <a:ext uri="{FF2B5EF4-FFF2-40B4-BE49-F238E27FC236}">
              <a16:creationId xmlns:a16="http://schemas.microsoft.com/office/drawing/2014/main" id="{00000000-0008-0000-0600-00002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a:extLst>
            <a:ext uri="{FF2B5EF4-FFF2-40B4-BE49-F238E27FC236}">
              <a16:creationId xmlns:a16="http://schemas.microsoft.com/office/drawing/2014/main" id="{00000000-0008-0000-0600-00002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a:extLst>
            <a:ext uri="{FF2B5EF4-FFF2-40B4-BE49-F238E27FC236}">
              <a16:creationId xmlns:a16="http://schemas.microsoft.com/office/drawing/2014/main" id="{00000000-0008-0000-0600-00002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a:extLst>
            <a:ext uri="{FF2B5EF4-FFF2-40B4-BE49-F238E27FC236}">
              <a16:creationId xmlns:a16="http://schemas.microsoft.com/office/drawing/2014/main" id="{00000000-0008-0000-0600-00002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a:extLst>
            <a:ext uri="{FF2B5EF4-FFF2-40B4-BE49-F238E27FC236}">
              <a16:creationId xmlns:a16="http://schemas.microsoft.com/office/drawing/2014/main" id="{00000000-0008-0000-0600-00002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a:extLst>
            <a:ext uri="{FF2B5EF4-FFF2-40B4-BE49-F238E27FC236}">
              <a16:creationId xmlns:a16="http://schemas.microsoft.com/office/drawing/2014/main" id="{00000000-0008-0000-0600-00002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a:extLst>
            <a:ext uri="{FF2B5EF4-FFF2-40B4-BE49-F238E27FC236}">
              <a16:creationId xmlns:a16="http://schemas.microsoft.com/office/drawing/2014/main" id="{00000000-0008-0000-0600-00002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a:extLst>
            <a:ext uri="{FF2B5EF4-FFF2-40B4-BE49-F238E27FC236}">
              <a16:creationId xmlns:a16="http://schemas.microsoft.com/office/drawing/2014/main" id="{00000000-0008-0000-0600-00002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a:extLst>
            <a:ext uri="{FF2B5EF4-FFF2-40B4-BE49-F238E27FC236}">
              <a16:creationId xmlns:a16="http://schemas.microsoft.com/office/drawing/2014/main" id="{00000000-0008-0000-0600-00002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a:extLst>
            <a:ext uri="{FF2B5EF4-FFF2-40B4-BE49-F238E27FC236}">
              <a16:creationId xmlns:a16="http://schemas.microsoft.com/office/drawing/2014/main" id="{00000000-0008-0000-0600-00002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a:extLst>
            <a:ext uri="{FF2B5EF4-FFF2-40B4-BE49-F238E27FC236}">
              <a16:creationId xmlns:a16="http://schemas.microsoft.com/office/drawing/2014/main" id="{00000000-0008-0000-0600-00002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a:extLst>
            <a:ext uri="{FF2B5EF4-FFF2-40B4-BE49-F238E27FC236}">
              <a16:creationId xmlns:a16="http://schemas.microsoft.com/office/drawing/2014/main" id="{00000000-0008-0000-0600-00002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a:extLst>
            <a:ext uri="{FF2B5EF4-FFF2-40B4-BE49-F238E27FC236}">
              <a16:creationId xmlns:a16="http://schemas.microsoft.com/office/drawing/2014/main" id="{00000000-0008-0000-0600-00002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a:extLst>
            <a:ext uri="{FF2B5EF4-FFF2-40B4-BE49-F238E27FC236}">
              <a16:creationId xmlns:a16="http://schemas.microsoft.com/office/drawing/2014/main" id="{00000000-0008-0000-0600-00002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a:extLst>
            <a:ext uri="{FF2B5EF4-FFF2-40B4-BE49-F238E27FC236}">
              <a16:creationId xmlns:a16="http://schemas.microsoft.com/office/drawing/2014/main" id="{00000000-0008-0000-0600-00002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a:extLst>
            <a:ext uri="{FF2B5EF4-FFF2-40B4-BE49-F238E27FC236}">
              <a16:creationId xmlns:a16="http://schemas.microsoft.com/office/drawing/2014/main" id="{00000000-0008-0000-0600-00003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a:extLst>
            <a:ext uri="{FF2B5EF4-FFF2-40B4-BE49-F238E27FC236}">
              <a16:creationId xmlns:a16="http://schemas.microsoft.com/office/drawing/2014/main" id="{00000000-0008-0000-0600-00003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a:extLst>
            <a:ext uri="{FF2B5EF4-FFF2-40B4-BE49-F238E27FC236}">
              <a16:creationId xmlns:a16="http://schemas.microsoft.com/office/drawing/2014/main" id="{00000000-0008-0000-0600-00003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a:extLst>
            <a:ext uri="{FF2B5EF4-FFF2-40B4-BE49-F238E27FC236}">
              <a16:creationId xmlns:a16="http://schemas.microsoft.com/office/drawing/2014/main" id="{00000000-0008-0000-0600-00003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a:extLst>
            <a:ext uri="{FF2B5EF4-FFF2-40B4-BE49-F238E27FC236}">
              <a16:creationId xmlns:a16="http://schemas.microsoft.com/office/drawing/2014/main" id="{00000000-0008-0000-0600-00003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a:extLst>
            <a:ext uri="{FF2B5EF4-FFF2-40B4-BE49-F238E27FC236}">
              <a16:creationId xmlns:a16="http://schemas.microsoft.com/office/drawing/2014/main" id="{00000000-0008-0000-0600-00003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a:extLst>
            <a:ext uri="{FF2B5EF4-FFF2-40B4-BE49-F238E27FC236}">
              <a16:creationId xmlns:a16="http://schemas.microsoft.com/office/drawing/2014/main" id="{00000000-0008-0000-0600-00003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a:extLst>
            <a:ext uri="{FF2B5EF4-FFF2-40B4-BE49-F238E27FC236}">
              <a16:creationId xmlns:a16="http://schemas.microsoft.com/office/drawing/2014/main" id="{00000000-0008-0000-0600-00003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a:extLst>
            <a:ext uri="{FF2B5EF4-FFF2-40B4-BE49-F238E27FC236}">
              <a16:creationId xmlns:a16="http://schemas.microsoft.com/office/drawing/2014/main" id="{00000000-0008-0000-0600-00003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a:extLst>
            <a:ext uri="{FF2B5EF4-FFF2-40B4-BE49-F238E27FC236}">
              <a16:creationId xmlns:a16="http://schemas.microsoft.com/office/drawing/2014/main" id="{00000000-0008-0000-0600-00003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a:extLst>
            <a:ext uri="{FF2B5EF4-FFF2-40B4-BE49-F238E27FC236}">
              <a16:creationId xmlns:a16="http://schemas.microsoft.com/office/drawing/2014/main" id="{00000000-0008-0000-0600-00003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a:extLst>
            <a:ext uri="{FF2B5EF4-FFF2-40B4-BE49-F238E27FC236}">
              <a16:creationId xmlns:a16="http://schemas.microsoft.com/office/drawing/2014/main" id="{00000000-0008-0000-0600-00003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a:extLst>
            <a:ext uri="{FF2B5EF4-FFF2-40B4-BE49-F238E27FC236}">
              <a16:creationId xmlns:a16="http://schemas.microsoft.com/office/drawing/2014/main" id="{00000000-0008-0000-0600-00003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a:extLst>
            <a:ext uri="{FF2B5EF4-FFF2-40B4-BE49-F238E27FC236}">
              <a16:creationId xmlns:a16="http://schemas.microsoft.com/office/drawing/2014/main" id="{00000000-0008-0000-0600-00003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a:extLst>
            <a:ext uri="{FF2B5EF4-FFF2-40B4-BE49-F238E27FC236}">
              <a16:creationId xmlns:a16="http://schemas.microsoft.com/office/drawing/2014/main" id="{00000000-0008-0000-0600-00003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a:extLst>
            <a:ext uri="{FF2B5EF4-FFF2-40B4-BE49-F238E27FC236}">
              <a16:creationId xmlns:a16="http://schemas.microsoft.com/office/drawing/2014/main" id="{00000000-0008-0000-0600-00003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a:extLst>
            <a:ext uri="{FF2B5EF4-FFF2-40B4-BE49-F238E27FC236}">
              <a16:creationId xmlns:a16="http://schemas.microsoft.com/office/drawing/2014/main" id="{00000000-0008-0000-0600-00004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a:extLst>
            <a:ext uri="{FF2B5EF4-FFF2-40B4-BE49-F238E27FC236}">
              <a16:creationId xmlns:a16="http://schemas.microsoft.com/office/drawing/2014/main" id="{00000000-0008-0000-0600-00004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a:extLst>
            <a:ext uri="{FF2B5EF4-FFF2-40B4-BE49-F238E27FC236}">
              <a16:creationId xmlns:a16="http://schemas.microsoft.com/office/drawing/2014/main" id="{00000000-0008-0000-0600-00004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a:extLst>
            <a:ext uri="{FF2B5EF4-FFF2-40B4-BE49-F238E27FC236}">
              <a16:creationId xmlns:a16="http://schemas.microsoft.com/office/drawing/2014/main" id="{00000000-0008-0000-0600-00004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a:extLst>
            <a:ext uri="{FF2B5EF4-FFF2-40B4-BE49-F238E27FC236}">
              <a16:creationId xmlns:a16="http://schemas.microsoft.com/office/drawing/2014/main" id="{00000000-0008-0000-0600-00004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a:extLst>
            <a:ext uri="{FF2B5EF4-FFF2-40B4-BE49-F238E27FC236}">
              <a16:creationId xmlns:a16="http://schemas.microsoft.com/office/drawing/2014/main" id="{00000000-0008-0000-0600-00004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a:extLst>
            <a:ext uri="{FF2B5EF4-FFF2-40B4-BE49-F238E27FC236}">
              <a16:creationId xmlns:a16="http://schemas.microsoft.com/office/drawing/2014/main" id="{00000000-0008-0000-0600-00004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a:extLst>
            <a:ext uri="{FF2B5EF4-FFF2-40B4-BE49-F238E27FC236}">
              <a16:creationId xmlns:a16="http://schemas.microsoft.com/office/drawing/2014/main" id="{00000000-0008-0000-0600-00004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a:extLst>
            <a:ext uri="{FF2B5EF4-FFF2-40B4-BE49-F238E27FC236}">
              <a16:creationId xmlns:a16="http://schemas.microsoft.com/office/drawing/2014/main" id="{00000000-0008-0000-0600-00004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a:extLst>
            <a:ext uri="{FF2B5EF4-FFF2-40B4-BE49-F238E27FC236}">
              <a16:creationId xmlns:a16="http://schemas.microsoft.com/office/drawing/2014/main" id="{00000000-0008-0000-0600-00004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a:extLst>
            <a:ext uri="{FF2B5EF4-FFF2-40B4-BE49-F238E27FC236}">
              <a16:creationId xmlns:a16="http://schemas.microsoft.com/office/drawing/2014/main" id="{00000000-0008-0000-0600-00004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a:extLst>
            <a:ext uri="{FF2B5EF4-FFF2-40B4-BE49-F238E27FC236}">
              <a16:creationId xmlns:a16="http://schemas.microsoft.com/office/drawing/2014/main" id="{00000000-0008-0000-0600-00004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a:extLst>
            <a:ext uri="{FF2B5EF4-FFF2-40B4-BE49-F238E27FC236}">
              <a16:creationId xmlns:a16="http://schemas.microsoft.com/office/drawing/2014/main" id="{00000000-0008-0000-0600-00004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a:extLst>
            <a:ext uri="{FF2B5EF4-FFF2-40B4-BE49-F238E27FC236}">
              <a16:creationId xmlns:a16="http://schemas.microsoft.com/office/drawing/2014/main" id="{00000000-0008-0000-0600-00004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a:extLst>
            <a:ext uri="{FF2B5EF4-FFF2-40B4-BE49-F238E27FC236}">
              <a16:creationId xmlns:a16="http://schemas.microsoft.com/office/drawing/2014/main" id="{00000000-0008-0000-0600-00004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a:extLst>
            <a:ext uri="{FF2B5EF4-FFF2-40B4-BE49-F238E27FC236}">
              <a16:creationId xmlns:a16="http://schemas.microsoft.com/office/drawing/2014/main" id="{00000000-0008-0000-0600-00004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a:extLst>
            <a:ext uri="{FF2B5EF4-FFF2-40B4-BE49-F238E27FC236}">
              <a16:creationId xmlns:a16="http://schemas.microsoft.com/office/drawing/2014/main" id="{00000000-0008-0000-0600-00005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a:extLst>
            <a:ext uri="{FF2B5EF4-FFF2-40B4-BE49-F238E27FC236}">
              <a16:creationId xmlns:a16="http://schemas.microsoft.com/office/drawing/2014/main" id="{00000000-0008-0000-0600-00005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a:extLst>
            <a:ext uri="{FF2B5EF4-FFF2-40B4-BE49-F238E27FC236}">
              <a16:creationId xmlns:a16="http://schemas.microsoft.com/office/drawing/2014/main" id="{00000000-0008-0000-0600-00005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a:extLst>
            <a:ext uri="{FF2B5EF4-FFF2-40B4-BE49-F238E27FC236}">
              <a16:creationId xmlns:a16="http://schemas.microsoft.com/office/drawing/2014/main" id="{00000000-0008-0000-0600-00005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a:extLst>
            <a:ext uri="{FF2B5EF4-FFF2-40B4-BE49-F238E27FC236}">
              <a16:creationId xmlns:a16="http://schemas.microsoft.com/office/drawing/2014/main" id="{00000000-0008-0000-0600-00005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a:extLst>
            <a:ext uri="{FF2B5EF4-FFF2-40B4-BE49-F238E27FC236}">
              <a16:creationId xmlns:a16="http://schemas.microsoft.com/office/drawing/2014/main" id="{00000000-0008-0000-0600-00005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a:extLst>
            <a:ext uri="{FF2B5EF4-FFF2-40B4-BE49-F238E27FC236}">
              <a16:creationId xmlns:a16="http://schemas.microsoft.com/office/drawing/2014/main" id="{00000000-0008-0000-0600-00005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a:extLst>
            <a:ext uri="{FF2B5EF4-FFF2-40B4-BE49-F238E27FC236}">
              <a16:creationId xmlns:a16="http://schemas.microsoft.com/office/drawing/2014/main" id="{00000000-0008-0000-0600-00005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a:extLst>
            <a:ext uri="{FF2B5EF4-FFF2-40B4-BE49-F238E27FC236}">
              <a16:creationId xmlns:a16="http://schemas.microsoft.com/office/drawing/2014/main" id="{00000000-0008-0000-0600-00005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a:extLst>
            <a:ext uri="{FF2B5EF4-FFF2-40B4-BE49-F238E27FC236}">
              <a16:creationId xmlns:a16="http://schemas.microsoft.com/office/drawing/2014/main" id="{00000000-0008-0000-0600-00005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a:extLst>
            <a:ext uri="{FF2B5EF4-FFF2-40B4-BE49-F238E27FC236}">
              <a16:creationId xmlns:a16="http://schemas.microsoft.com/office/drawing/2014/main" id="{00000000-0008-0000-0600-00005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a:extLst>
            <a:ext uri="{FF2B5EF4-FFF2-40B4-BE49-F238E27FC236}">
              <a16:creationId xmlns:a16="http://schemas.microsoft.com/office/drawing/2014/main" id="{00000000-0008-0000-0600-00005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a:extLst>
            <a:ext uri="{FF2B5EF4-FFF2-40B4-BE49-F238E27FC236}">
              <a16:creationId xmlns:a16="http://schemas.microsoft.com/office/drawing/2014/main" id="{00000000-0008-0000-0600-00005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a:extLst>
            <a:ext uri="{FF2B5EF4-FFF2-40B4-BE49-F238E27FC236}">
              <a16:creationId xmlns:a16="http://schemas.microsoft.com/office/drawing/2014/main" id="{00000000-0008-0000-0600-00005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a:extLst>
            <a:ext uri="{FF2B5EF4-FFF2-40B4-BE49-F238E27FC236}">
              <a16:creationId xmlns:a16="http://schemas.microsoft.com/office/drawing/2014/main" id="{00000000-0008-0000-0600-00005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a:extLst>
            <a:ext uri="{FF2B5EF4-FFF2-40B4-BE49-F238E27FC236}">
              <a16:creationId xmlns:a16="http://schemas.microsoft.com/office/drawing/2014/main" id="{00000000-0008-0000-0600-00005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a:extLst>
            <a:ext uri="{FF2B5EF4-FFF2-40B4-BE49-F238E27FC236}">
              <a16:creationId xmlns:a16="http://schemas.microsoft.com/office/drawing/2014/main" id="{00000000-0008-0000-0600-00006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a:extLst>
            <a:ext uri="{FF2B5EF4-FFF2-40B4-BE49-F238E27FC236}">
              <a16:creationId xmlns:a16="http://schemas.microsoft.com/office/drawing/2014/main" id="{00000000-0008-0000-0600-00006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a:extLst>
            <a:ext uri="{FF2B5EF4-FFF2-40B4-BE49-F238E27FC236}">
              <a16:creationId xmlns:a16="http://schemas.microsoft.com/office/drawing/2014/main" id="{00000000-0008-0000-0600-00006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a:extLst>
            <a:ext uri="{FF2B5EF4-FFF2-40B4-BE49-F238E27FC236}">
              <a16:creationId xmlns:a16="http://schemas.microsoft.com/office/drawing/2014/main" id="{00000000-0008-0000-0600-00006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a:extLst>
            <a:ext uri="{FF2B5EF4-FFF2-40B4-BE49-F238E27FC236}">
              <a16:creationId xmlns:a16="http://schemas.microsoft.com/office/drawing/2014/main" id="{00000000-0008-0000-0600-00006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a:extLst>
            <a:ext uri="{FF2B5EF4-FFF2-40B4-BE49-F238E27FC236}">
              <a16:creationId xmlns:a16="http://schemas.microsoft.com/office/drawing/2014/main" id="{00000000-0008-0000-0600-00006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a:extLst>
            <a:ext uri="{FF2B5EF4-FFF2-40B4-BE49-F238E27FC236}">
              <a16:creationId xmlns:a16="http://schemas.microsoft.com/office/drawing/2014/main" id="{00000000-0008-0000-0600-00006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a:extLst>
            <a:ext uri="{FF2B5EF4-FFF2-40B4-BE49-F238E27FC236}">
              <a16:creationId xmlns:a16="http://schemas.microsoft.com/office/drawing/2014/main" id="{00000000-0008-0000-0600-00006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a:extLst>
            <a:ext uri="{FF2B5EF4-FFF2-40B4-BE49-F238E27FC236}">
              <a16:creationId xmlns:a16="http://schemas.microsoft.com/office/drawing/2014/main" id="{00000000-0008-0000-0600-00006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a:extLst>
            <a:ext uri="{FF2B5EF4-FFF2-40B4-BE49-F238E27FC236}">
              <a16:creationId xmlns:a16="http://schemas.microsoft.com/office/drawing/2014/main" id="{00000000-0008-0000-0600-00006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a:extLst>
            <a:ext uri="{FF2B5EF4-FFF2-40B4-BE49-F238E27FC236}">
              <a16:creationId xmlns:a16="http://schemas.microsoft.com/office/drawing/2014/main" id="{00000000-0008-0000-0600-00006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a:extLst>
            <a:ext uri="{FF2B5EF4-FFF2-40B4-BE49-F238E27FC236}">
              <a16:creationId xmlns:a16="http://schemas.microsoft.com/office/drawing/2014/main" id="{00000000-0008-0000-0600-00006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a:extLst>
            <a:ext uri="{FF2B5EF4-FFF2-40B4-BE49-F238E27FC236}">
              <a16:creationId xmlns:a16="http://schemas.microsoft.com/office/drawing/2014/main" id="{00000000-0008-0000-0600-00006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a:extLst>
            <a:ext uri="{FF2B5EF4-FFF2-40B4-BE49-F238E27FC236}">
              <a16:creationId xmlns:a16="http://schemas.microsoft.com/office/drawing/2014/main" id="{00000000-0008-0000-0600-00006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a:extLst>
            <a:ext uri="{FF2B5EF4-FFF2-40B4-BE49-F238E27FC236}">
              <a16:creationId xmlns:a16="http://schemas.microsoft.com/office/drawing/2014/main" id="{00000000-0008-0000-0600-00006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a:extLst>
            <a:ext uri="{FF2B5EF4-FFF2-40B4-BE49-F238E27FC236}">
              <a16:creationId xmlns:a16="http://schemas.microsoft.com/office/drawing/2014/main" id="{00000000-0008-0000-0600-00006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a:extLst>
            <a:ext uri="{FF2B5EF4-FFF2-40B4-BE49-F238E27FC236}">
              <a16:creationId xmlns:a16="http://schemas.microsoft.com/office/drawing/2014/main" id="{00000000-0008-0000-0600-00007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a:extLst>
            <a:ext uri="{FF2B5EF4-FFF2-40B4-BE49-F238E27FC236}">
              <a16:creationId xmlns:a16="http://schemas.microsoft.com/office/drawing/2014/main" id="{00000000-0008-0000-0600-00007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a:extLst>
            <a:ext uri="{FF2B5EF4-FFF2-40B4-BE49-F238E27FC236}">
              <a16:creationId xmlns:a16="http://schemas.microsoft.com/office/drawing/2014/main" id="{00000000-0008-0000-0600-00007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a:extLst>
            <a:ext uri="{FF2B5EF4-FFF2-40B4-BE49-F238E27FC236}">
              <a16:creationId xmlns:a16="http://schemas.microsoft.com/office/drawing/2014/main" id="{00000000-0008-0000-0600-00007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a:extLst>
            <a:ext uri="{FF2B5EF4-FFF2-40B4-BE49-F238E27FC236}">
              <a16:creationId xmlns:a16="http://schemas.microsoft.com/office/drawing/2014/main" id="{00000000-0008-0000-0600-00007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a:extLst>
            <a:ext uri="{FF2B5EF4-FFF2-40B4-BE49-F238E27FC236}">
              <a16:creationId xmlns:a16="http://schemas.microsoft.com/office/drawing/2014/main" id="{00000000-0008-0000-0600-00007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a:extLst>
            <a:ext uri="{FF2B5EF4-FFF2-40B4-BE49-F238E27FC236}">
              <a16:creationId xmlns:a16="http://schemas.microsoft.com/office/drawing/2014/main" id="{00000000-0008-0000-0600-00007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a:extLst>
            <a:ext uri="{FF2B5EF4-FFF2-40B4-BE49-F238E27FC236}">
              <a16:creationId xmlns:a16="http://schemas.microsoft.com/office/drawing/2014/main" id="{00000000-0008-0000-0600-00007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a:extLst>
            <a:ext uri="{FF2B5EF4-FFF2-40B4-BE49-F238E27FC236}">
              <a16:creationId xmlns:a16="http://schemas.microsoft.com/office/drawing/2014/main" id="{00000000-0008-0000-0600-00007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a:extLst>
            <a:ext uri="{FF2B5EF4-FFF2-40B4-BE49-F238E27FC236}">
              <a16:creationId xmlns:a16="http://schemas.microsoft.com/office/drawing/2014/main" id="{00000000-0008-0000-0600-00007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a:extLst>
            <a:ext uri="{FF2B5EF4-FFF2-40B4-BE49-F238E27FC236}">
              <a16:creationId xmlns:a16="http://schemas.microsoft.com/office/drawing/2014/main" id="{00000000-0008-0000-0600-00007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a:extLst>
            <a:ext uri="{FF2B5EF4-FFF2-40B4-BE49-F238E27FC236}">
              <a16:creationId xmlns:a16="http://schemas.microsoft.com/office/drawing/2014/main" id="{00000000-0008-0000-0600-00007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a:extLst>
            <a:ext uri="{FF2B5EF4-FFF2-40B4-BE49-F238E27FC236}">
              <a16:creationId xmlns:a16="http://schemas.microsoft.com/office/drawing/2014/main" id="{00000000-0008-0000-0600-00007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a:extLst>
            <a:ext uri="{FF2B5EF4-FFF2-40B4-BE49-F238E27FC236}">
              <a16:creationId xmlns:a16="http://schemas.microsoft.com/office/drawing/2014/main" id="{00000000-0008-0000-0600-00007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a:extLst>
            <a:ext uri="{FF2B5EF4-FFF2-40B4-BE49-F238E27FC236}">
              <a16:creationId xmlns:a16="http://schemas.microsoft.com/office/drawing/2014/main" id="{00000000-0008-0000-0600-00007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a:extLst>
            <a:ext uri="{FF2B5EF4-FFF2-40B4-BE49-F238E27FC236}">
              <a16:creationId xmlns:a16="http://schemas.microsoft.com/office/drawing/2014/main" id="{00000000-0008-0000-0600-00007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a:extLst>
            <a:ext uri="{FF2B5EF4-FFF2-40B4-BE49-F238E27FC236}">
              <a16:creationId xmlns:a16="http://schemas.microsoft.com/office/drawing/2014/main" id="{00000000-0008-0000-0600-00008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a:extLst>
            <a:ext uri="{FF2B5EF4-FFF2-40B4-BE49-F238E27FC236}">
              <a16:creationId xmlns:a16="http://schemas.microsoft.com/office/drawing/2014/main" id="{00000000-0008-0000-0600-00008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a:extLst>
            <a:ext uri="{FF2B5EF4-FFF2-40B4-BE49-F238E27FC236}">
              <a16:creationId xmlns:a16="http://schemas.microsoft.com/office/drawing/2014/main" id="{00000000-0008-0000-0600-00008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a:extLst>
            <a:ext uri="{FF2B5EF4-FFF2-40B4-BE49-F238E27FC236}">
              <a16:creationId xmlns:a16="http://schemas.microsoft.com/office/drawing/2014/main" id="{00000000-0008-0000-0600-00008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a:extLst>
            <a:ext uri="{FF2B5EF4-FFF2-40B4-BE49-F238E27FC236}">
              <a16:creationId xmlns:a16="http://schemas.microsoft.com/office/drawing/2014/main" id="{00000000-0008-0000-0600-00008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a:extLst>
            <a:ext uri="{FF2B5EF4-FFF2-40B4-BE49-F238E27FC236}">
              <a16:creationId xmlns:a16="http://schemas.microsoft.com/office/drawing/2014/main" id="{00000000-0008-0000-0600-00008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a:extLst>
            <a:ext uri="{FF2B5EF4-FFF2-40B4-BE49-F238E27FC236}">
              <a16:creationId xmlns:a16="http://schemas.microsoft.com/office/drawing/2014/main" id="{00000000-0008-0000-0600-00008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a:extLst>
            <a:ext uri="{FF2B5EF4-FFF2-40B4-BE49-F238E27FC236}">
              <a16:creationId xmlns:a16="http://schemas.microsoft.com/office/drawing/2014/main" id="{00000000-0008-0000-0600-00008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a:extLst>
            <a:ext uri="{FF2B5EF4-FFF2-40B4-BE49-F238E27FC236}">
              <a16:creationId xmlns:a16="http://schemas.microsoft.com/office/drawing/2014/main" id="{00000000-0008-0000-0600-00008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a:extLst>
            <a:ext uri="{FF2B5EF4-FFF2-40B4-BE49-F238E27FC236}">
              <a16:creationId xmlns:a16="http://schemas.microsoft.com/office/drawing/2014/main" id="{00000000-0008-0000-0600-00008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a:extLst>
            <a:ext uri="{FF2B5EF4-FFF2-40B4-BE49-F238E27FC236}">
              <a16:creationId xmlns:a16="http://schemas.microsoft.com/office/drawing/2014/main" id="{00000000-0008-0000-0600-00008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a:extLst>
            <a:ext uri="{FF2B5EF4-FFF2-40B4-BE49-F238E27FC236}">
              <a16:creationId xmlns:a16="http://schemas.microsoft.com/office/drawing/2014/main" id="{00000000-0008-0000-0600-00008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a:extLst>
            <a:ext uri="{FF2B5EF4-FFF2-40B4-BE49-F238E27FC236}">
              <a16:creationId xmlns:a16="http://schemas.microsoft.com/office/drawing/2014/main" id="{00000000-0008-0000-0600-00008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a:extLst>
            <a:ext uri="{FF2B5EF4-FFF2-40B4-BE49-F238E27FC236}">
              <a16:creationId xmlns:a16="http://schemas.microsoft.com/office/drawing/2014/main" id="{00000000-0008-0000-0600-00008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a:extLst>
            <a:ext uri="{FF2B5EF4-FFF2-40B4-BE49-F238E27FC236}">
              <a16:creationId xmlns:a16="http://schemas.microsoft.com/office/drawing/2014/main" id="{00000000-0008-0000-0600-00008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a:extLst>
            <a:ext uri="{FF2B5EF4-FFF2-40B4-BE49-F238E27FC236}">
              <a16:creationId xmlns:a16="http://schemas.microsoft.com/office/drawing/2014/main" id="{00000000-0008-0000-0600-00008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a:extLst>
            <a:ext uri="{FF2B5EF4-FFF2-40B4-BE49-F238E27FC236}">
              <a16:creationId xmlns:a16="http://schemas.microsoft.com/office/drawing/2014/main" id="{00000000-0008-0000-0600-00009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a:extLst>
            <a:ext uri="{FF2B5EF4-FFF2-40B4-BE49-F238E27FC236}">
              <a16:creationId xmlns:a16="http://schemas.microsoft.com/office/drawing/2014/main" id="{00000000-0008-0000-0600-00009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a:extLst>
            <a:ext uri="{FF2B5EF4-FFF2-40B4-BE49-F238E27FC236}">
              <a16:creationId xmlns:a16="http://schemas.microsoft.com/office/drawing/2014/main" id="{00000000-0008-0000-0600-00009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a:extLst>
            <a:ext uri="{FF2B5EF4-FFF2-40B4-BE49-F238E27FC236}">
              <a16:creationId xmlns:a16="http://schemas.microsoft.com/office/drawing/2014/main" id="{00000000-0008-0000-0600-00009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a:extLst>
            <a:ext uri="{FF2B5EF4-FFF2-40B4-BE49-F238E27FC236}">
              <a16:creationId xmlns:a16="http://schemas.microsoft.com/office/drawing/2014/main" id="{00000000-0008-0000-0600-00009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a:extLst>
            <a:ext uri="{FF2B5EF4-FFF2-40B4-BE49-F238E27FC236}">
              <a16:creationId xmlns:a16="http://schemas.microsoft.com/office/drawing/2014/main" id="{00000000-0008-0000-0600-00009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a:extLst>
            <a:ext uri="{FF2B5EF4-FFF2-40B4-BE49-F238E27FC236}">
              <a16:creationId xmlns:a16="http://schemas.microsoft.com/office/drawing/2014/main" id="{00000000-0008-0000-0600-00009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a:extLst>
            <a:ext uri="{FF2B5EF4-FFF2-40B4-BE49-F238E27FC236}">
              <a16:creationId xmlns:a16="http://schemas.microsoft.com/office/drawing/2014/main" id="{00000000-0008-0000-0600-00009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a:extLst>
            <a:ext uri="{FF2B5EF4-FFF2-40B4-BE49-F238E27FC236}">
              <a16:creationId xmlns:a16="http://schemas.microsoft.com/office/drawing/2014/main" id="{00000000-0008-0000-0600-00009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a:extLst>
            <a:ext uri="{FF2B5EF4-FFF2-40B4-BE49-F238E27FC236}">
              <a16:creationId xmlns:a16="http://schemas.microsoft.com/office/drawing/2014/main" id="{00000000-0008-0000-0600-00009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a:extLst>
            <a:ext uri="{FF2B5EF4-FFF2-40B4-BE49-F238E27FC236}">
              <a16:creationId xmlns:a16="http://schemas.microsoft.com/office/drawing/2014/main" id="{00000000-0008-0000-0600-00009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a:extLst>
            <a:ext uri="{FF2B5EF4-FFF2-40B4-BE49-F238E27FC236}">
              <a16:creationId xmlns:a16="http://schemas.microsoft.com/office/drawing/2014/main" id="{00000000-0008-0000-0600-00009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a:extLst>
            <a:ext uri="{FF2B5EF4-FFF2-40B4-BE49-F238E27FC236}">
              <a16:creationId xmlns:a16="http://schemas.microsoft.com/office/drawing/2014/main" id="{00000000-0008-0000-0600-00009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a:extLst>
            <a:ext uri="{FF2B5EF4-FFF2-40B4-BE49-F238E27FC236}">
              <a16:creationId xmlns:a16="http://schemas.microsoft.com/office/drawing/2014/main" id="{00000000-0008-0000-0600-00009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a:extLst>
            <a:ext uri="{FF2B5EF4-FFF2-40B4-BE49-F238E27FC236}">
              <a16:creationId xmlns:a16="http://schemas.microsoft.com/office/drawing/2014/main" id="{00000000-0008-0000-0600-00009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a:extLst>
            <a:ext uri="{FF2B5EF4-FFF2-40B4-BE49-F238E27FC236}">
              <a16:creationId xmlns:a16="http://schemas.microsoft.com/office/drawing/2014/main" id="{00000000-0008-0000-0600-00009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a:extLst>
            <a:ext uri="{FF2B5EF4-FFF2-40B4-BE49-F238E27FC236}">
              <a16:creationId xmlns:a16="http://schemas.microsoft.com/office/drawing/2014/main" id="{00000000-0008-0000-0600-0000A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a:extLst>
            <a:ext uri="{FF2B5EF4-FFF2-40B4-BE49-F238E27FC236}">
              <a16:creationId xmlns:a16="http://schemas.microsoft.com/office/drawing/2014/main" id="{00000000-0008-0000-0600-0000A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a:extLst>
            <a:ext uri="{FF2B5EF4-FFF2-40B4-BE49-F238E27FC236}">
              <a16:creationId xmlns:a16="http://schemas.microsoft.com/office/drawing/2014/main" id="{00000000-0008-0000-0600-0000A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a:extLst>
            <a:ext uri="{FF2B5EF4-FFF2-40B4-BE49-F238E27FC236}">
              <a16:creationId xmlns:a16="http://schemas.microsoft.com/office/drawing/2014/main" id="{00000000-0008-0000-0600-0000A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a:extLst>
            <a:ext uri="{FF2B5EF4-FFF2-40B4-BE49-F238E27FC236}">
              <a16:creationId xmlns:a16="http://schemas.microsoft.com/office/drawing/2014/main" id="{00000000-0008-0000-0600-0000A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a:extLst>
            <a:ext uri="{FF2B5EF4-FFF2-40B4-BE49-F238E27FC236}">
              <a16:creationId xmlns:a16="http://schemas.microsoft.com/office/drawing/2014/main" id="{00000000-0008-0000-0600-0000A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a:extLst>
            <a:ext uri="{FF2B5EF4-FFF2-40B4-BE49-F238E27FC236}">
              <a16:creationId xmlns:a16="http://schemas.microsoft.com/office/drawing/2014/main" id="{00000000-0008-0000-0600-0000A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a:extLst>
            <a:ext uri="{FF2B5EF4-FFF2-40B4-BE49-F238E27FC236}">
              <a16:creationId xmlns:a16="http://schemas.microsoft.com/office/drawing/2014/main" id="{00000000-0008-0000-0600-0000A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a:extLst>
            <a:ext uri="{FF2B5EF4-FFF2-40B4-BE49-F238E27FC236}">
              <a16:creationId xmlns:a16="http://schemas.microsoft.com/office/drawing/2014/main" id="{00000000-0008-0000-0600-0000A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a:extLst>
            <a:ext uri="{FF2B5EF4-FFF2-40B4-BE49-F238E27FC236}">
              <a16:creationId xmlns:a16="http://schemas.microsoft.com/office/drawing/2014/main" id="{00000000-0008-0000-0600-0000A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a:extLst>
            <a:ext uri="{FF2B5EF4-FFF2-40B4-BE49-F238E27FC236}">
              <a16:creationId xmlns:a16="http://schemas.microsoft.com/office/drawing/2014/main" id="{00000000-0008-0000-0600-0000A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a:extLst>
            <a:ext uri="{FF2B5EF4-FFF2-40B4-BE49-F238E27FC236}">
              <a16:creationId xmlns:a16="http://schemas.microsoft.com/office/drawing/2014/main" id="{00000000-0008-0000-0600-0000A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a:extLst>
            <a:ext uri="{FF2B5EF4-FFF2-40B4-BE49-F238E27FC236}">
              <a16:creationId xmlns:a16="http://schemas.microsoft.com/office/drawing/2014/main" id="{00000000-0008-0000-0600-0000A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a:extLst>
            <a:ext uri="{FF2B5EF4-FFF2-40B4-BE49-F238E27FC236}">
              <a16:creationId xmlns:a16="http://schemas.microsoft.com/office/drawing/2014/main" id="{00000000-0008-0000-0600-0000A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a:extLst>
            <a:ext uri="{FF2B5EF4-FFF2-40B4-BE49-F238E27FC236}">
              <a16:creationId xmlns:a16="http://schemas.microsoft.com/office/drawing/2014/main" id="{00000000-0008-0000-0600-0000A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a:extLst>
            <a:ext uri="{FF2B5EF4-FFF2-40B4-BE49-F238E27FC236}">
              <a16:creationId xmlns:a16="http://schemas.microsoft.com/office/drawing/2014/main" id="{00000000-0008-0000-0600-0000A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a:extLst>
            <a:ext uri="{FF2B5EF4-FFF2-40B4-BE49-F238E27FC236}">
              <a16:creationId xmlns:a16="http://schemas.microsoft.com/office/drawing/2014/main" id="{00000000-0008-0000-0600-0000B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a:extLst>
            <a:ext uri="{FF2B5EF4-FFF2-40B4-BE49-F238E27FC236}">
              <a16:creationId xmlns:a16="http://schemas.microsoft.com/office/drawing/2014/main" id="{00000000-0008-0000-0600-0000B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a:extLst>
            <a:ext uri="{FF2B5EF4-FFF2-40B4-BE49-F238E27FC236}">
              <a16:creationId xmlns:a16="http://schemas.microsoft.com/office/drawing/2014/main" id="{00000000-0008-0000-0600-0000B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a:extLst>
            <a:ext uri="{FF2B5EF4-FFF2-40B4-BE49-F238E27FC236}">
              <a16:creationId xmlns:a16="http://schemas.microsoft.com/office/drawing/2014/main" id="{00000000-0008-0000-0600-0000B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a:extLst>
            <a:ext uri="{FF2B5EF4-FFF2-40B4-BE49-F238E27FC236}">
              <a16:creationId xmlns:a16="http://schemas.microsoft.com/office/drawing/2014/main" id="{00000000-0008-0000-0600-0000B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a:extLst>
            <a:ext uri="{FF2B5EF4-FFF2-40B4-BE49-F238E27FC236}">
              <a16:creationId xmlns:a16="http://schemas.microsoft.com/office/drawing/2014/main" id="{00000000-0008-0000-0600-0000B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a:extLst>
            <a:ext uri="{FF2B5EF4-FFF2-40B4-BE49-F238E27FC236}">
              <a16:creationId xmlns:a16="http://schemas.microsoft.com/office/drawing/2014/main" id="{00000000-0008-0000-0600-0000B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a:extLst>
            <a:ext uri="{FF2B5EF4-FFF2-40B4-BE49-F238E27FC236}">
              <a16:creationId xmlns:a16="http://schemas.microsoft.com/office/drawing/2014/main" id="{00000000-0008-0000-0600-0000B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a:extLst>
            <a:ext uri="{FF2B5EF4-FFF2-40B4-BE49-F238E27FC236}">
              <a16:creationId xmlns:a16="http://schemas.microsoft.com/office/drawing/2014/main" id="{00000000-0008-0000-0600-0000B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a:extLst>
            <a:ext uri="{FF2B5EF4-FFF2-40B4-BE49-F238E27FC236}">
              <a16:creationId xmlns:a16="http://schemas.microsoft.com/office/drawing/2014/main" id="{00000000-0008-0000-0600-0000B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a:extLst>
            <a:ext uri="{FF2B5EF4-FFF2-40B4-BE49-F238E27FC236}">
              <a16:creationId xmlns:a16="http://schemas.microsoft.com/office/drawing/2014/main" id="{00000000-0008-0000-0600-0000B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a:extLst>
            <a:ext uri="{FF2B5EF4-FFF2-40B4-BE49-F238E27FC236}">
              <a16:creationId xmlns:a16="http://schemas.microsoft.com/office/drawing/2014/main" id="{00000000-0008-0000-0600-0000B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a:extLst>
            <a:ext uri="{FF2B5EF4-FFF2-40B4-BE49-F238E27FC236}">
              <a16:creationId xmlns:a16="http://schemas.microsoft.com/office/drawing/2014/main" id="{00000000-0008-0000-0600-0000B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a:extLst>
            <a:ext uri="{FF2B5EF4-FFF2-40B4-BE49-F238E27FC236}">
              <a16:creationId xmlns:a16="http://schemas.microsoft.com/office/drawing/2014/main" id="{00000000-0008-0000-0600-0000B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a:extLst>
            <a:ext uri="{FF2B5EF4-FFF2-40B4-BE49-F238E27FC236}">
              <a16:creationId xmlns:a16="http://schemas.microsoft.com/office/drawing/2014/main" id="{00000000-0008-0000-0600-0000B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a:extLst>
            <a:ext uri="{FF2B5EF4-FFF2-40B4-BE49-F238E27FC236}">
              <a16:creationId xmlns:a16="http://schemas.microsoft.com/office/drawing/2014/main" id="{00000000-0008-0000-0600-0000B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a:extLst>
            <a:ext uri="{FF2B5EF4-FFF2-40B4-BE49-F238E27FC236}">
              <a16:creationId xmlns:a16="http://schemas.microsoft.com/office/drawing/2014/main" id="{00000000-0008-0000-0600-0000C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a:extLst>
            <a:ext uri="{FF2B5EF4-FFF2-40B4-BE49-F238E27FC236}">
              <a16:creationId xmlns:a16="http://schemas.microsoft.com/office/drawing/2014/main" id="{00000000-0008-0000-0600-0000C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a:extLst>
            <a:ext uri="{FF2B5EF4-FFF2-40B4-BE49-F238E27FC236}">
              <a16:creationId xmlns:a16="http://schemas.microsoft.com/office/drawing/2014/main" id="{00000000-0008-0000-0600-0000C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a:extLst>
            <a:ext uri="{FF2B5EF4-FFF2-40B4-BE49-F238E27FC236}">
              <a16:creationId xmlns:a16="http://schemas.microsoft.com/office/drawing/2014/main" id="{00000000-0008-0000-0600-0000C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a:extLst>
            <a:ext uri="{FF2B5EF4-FFF2-40B4-BE49-F238E27FC236}">
              <a16:creationId xmlns:a16="http://schemas.microsoft.com/office/drawing/2014/main" id="{00000000-0008-0000-0600-0000C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a:extLst>
            <a:ext uri="{FF2B5EF4-FFF2-40B4-BE49-F238E27FC236}">
              <a16:creationId xmlns:a16="http://schemas.microsoft.com/office/drawing/2014/main" id="{00000000-0008-0000-0600-0000C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a:extLst>
            <a:ext uri="{FF2B5EF4-FFF2-40B4-BE49-F238E27FC236}">
              <a16:creationId xmlns:a16="http://schemas.microsoft.com/office/drawing/2014/main" id="{00000000-0008-0000-0600-0000C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a:extLst>
            <a:ext uri="{FF2B5EF4-FFF2-40B4-BE49-F238E27FC236}">
              <a16:creationId xmlns:a16="http://schemas.microsoft.com/office/drawing/2014/main" id="{00000000-0008-0000-0600-0000C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a:extLst>
            <a:ext uri="{FF2B5EF4-FFF2-40B4-BE49-F238E27FC236}">
              <a16:creationId xmlns:a16="http://schemas.microsoft.com/office/drawing/2014/main" id="{00000000-0008-0000-0600-0000C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a:extLst>
            <a:ext uri="{FF2B5EF4-FFF2-40B4-BE49-F238E27FC236}">
              <a16:creationId xmlns:a16="http://schemas.microsoft.com/office/drawing/2014/main" id="{00000000-0008-0000-0600-0000C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a:extLst>
            <a:ext uri="{FF2B5EF4-FFF2-40B4-BE49-F238E27FC236}">
              <a16:creationId xmlns:a16="http://schemas.microsoft.com/office/drawing/2014/main" id="{00000000-0008-0000-0600-0000C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a:extLst>
            <a:ext uri="{FF2B5EF4-FFF2-40B4-BE49-F238E27FC236}">
              <a16:creationId xmlns:a16="http://schemas.microsoft.com/office/drawing/2014/main" id="{00000000-0008-0000-0600-0000C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a:extLst>
            <a:ext uri="{FF2B5EF4-FFF2-40B4-BE49-F238E27FC236}">
              <a16:creationId xmlns:a16="http://schemas.microsoft.com/office/drawing/2014/main" id="{00000000-0008-0000-0600-0000C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a:extLst>
            <a:ext uri="{FF2B5EF4-FFF2-40B4-BE49-F238E27FC236}">
              <a16:creationId xmlns:a16="http://schemas.microsoft.com/office/drawing/2014/main" id="{00000000-0008-0000-0600-0000C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a:extLst>
            <a:ext uri="{FF2B5EF4-FFF2-40B4-BE49-F238E27FC236}">
              <a16:creationId xmlns:a16="http://schemas.microsoft.com/office/drawing/2014/main" id="{00000000-0008-0000-0600-0000C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a:extLst>
            <a:ext uri="{FF2B5EF4-FFF2-40B4-BE49-F238E27FC236}">
              <a16:creationId xmlns:a16="http://schemas.microsoft.com/office/drawing/2014/main" id="{00000000-0008-0000-0600-0000C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a:extLst>
            <a:ext uri="{FF2B5EF4-FFF2-40B4-BE49-F238E27FC236}">
              <a16:creationId xmlns:a16="http://schemas.microsoft.com/office/drawing/2014/main" id="{00000000-0008-0000-0600-0000D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a:extLst>
            <a:ext uri="{FF2B5EF4-FFF2-40B4-BE49-F238E27FC236}">
              <a16:creationId xmlns:a16="http://schemas.microsoft.com/office/drawing/2014/main" id="{00000000-0008-0000-0600-0000D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a:extLst>
            <a:ext uri="{FF2B5EF4-FFF2-40B4-BE49-F238E27FC236}">
              <a16:creationId xmlns:a16="http://schemas.microsoft.com/office/drawing/2014/main" id="{00000000-0008-0000-0600-0000D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a:extLst>
            <a:ext uri="{FF2B5EF4-FFF2-40B4-BE49-F238E27FC236}">
              <a16:creationId xmlns:a16="http://schemas.microsoft.com/office/drawing/2014/main" id="{00000000-0008-0000-0600-0000D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a:extLst>
            <a:ext uri="{FF2B5EF4-FFF2-40B4-BE49-F238E27FC236}">
              <a16:creationId xmlns:a16="http://schemas.microsoft.com/office/drawing/2014/main" id="{00000000-0008-0000-0600-0000D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a:extLst>
            <a:ext uri="{FF2B5EF4-FFF2-40B4-BE49-F238E27FC236}">
              <a16:creationId xmlns:a16="http://schemas.microsoft.com/office/drawing/2014/main" id="{00000000-0008-0000-0600-0000D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a:extLst>
            <a:ext uri="{FF2B5EF4-FFF2-40B4-BE49-F238E27FC236}">
              <a16:creationId xmlns:a16="http://schemas.microsoft.com/office/drawing/2014/main" id="{00000000-0008-0000-0600-0000D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a:extLst>
            <a:ext uri="{FF2B5EF4-FFF2-40B4-BE49-F238E27FC236}">
              <a16:creationId xmlns:a16="http://schemas.microsoft.com/office/drawing/2014/main" id="{00000000-0008-0000-0600-0000D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a:extLst>
            <a:ext uri="{FF2B5EF4-FFF2-40B4-BE49-F238E27FC236}">
              <a16:creationId xmlns:a16="http://schemas.microsoft.com/office/drawing/2014/main" id="{00000000-0008-0000-0600-0000D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a:extLst>
            <a:ext uri="{FF2B5EF4-FFF2-40B4-BE49-F238E27FC236}">
              <a16:creationId xmlns:a16="http://schemas.microsoft.com/office/drawing/2014/main" id="{00000000-0008-0000-0600-0000D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a:extLst>
            <a:ext uri="{FF2B5EF4-FFF2-40B4-BE49-F238E27FC236}">
              <a16:creationId xmlns:a16="http://schemas.microsoft.com/office/drawing/2014/main" id="{00000000-0008-0000-0600-0000D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a:extLst>
            <a:ext uri="{FF2B5EF4-FFF2-40B4-BE49-F238E27FC236}">
              <a16:creationId xmlns:a16="http://schemas.microsoft.com/office/drawing/2014/main" id="{00000000-0008-0000-0600-0000D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a:extLst>
            <a:ext uri="{FF2B5EF4-FFF2-40B4-BE49-F238E27FC236}">
              <a16:creationId xmlns:a16="http://schemas.microsoft.com/office/drawing/2014/main" id="{00000000-0008-0000-0600-0000D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a:extLst>
            <a:ext uri="{FF2B5EF4-FFF2-40B4-BE49-F238E27FC236}">
              <a16:creationId xmlns:a16="http://schemas.microsoft.com/office/drawing/2014/main" id="{00000000-0008-0000-0600-0000D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a:extLst>
            <a:ext uri="{FF2B5EF4-FFF2-40B4-BE49-F238E27FC236}">
              <a16:creationId xmlns:a16="http://schemas.microsoft.com/office/drawing/2014/main" id="{00000000-0008-0000-0600-0000D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a:extLst>
            <a:ext uri="{FF2B5EF4-FFF2-40B4-BE49-F238E27FC236}">
              <a16:creationId xmlns:a16="http://schemas.microsoft.com/office/drawing/2014/main" id="{00000000-0008-0000-0600-0000D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a:extLst>
            <a:ext uri="{FF2B5EF4-FFF2-40B4-BE49-F238E27FC236}">
              <a16:creationId xmlns:a16="http://schemas.microsoft.com/office/drawing/2014/main" id="{00000000-0008-0000-0600-0000E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a:extLst>
            <a:ext uri="{FF2B5EF4-FFF2-40B4-BE49-F238E27FC236}">
              <a16:creationId xmlns:a16="http://schemas.microsoft.com/office/drawing/2014/main" id="{00000000-0008-0000-0600-0000E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a:extLst>
            <a:ext uri="{FF2B5EF4-FFF2-40B4-BE49-F238E27FC236}">
              <a16:creationId xmlns:a16="http://schemas.microsoft.com/office/drawing/2014/main" id="{00000000-0008-0000-0600-0000E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a:extLst>
            <a:ext uri="{FF2B5EF4-FFF2-40B4-BE49-F238E27FC236}">
              <a16:creationId xmlns:a16="http://schemas.microsoft.com/office/drawing/2014/main" id="{00000000-0008-0000-0600-0000E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a:extLst>
            <a:ext uri="{FF2B5EF4-FFF2-40B4-BE49-F238E27FC236}">
              <a16:creationId xmlns:a16="http://schemas.microsoft.com/office/drawing/2014/main" id="{00000000-0008-0000-0600-0000E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a:extLst>
            <a:ext uri="{FF2B5EF4-FFF2-40B4-BE49-F238E27FC236}">
              <a16:creationId xmlns:a16="http://schemas.microsoft.com/office/drawing/2014/main" id="{00000000-0008-0000-0600-0000E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a:extLst>
            <a:ext uri="{FF2B5EF4-FFF2-40B4-BE49-F238E27FC236}">
              <a16:creationId xmlns:a16="http://schemas.microsoft.com/office/drawing/2014/main" id="{00000000-0008-0000-0600-0000E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a:extLst>
            <a:ext uri="{FF2B5EF4-FFF2-40B4-BE49-F238E27FC236}">
              <a16:creationId xmlns:a16="http://schemas.microsoft.com/office/drawing/2014/main" id="{00000000-0008-0000-0600-0000E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a:extLst>
            <a:ext uri="{FF2B5EF4-FFF2-40B4-BE49-F238E27FC236}">
              <a16:creationId xmlns:a16="http://schemas.microsoft.com/office/drawing/2014/main" id="{00000000-0008-0000-0600-0000E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a:extLst>
            <a:ext uri="{FF2B5EF4-FFF2-40B4-BE49-F238E27FC236}">
              <a16:creationId xmlns:a16="http://schemas.microsoft.com/office/drawing/2014/main" id="{00000000-0008-0000-0600-0000E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a:extLst>
            <a:ext uri="{FF2B5EF4-FFF2-40B4-BE49-F238E27FC236}">
              <a16:creationId xmlns:a16="http://schemas.microsoft.com/office/drawing/2014/main" id="{00000000-0008-0000-0600-0000E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a:extLst>
            <a:ext uri="{FF2B5EF4-FFF2-40B4-BE49-F238E27FC236}">
              <a16:creationId xmlns:a16="http://schemas.microsoft.com/office/drawing/2014/main" id="{00000000-0008-0000-0600-0000E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a:extLst>
            <a:ext uri="{FF2B5EF4-FFF2-40B4-BE49-F238E27FC236}">
              <a16:creationId xmlns:a16="http://schemas.microsoft.com/office/drawing/2014/main" id="{00000000-0008-0000-0600-0000E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a:extLst>
            <a:ext uri="{FF2B5EF4-FFF2-40B4-BE49-F238E27FC236}">
              <a16:creationId xmlns:a16="http://schemas.microsoft.com/office/drawing/2014/main" id="{00000000-0008-0000-0600-0000E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a:extLst>
            <a:ext uri="{FF2B5EF4-FFF2-40B4-BE49-F238E27FC236}">
              <a16:creationId xmlns:a16="http://schemas.microsoft.com/office/drawing/2014/main" id="{00000000-0008-0000-0600-0000E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a:extLst>
            <a:ext uri="{FF2B5EF4-FFF2-40B4-BE49-F238E27FC236}">
              <a16:creationId xmlns:a16="http://schemas.microsoft.com/office/drawing/2014/main" id="{00000000-0008-0000-0600-0000E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a:extLst>
            <a:ext uri="{FF2B5EF4-FFF2-40B4-BE49-F238E27FC236}">
              <a16:creationId xmlns:a16="http://schemas.microsoft.com/office/drawing/2014/main" id="{00000000-0008-0000-0600-0000F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a:extLst>
            <a:ext uri="{FF2B5EF4-FFF2-40B4-BE49-F238E27FC236}">
              <a16:creationId xmlns:a16="http://schemas.microsoft.com/office/drawing/2014/main" id="{00000000-0008-0000-0600-0000F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a:extLst>
            <a:ext uri="{FF2B5EF4-FFF2-40B4-BE49-F238E27FC236}">
              <a16:creationId xmlns:a16="http://schemas.microsoft.com/office/drawing/2014/main" id="{00000000-0008-0000-0600-0000F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a:extLst>
            <a:ext uri="{FF2B5EF4-FFF2-40B4-BE49-F238E27FC236}">
              <a16:creationId xmlns:a16="http://schemas.microsoft.com/office/drawing/2014/main" id="{00000000-0008-0000-0600-0000F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a:extLst>
            <a:ext uri="{FF2B5EF4-FFF2-40B4-BE49-F238E27FC236}">
              <a16:creationId xmlns:a16="http://schemas.microsoft.com/office/drawing/2014/main" id="{00000000-0008-0000-0600-0000F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a:extLst>
            <a:ext uri="{FF2B5EF4-FFF2-40B4-BE49-F238E27FC236}">
              <a16:creationId xmlns:a16="http://schemas.microsoft.com/office/drawing/2014/main" id="{00000000-0008-0000-0600-0000F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a:extLst>
            <a:ext uri="{FF2B5EF4-FFF2-40B4-BE49-F238E27FC236}">
              <a16:creationId xmlns:a16="http://schemas.microsoft.com/office/drawing/2014/main" id="{00000000-0008-0000-0600-0000F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a:extLst>
            <a:ext uri="{FF2B5EF4-FFF2-40B4-BE49-F238E27FC236}">
              <a16:creationId xmlns:a16="http://schemas.microsoft.com/office/drawing/2014/main" id="{00000000-0008-0000-0600-0000F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a:extLst>
            <a:ext uri="{FF2B5EF4-FFF2-40B4-BE49-F238E27FC236}">
              <a16:creationId xmlns:a16="http://schemas.microsoft.com/office/drawing/2014/main" id="{00000000-0008-0000-0600-0000F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a:extLst>
            <a:ext uri="{FF2B5EF4-FFF2-40B4-BE49-F238E27FC236}">
              <a16:creationId xmlns:a16="http://schemas.microsoft.com/office/drawing/2014/main" id="{00000000-0008-0000-0600-0000F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a:extLst>
            <a:ext uri="{FF2B5EF4-FFF2-40B4-BE49-F238E27FC236}">
              <a16:creationId xmlns:a16="http://schemas.microsoft.com/office/drawing/2014/main" id="{00000000-0008-0000-0600-0000F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a:extLst>
            <a:ext uri="{FF2B5EF4-FFF2-40B4-BE49-F238E27FC236}">
              <a16:creationId xmlns:a16="http://schemas.microsoft.com/office/drawing/2014/main" id="{00000000-0008-0000-0600-0000F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a:extLst>
            <a:ext uri="{FF2B5EF4-FFF2-40B4-BE49-F238E27FC236}">
              <a16:creationId xmlns:a16="http://schemas.microsoft.com/office/drawing/2014/main" id="{00000000-0008-0000-0600-0000F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a:extLst>
            <a:ext uri="{FF2B5EF4-FFF2-40B4-BE49-F238E27FC236}">
              <a16:creationId xmlns:a16="http://schemas.microsoft.com/office/drawing/2014/main" id="{00000000-0008-0000-0600-0000F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a:extLst>
            <a:ext uri="{FF2B5EF4-FFF2-40B4-BE49-F238E27FC236}">
              <a16:creationId xmlns:a16="http://schemas.microsoft.com/office/drawing/2014/main" id="{00000000-0008-0000-0600-0000F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a:extLst>
            <a:ext uri="{FF2B5EF4-FFF2-40B4-BE49-F238E27FC236}">
              <a16:creationId xmlns:a16="http://schemas.microsoft.com/office/drawing/2014/main" id="{00000000-0008-0000-0600-0000F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a:extLst>
            <a:ext uri="{FF2B5EF4-FFF2-40B4-BE49-F238E27FC236}">
              <a16:creationId xmlns:a16="http://schemas.microsoft.com/office/drawing/2014/main" id="{00000000-0008-0000-0600-00000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a:extLst>
            <a:ext uri="{FF2B5EF4-FFF2-40B4-BE49-F238E27FC236}">
              <a16:creationId xmlns:a16="http://schemas.microsoft.com/office/drawing/2014/main" id="{00000000-0008-0000-0600-00000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a:extLst>
            <a:ext uri="{FF2B5EF4-FFF2-40B4-BE49-F238E27FC236}">
              <a16:creationId xmlns:a16="http://schemas.microsoft.com/office/drawing/2014/main" id="{00000000-0008-0000-0600-00000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a:extLst>
            <a:ext uri="{FF2B5EF4-FFF2-40B4-BE49-F238E27FC236}">
              <a16:creationId xmlns:a16="http://schemas.microsoft.com/office/drawing/2014/main" id="{00000000-0008-0000-0600-00000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a:extLst>
            <a:ext uri="{FF2B5EF4-FFF2-40B4-BE49-F238E27FC236}">
              <a16:creationId xmlns:a16="http://schemas.microsoft.com/office/drawing/2014/main" id="{00000000-0008-0000-0600-00000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a:extLst>
            <a:ext uri="{FF2B5EF4-FFF2-40B4-BE49-F238E27FC236}">
              <a16:creationId xmlns:a16="http://schemas.microsoft.com/office/drawing/2014/main" id="{00000000-0008-0000-0600-00000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a:extLst>
            <a:ext uri="{FF2B5EF4-FFF2-40B4-BE49-F238E27FC236}">
              <a16:creationId xmlns:a16="http://schemas.microsoft.com/office/drawing/2014/main" id="{00000000-0008-0000-0600-00000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a:extLst>
            <a:ext uri="{FF2B5EF4-FFF2-40B4-BE49-F238E27FC236}">
              <a16:creationId xmlns:a16="http://schemas.microsoft.com/office/drawing/2014/main" id="{00000000-0008-0000-0600-00000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a:extLst>
            <a:ext uri="{FF2B5EF4-FFF2-40B4-BE49-F238E27FC236}">
              <a16:creationId xmlns:a16="http://schemas.microsoft.com/office/drawing/2014/main" id="{00000000-0008-0000-0600-00000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a:extLst>
            <a:ext uri="{FF2B5EF4-FFF2-40B4-BE49-F238E27FC236}">
              <a16:creationId xmlns:a16="http://schemas.microsoft.com/office/drawing/2014/main" id="{00000000-0008-0000-0600-00000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a:extLst>
            <a:ext uri="{FF2B5EF4-FFF2-40B4-BE49-F238E27FC236}">
              <a16:creationId xmlns:a16="http://schemas.microsoft.com/office/drawing/2014/main" id="{00000000-0008-0000-0600-00000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a:extLst>
            <a:ext uri="{FF2B5EF4-FFF2-40B4-BE49-F238E27FC236}">
              <a16:creationId xmlns:a16="http://schemas.microsoft.com/office/drawing/2014/main" id="{00000000-0008-0000-0600-00000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a:extLst>
            <a:ext uri="{FF2B5EF4-FFF2-40B4-BE49-F238E27FC236}">
              <a16:creationId xmlns:a16="http://schemas.microsoft.com/office/drawing/2014/main" id="{00000000-0008-0000-0600-00000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a:extLst>
            <a:ext uri="{FF2B5EF4-FFF2-40B4-BE49-F238E27FC236}">
              <a16:creationId xmlns:a16="http://schemas.microsoft.com/office/drawing/2014/main" id="{00000000-0008-0000-0600-00000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a:extLst>
            <a:ext uri="{FF2B5EF4-FFF2-40B4-BE49-F238E27FC236}">
              <a16:creationId xmlns:a16="http://schemas.microsoft.com/office/drawing/2014/main" id="{00000000-0008-0000-0600-00000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a:extLst>
            <a:ext uri="{FF2B5EF4-FFF2-40B4-BE49-F238E27FC236}">
              <a16:creationId xmlns:a16="http://schemas.microsoft.com/office/drawing/2014/main" id="{00000000-0008-0000-0600-00000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a:extLst>
            <a:ext uri="{FF2B5EF4-FFF2-40B4-BE49-F238E27FC236}">
              <a16:creationId xmlns:a16="http://schemas.microsoft.com/office/drawing/2014/main" id="{00000000-0008-0000-0600-00001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a:extLst>
            <a:ext uri="{FF2B5EF4-FFF2-40B4-BE49-F238E27FC236}">
              <a16:creationId xmlns:a16="http://schemas.microsoft.com/office/drawing/2014/main" id="{00000000-0008-0000-0600-00001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a:extLst>
            <a:ext uri="{FF2B5EF4-FFF2-40B4-BE49-F238E27FC236}">
              <a16:creationId xmlns:a16="http://schemas.microsoft.com/office/drawing/2014/main" id="{00000000-0008-0000-0600-00001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a:extLst>
            <a:ext uri="{FF2B5EF4-FFF2-40B4-BE49-F238E27FC236}">
              <a16:creationId xmlns:a16="http://schemas.microsoft.com/office/drawing/2014/main" id="{00000000-0008-0000-0600-00001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a:extLst>
            <a:ext uri="{FF2B5EF4-FFF2-40B4-BE49-F238E27FC236}">
              <a16:creationId xmlns:a16="http://schemas.microsoft.com/office/drawing/2014/main" id="{00000000-0008-0000-0600-00001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a:extLst>
            <a:ext uri="{FF2B5EF4-FFF2-40B4-BE49-F238E27FC236}">
              <a16:creationId xmlns:a16="http://schemas.microsoft.com/office/drawing/2014/main" id="{00000000-0008-0000-0600-00001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a:extLst>
            <a:ext uri="{FF2B5EF4-FFF2-40B4-BE49-F238E27FC236}">
              <a16:creationId xmlns:a16="http://schemas.microsoft.com/office/drawing/2014/main" id="{00000000-0008-0000-0600-00001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a:extLst>
            <a:ext uri="{FF2B5EF4-FFF2-40B4-BE49-F238E27FC236}">
              <a16:creationId xmlns:a16="http://schemas.microsoft.com/office/drawing/2014/main" id="{00000000-0008-0000-0600-00001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a:extLst>
            <a:ext uri="{FF2B5EF4-FFF2-40B4-BE49-F238E27FC236}">
              <a16:creationId xmlns:a16="http://schemas.microsoft.com/office/drawing/2014/main" id="{00000000-0008-0000-0600-00001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a:extLst>
            <a:ext uri="{FF2B5EF4-FFF2-40B4-BE49-F238E27FC236}">
              <a16:creationId xmlns:a16="http://schemas.microsoft.com/office/drawing/2014/main" id="{00000000-0008-0000-0600-00001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a:extLst>
            <a:ext uri="{FF2B5EF4-FFF2-40B4-BE49-F238E27FC236}">
              <a16:creationId xmlns:a16="http://schemas.microsoft.com/office/drawing/2014/main" id="{00000000-0008-0000-0600-00001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a:extLst>
            <a:ext uri="{FF2B5EF4-FFF2-40B4-BE49-F238E27FC236}">
              <a16:creationId xmlns:a16="http://schemas.microsoft.com/office/drawing/2014/main" id="{00000000-0008-0000-0600-00001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a:extLst>
            <a:ext uri="{FF2B5EF4-FFF2-40B4-BE49-F238E27FC236}">
              <a16:creationId xmlns:a16="http://schemas.microsoft.com/office/drawing/2014/main" id="{00000000-0008-0000-0600-00001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a:extLst>
            <a:ext uri="{FF2B5EF4-FFF2-40B4-BE49-F238E27FC236}">
              <a16:creationId xmlns:a16="http://schemas.microsoft.com/office/drawing/2014/main" id="{00000000-0008-0000-0600-00001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a:extLst>
            <a:ext uri="{FF2B5EF4-FFF2-40B4-BE49-F238E27FC236}">
              <a16:creationId xmlns:a16="http://schemas.microsoft.com/office/drawing/2014/main" id="{00000000-0008-0000-0600-00001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a:extLst>
            <a:ext uri="{FF2B5EF4-FFF2-40B4-BE49-F238E27FC236}">
              <a16:creationId xmlns:a16="http://schemas.microsoft.com/office/drawing/2014/main" id="{00000000-0008-0000-0600-00001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a:extLst>
            <a:ext uri="{FF2B5EF4-FFF2-40B4-BE49-F238E27FC236}">
              <a16:creationId xmlns:a16="http://schemas.microsoft.com/office/drawing/2014/main" id="{00000000-0008-0000-0600-00002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a:extLst>
            <a:ext uri="{FF2B5EF4-FFF2-40B4-BE49-F238E27FC236}">
              <a16:creationId xmlns:a16="http://schemas.microsoft.com/office/drawing/2014/main" id="{00000000-0008-0000-0600-00002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a:extLst>
            <a:ext uri="{FF2B5EF4-FFF2-40B4-BE49-F238E27FC236}">
              <a16:creationId xmlns:a16="http://schemas.microsoft.com/office/drawing/2014/main" id="{00000000-0008-0000-0600-00002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a:extLst>
            <a:ext uri="{FF2B5EF4-FFF2-40B4-BE49-F238E27FC236}">
              <a16:creationId xmlns:a16="http://schemas.microsoft.com/office/drawing/2014/main" id="{00000000-0008-0000-0600-00002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a:extLst>
            <a:ext uri="{FF2B5EF4-FFF2-40B4-BE49-F238E27FC236}">
              <a16:creationId xmlns:a16="http://schemas.microsoft.com/office/drawing/2014/main" id="{00000000-0008-0000-0600-00002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a:extLst>
            <a:ext uri="{FF2B5EF4-FFF2-40B4-BE49-F238E27FC236}">
              <a16:creationId xmlns:a16="http://schemas.microsoft.com/office/drawing/2014/main" id="{00000000-0008-0000-0600-00002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a:extLst>
            <a:ext uri="{FF2B5EF4-FFF2-40B4-BE49-F238E27FC236}">
              <a16:creationId xmlns:a16="http://schemas.microsoft.com/office/drawing/2014/main" id="{00000000-0008-0000-0600-00002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a:extLst>
            <a:ext uri="{FF2B5EF4-FFF2-40B4-BE49-F238E27FC236}">
              <a16:creationId xmlns:a16="http://schemas.microsoft.com/office/drawing/2014/main" id="{00000000-0008-0000-0600-00002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a:extLst>
            <a:ext uri="{FF2B5EF4-FFF2-40B4-BE49-F238E27FC236}">
              <a16:creationId xmlns:a16="http://schemas.microsoft.com/office/drawing/2014/main" id="{00000000-0008-0000-0600-00002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a:extLst>
            <a:ext uri="{FF2B5EF4-FFF2-40B4-BE49-F238E27FC236}">
              <a16:creationId xmlns:a16="http://schemas.microsoft.com/office/drawing/2014/main" id="{00000000-0008-0000-0600-00002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a:extLst>
            <a:ext uri="{FF2B5EF4-FFF2-40B4-BE49-F238E27FC236}">
              <a16:creationId xmlns:a16="http://schemas.microsoft.com/office/drawing/2014/main" id="{00000000-0008-0000-0600-00002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a:extLst>
            <a:ext uri="{FF2B5EF4-FFF2-40B4-BE49-F238E27FC236}">
              <a16:creationId xmlns:a16="http://schemas.microsoft.com/office/drawing/2014/main" id="{00000000-0008-0000-0600-00002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a:extLst>
            <a:ext uri="{FF2B5EF4-FFF2-40B4-BE49-F238E27FC236}">
              <a16:creationId xmlns:a16="http://schemas.microsoft.com/office/drawing/2014/main" id="{00000000-0008-0000-0600-00002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a:extLst>
            <a:ext uri="{FF2B5EF4-FFF2-40B4-BE49-F238E27FC236}">
              <a16:creationId xmlns:a16="http://schemas.microsoft.com/office/drawing/2014/main" id="{00000000-0008-0000-0600-00002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a:extLst>
            <a:ext uri="{FF2B5EF4-FFF2-40B4-BE49-F238E27FC236}">
              <a16:creationId xmlns:a16="http://schemas.microsoft.com/office/drawing/2014/main" id="{00000000-0008-0000-0600-00002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a:extLst>
            <a:ext uri="{FF2B5EF4-FFF2-40B4-BE49-F238E27FC236}">
              <a16:creationId xmlns:a16="http://schemas.microsoft.com/office/drawing/2014/main" id="{00000000-0008-0000-0600-00002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a:extLst>
            <a:ext uri="{FF2B5EF4-FFF2-40B4-BE49-F238E27FC236}">
              <a16:creationId xmlns:a16="http://schemas.microsoft.com/office/drawing/2014/main" id="{00000000-0008-0000-0600-00003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a:extLst>
            <a:ext uri="{FF2B5EF4-FFF2-40B4-BE49-F238E27FC236}">
              <a16:creationId xmlns:a16="http://schemas.microsoft.com/office/drawing/2014/main" id="{00000000-0008-0000-0600-00003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a:extLst>
            <a:ext uri="{FF2B5EF4-FFF2-40B4-BE49-F238E27FC236}">
              <a16:creationId xmlns:a16="http://schemas.microsoft.com/office/drawing/2014/main" id="{00000000-0008-0000-0600-00003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a:extLst>
            <a:ext uri="{FF2B5EF4-FFF2-40B4-BE49-F238E27FC236}">
              <a16:creationId xmlns:a16="http://schemas.microsoft.com/office/drawing/2014/main" id="{00000000-0008-0000-0600-00003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a:extLst>
            <a:ext uri="{FF2B5EF4-FFF2-40B4-BE49-F238E27FC236}">
              <a16:creationId xmlns:a16="http://schemas.microsoft.com/office/drawing/2014/main" id="{00000000-0008-0000-0600-00003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a:extLst>
            <a:ext uri="{FF2B5EF4-FFF2-40B4-BE49-F238E27FC236}">
              <a16:creationId xmlns:a16="http://schemas.microsoft.com/office/drawing/2014/main" id="{00000000-0008-0000-0600-00003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a:extLst>
            <a:ext uri="{FF2B5EF4-FFF2-40B4-BE49-F238E27FC236}">
              <a16:creationId xmlns:a16="http://schemas.microsoft.com/office/drawing/2014/main" id="{00000000-0008-0000-0600-00003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a:extLst>
            <a:ext uri="{FF2B5EF4-FFF2-40B4-BE49-F238E27FC236}">
              <a16:creationId xmlns:a16="http://schemas.microsoft.com/office/drawing/2014/main" id="{00000000-0008-0000-0600-00003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a:extLst>
            <a:ext uri="{FF2B5EF4-FFF2-40B4-BE49-F238E27FC236}">
              <a16:creationId xmlns:a16="http://schemas.microsoft.com/office/drawing/2014/main" id="{00000000-0008-0000-0600-00003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a:extLst>
            <a:ext uri="{FF2B5EF4-FFF2-40B4-BE49-F238E27FC236}">
              <a16:creationId xmlns:a16="http://schemas.microsoft.com/office/drawing/2014/main" id="{00000000-0008-0000-0600-00003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a:extLst>
            <a:ext uri="{FF2B5EF4-FFF2-40B4-BE49-F238E27FC236}">
              <a16:creationId xmlns:a16="http://schemas.microsoft.com/office/drawing/2014/main" id="{00000000-0008-0000-0600-00003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a:extLst>
            <a:ext uri="{FF2B5EF4-FFF2-40B4-BE49-F238E27FC236}">
              <a16:creationId xmlns:a16="http://schemas.microsoft.com/office/drawing/2014/main" id="{00000000-0008-0000-0600-00003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a:extLst>
            <a:ext uri="{FF2B5EF4-FFF2-40B4-BE49-F238E27FC236}">
              <a16:creationId xmlns:a16="http://schemas.microsoft.com/office/drawing/2014/main" id="{00000000-0008-0000-0600-00003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a:extLst>
            <a:ext uri="{FF2B5EF4-FFF2-40B4-BE49-F238E27FC236}">
              <a16:creationId xmlns:a16="http://schemas.microsoft.com/office/drawing/2014/main" id="{00000000-0008-0000-0600-00003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a:extLst>
            <a:ext uri="{FF2B5EF4-FFF2-40B4-BE49-F238E27FC236}">
              <a16:creationId xmlns:a16="http://schemas.microsoft.com/office/drawing/2014/main" id="{00000000-0008-0000-0600-00003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a:extLst>
            <a:ext uri="{FF2B5EF4-FFF2-40B4-BE49-F238E27FC236}">
              <a16:creationId xmlns:a16="http://schemas.microsoft.com/office/drawing/2014/main" id="{00000000-0008-0000-0600-00003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a:extLst>
            <a:ext uri="{FF2B5EF4-FFF2-40B4-BE49-F238E27FC236}">
              <a16:creationId xmlns:a16="http://schemas.microsoft.com/office/drawing/2014/main" id="{00000000-0008-0000-0600-00004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a:extLst>
            <a:ext uri="{FF2B5EF4-FFF2-40B4-BE49-F238E27FC236}">
              <a16:creationId xmlns:a16="http://schemas.microsoft.com/office/drawing/2014/main" id="{00000000-0008-0000-0600-00004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a:extLst>
            <a:ext uri="{FF2B5EF4-FFF2-40B4-BE49-F238E27FC236}">
              <a16:creationId xmlns:a16="http://schemas.microsoft.com/office/drawing/2014/main" id="{00000000-0008-0000-0600-00004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a:extLst>
            <a:ext uri="{FF2B5EF4-FFF2-40B4-BE49-F238E27FC236}">
              <a16:creationId xmlns:a16="http://schemas.microsoft.com/office/drawing/2014/main" id="{00000000-0008-0000-0600-00004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a:extLst>
            <a:ext uri="{FF2B5EF4-FFF2-40B4-BE49-F238E27FC236}">
              <a16:creationId xmlns:a16="http://schemas.microsoft.com/office/drawing/2014/main" id="{00000000-0008-0000-0600-00004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a:extLst>
            <a:ext uri="{FF2B5EF4-FFF2-40B4-BE49-F238E27FC236}">
              <a16:creationId xmlns:a16="http://schemas.microsoft.com/office/drawing/2014/main" id="{00000000-0008-0000-0600-00004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a:extLst>
            <a:ext uri="{FF2B5EF4-FFF2-40B4-BE49-F238E27FC236}">
              <a16:creationId xmlns:a16="http://schemas.microsoft.com/office/drawing/2014/main" id="{00000000-0008-0000-0600-00004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a:extLst>
            <a:ext uri="{FF2B5EF4-FFF2-40B4-BE49-F238E27FC236}">
              <a16:creationId xmlns:a16="http://schemas.microsoft.com/office/drawing/2014/main" id="{00000000-0008-0000-0600-00004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a:extLst>
            <a:ext uri="{FF2B5EF4-FFF2-40B4-BE49-F238E27FC236}">
              <a16:creationId xmlns:a16="http://schemas.microsoft.com/office/drawing/2014/main" id="{00000000-0008-0000-0600-00004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a:extLst>
            <a:ext uri="{FF2B5EF4-FFF2-40B4-BE49-F238E27FC236}">
              <a16:creationId xmlns:a16="http://schemas.microsoft.com/office/drawing/2014/main" id="{00000000-0008-0000-0600-00004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a:extLst>
            <a:ext uri="{FF2B5EF4-FFF2-40B4-BE49-F238E27FC236}">
              <a16:creationId xmlns:a16="http://schemas.microsoft.com/office/drawing/2014/main" id="{00000000-0008-0000-0600-00004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a:extLst>
            <a:ext uri="{FF2B5EF4-FFF2-40B4-BE49-F238E27FC236}">
              <a16:creationId xmlns:a16="http://schemas.microsoft.com/office/drawing/2014/main" id="{00000000-0008-0000-0600-00004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a:extLst>
            <a:ext uri="{FF2B5EF4-FFF2-40B4-BE49-F238E27FC236}">
              <a16:creationId xmlns:a16="http://schemas.microsoft.com/office/drawing/2014/main" id="{00000000-0008-0000-0600-00004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a:extLst>
            <a:ext uri="{FF2B5EF4-FFF2-40B4-BE49-F238E27FC236}">
              <a16:creationId xmlns:a16="http://schemas.microsoft.com/office/drawing/2014/main" id="{00000000-0008-0000-0600-00004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a:extLst>
            <a:ext uri="{FF2B5EF4-FFF2-40B4-BE49-F238E27FC236}">
              <a16:creationId xmlns:a16="http://schemas.microsoft.com/office/drawing/2014/main" id="{00000000-0008-0000-0600-00004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a:extLst>
            <a:ext uri="{FF2B5EF4-FFF2-40B4-BE49-F238E27FC236}">
              <a16:creationId xmlns:a16="http://schemas.microsoft.com/office/drawing/2014/main" id="{00000000-0008-0000-0600-00004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a:extLst>
            <a:ext uri="{FF2B5EF4-FFF2-40B4-BE49-F238E27FC236}">
              <a16:creationId xmlns:a16="http://schemas.microsoft.com/office/drawing/2014/main" id="{00000000-0008-0000-0600-00005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a:extLst>
            <a:ext uri="{FF2B5EF4-FFF2-40B4-BE49-F238E27FC236}">
              <a16:creationId xmlns:a16="http://schemas.microsoft.com/office/drawing/2014/main" id="{00000000-0008-0000-0600-00005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a:extLst>
            <a:ext uri="{FF2B5EF4-FFF2-40B4-BE49-F238E27FC236}">
              <a16:creationId xmlns:a16="http://schemas.microsoft.com/office/drawing/2014/main" id="{00000000-0008-0000-0600-00005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a:extLst>
            <a:ext uri="{FF2B5EF4-FFF2-40B4-BE49-F238E27FC236}">
              <a16:creationId xmlns:a16="http://schemas.microsoft.com/office/drawing/2014/main" id="{00000000-0008-0000-0600-00005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a:extLst>
            <a:ext uri="{FF2B5EF4-FFF2-40B4-BE49-F238E27FC236}">
              <a16:creationId xmlns:a16="http://schemas.microsoft.com/office/drawing/2014/main" id="{00000000-0008-0000-0600-00005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a:extLst>
            <a:ext uri="{FF2B5EF4-FFF2-40B4-BE49-F238E27FC236}">
              <a16:creationId xmlns:a16="http://schemas.microsoft.com/office/drawing/2014/main" id="{00000000-0008-0000-0600-00005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a:extLst>
            <a:ext uri="{FF2B5EF4-FFF2-40B4-BE49-F238E27FC236}">
              <a16:creationId xmlns:a16="http://schemas.microsoft.com/office/drawing/2014/main" id="{00000000-0008-0000-0600-00005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a:extLst>
            <a:ext uri="{FF2B5EF4-FFF2-40B4-BE49-F238E27FC236}">
              <a16:creationId xmlns:a16="http://schemas.microsoft.com/office/drawing/2014/main" id="{00000000-0008-0000-0600-00005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a:extLst>
            <a:ext uri="{FF2B5EF4-FFF2-40B4-BE49-F238E27FC236}">
              <a16:creationId xmlns:a16="http://schemas.microsoft.com/office/drawing/2014/main" id="{00000000-0008-0000-0600-00005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a:extLst>
            <a:ext uri="{FF2B5EF4-FFF2-40B4-BE49-F238E27FC236}">
              <a16:creationId xmlns:a16="http://schemas.microsoft.com/office/drawing/2014/main" id="{00000000-0008-0000-0600-00005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a:extLst>
            <a:ext uri="{FF2B5EF4-FFF2-40B4-BE49-F238E27FC236}">
              <a16:creationId xmlns:a16="http://schemas.microsoft.com/office/drawing/2014/main" id="{00000000-0008-0000-0600-00005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a:extLst>
            <a:ext uri="{FF2B5EF4-FFF2-40B4-BE49-F238E27FC236}">
              <a16:creationId xmlns:a16="http://schemas.microsoft.com/office/drawing/2014/main" id="{00000000-0008-0000-0600-00005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a:extLst>
            <a:ext uri="{FF2B5EF4-FFF2-40B4-BE49-F238E27FC236}">
              <a16:creationId xmlns:a16="http://schemas.microsoft.com/office/drawing/2014/main" id="{00000000-0008-0000-0600-00005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a:extLst>
            <a:ext uri="{FF2B5EF4-FFF2-40B4-BE49-F238E27FC236}">
              <a16:creationId xmlns:a16="http://schemas.microsoft.com/office/drawing/2014/main" id="{00000000-0008-0000-0600-00005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a:extLst>
            <a:ext uri="{FF2B5EF4-FFF2-40B4-BE49-F238E27FC236}">
              <a16:creationId xmlns:a16="http://schemas.microsoft.com/office/drawing/2014/main" id="{00000000-0008-0000-0600-00005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a:extLst>
            <a:ext uri="{FF2B5EF4-FFF2-40B4-BE49-F238E27FC236}">
              <a16:creationId xmlns:a16="http://schemas.microsoft.com/office/drawing/2014/main" id="{00000000-0008-0000-0600-00005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a:extLst>
            <a:ext uri="{FF2B5EF4-FFF2-40B4-BE49-F238E27FC236}">
              <a16:creationId xmlns:a16="http://schemas.microsoft.com/office/drawing/2014/main" id="{00000000-0008-0000-0600-00006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a:extLst>
            <a:ext uri="{FF2B5EF4-FFF2-40B4-BE49-F238E27FC236}">
              <a16:creationId xmlns:a16="http://schemas.microsoft.com/office/drawing/2014/main" id="{00000000-0008-0000-0600-00006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a:extLst>
            <a:ext uri="{FF2B5EF4-FFF2-40B4-BE49-F238E27FC236}">
              <a16:creationId xmlns:a16="http://schemas.microsoft.com/office/drawing/2014/main" id="{00000000-0008-0000-0600-00006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a:extLst>
            <a:ext uri="{FF2B5EF4-FFF2-40B4-BE49-F238E27FC236}">
              <a16:creationId xmlns:a16="http://schemas.microsoft.com/office/drawing/2014/main" id="{00000000-0008-0000-0600-00006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a:extLst>
            <a:ext uri="{FF2B5EF4-FFF2-40B4-BE49-F238E27FC236}">
              <a16:creationId xmlns:a16="http://schemas.microsoft.com/office/drawing/2014/main" id="{00000000-0008-0000-0600-00006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a:extLst>
            <a:ext uri="{FF2B5EF4-FFF2-40B4-BE49-F238E27FC236}">
              <a16:creationId xmlns:a16="http://schemas.microsoft.com/office/drawing/2014/main" id="{00000000-0008-0000-0600-00006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a:extLst>
            <a:ext uri="{FF2B5EF4-FFF2-40B4-BE49-F238E27FC236}">
              <a16:creationId xmlns:a16="http://schemas.microsoft.com/office/drawing/2014/main" id="{00000000-0008-0000-0600-00006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a:extLst>
            <a:ext uri="{FF2B5EF4-FFF2-40B4-BE49-F238E27FC236}">
              <a16:creationId xmlns:a16="http://schemas.microsoft.com/office/drawing/2014/main" id="{00000000-0008-0000-0600-00006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a:extLst>
            <a:ext uri="{FF2B5EF4-FFF2-40B4-BE49-F238E27FC236}">
              <a16:creationId xmlns:a16="http://schemas.microsoft.com/office/drawing/2014/main" id="{00000000-0008-0000-0600-00006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a:extLst>
            <a:ext uri="{FF2B5EF4-FFF2-40B4-BE49-F238E27FC236}">
              <a16:creationId xmlns:a16="http://schemas.microsoft.com/office/drawing/2014/main" id="{00000000-0008-0000-0600-00006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a:extLst>
            <a:ext uri="{FF2B5EF4-FFF2-40B4-BE49-F238E27FC236}">
              <a16:creationId xmlns:a16="http://schemas.microsoft.com/office/drawing/2014/main" id="{00000000-0008-0000-0600-00006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a:extLst>
            <a:ext uri="{FF2B5EF4-FFF2-40B4-BE49-F238E27FC236}">
              <a16:creationId xmlns:a16="http://schemas.microsoft.com/office/drawing/2014/main" id="{00000000-0008-0000-0600-00006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a:extLst>
            <a:ext uri="{FF2B5EF4-FFF2-40B4-BE49-F238E27FC236}">
              <a16:creationId xmlns:a16="http://schemas.microsoft.com/office/drawing/2014/main" id="{00000000-0008-0000-0600-00006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a:extLst>
            <a:ext uri="{FF2B5EF4-FFF2-40B4-BE49-F238E27FC236}">
              <a16:creationId xmlns:a16="http://schemas.microsoft.com/office/drawing/2014/main" id="{00000000-0008-0000-0600-00006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a:extLst>
            <a:ext uri="{FF2B5EF4-FFF2-40B4-BE49-F238E27FC236}">
              <a16:creationId xmlns:a16="http://schemas.microsoft.com/office/drawing/2014/main" id="{00000000-0008-0000-0600-00006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a:extLst>
            <a:ext uri="{FF2B5EF4-FFF2-40B4-BE49-F238E27FC236}">
              <a16:creationId xmlns:a16="http://schemas.microsoft.com/office/drawing/2014/main" id="{00000000-0008-0000-0600-00006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a:extLst>
            <a:ext uri="{FF2B5EF4-FFF2-40B4-BE49-F238E27FC236}">
              <a16:creationId xmlns:a16="http://schemas.microsoft.com/office/drawing/2014/main" id="{00000000-0008-0000-0600-00007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a:extLst>
            <a:ext uri="{FF2B5EF4-FFF2-40B4-BE49-F238E27FC236}">
              <a16:creationId xmlns:a16="http://schemas.microsoft.com/office/drawing/2014/main" id="{00000000-0008-0000-0600-00007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a:extLst>
            <a:ext uri="{FF2B5EF4-FFF2-40B4-BE49-F238E27FC236}">
              <a16:creationId xmlns:a16="http://schemas.microsoft.com/office/drawing/2014/main" id="{00000000-0008-0000-0600-00007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a:extLst>
            <a:ext uri="{FF2B5EF4-FFF2-40B4-BE49-F238E27FC236}">
              <a16:creationId xmlns:a16="http://schemas.microsoft.com/office/drawing/2014/main" id="{00000000-0008-0000-0600-00007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a:extLst>
            <a:ext uri="{FF2B5EF4-FFF2-40B4-BE49-F238E27FC236}">
              <a16:creationId xmlns:a16="http://schemas.microsoft.com/office/drawing/2014/main" id="{00000000-0008-0000-0600-00007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a:extLst>
            <a:ext uri="{FF2B5EF4-FFF2-40B4-BE49-F238E27FC236}">
              <a16:creationId xmlns:a16="http://schemas.microsoft.com/office/drawing/2014/main" id="{00000000-0008-0000-0600-00007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a:extLst>
            <a:ext uri="{FF2B5EF4-FFF2-40B4-BE49-F238E27FC236}">
              <a16:creationId xmlns:a16="http://schemas.microsoft.com/office/drawing/2014/main" id="{00000000-0008-0000-0600-00007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a:extLst>
            <a:ext uri="{FF2B5EF4-FFF2-40B4-BE49-F238E27FC236}">
              <a16:creationId xmlns:a16="http://schemas.microsoft.com/office/drawing/2014/main" id="{00000000-0008-0000-0600-00007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a:extLst>
            <a:ext uri="{FF2B5EF4-FFF2-40B4-BE49-F238E27FC236}">
              <a16:creationId xmlns:a16="http://schemas.microsoft.com/office/drawing/2014/main" id="{00000000-0008-0000-0600-00007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a:extLst>
            <a:ext uri="{FF2B5EF4-FFF2-40B4-BE49-F238E27FC236}">
              <a16:creationId xmlns:a16="http://schemas.microsoft.com/office/drawing/2014/main" id="{00000000-0008-0000-0600-00007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a:extLst>
            <a:ext uri="{FF2B5EF4-FFF2-40B4-BE49-F238E27FC236}">
              <a16:creationId xmlns:a16="http://schemas.microsoft.com/office/drawing/2014/main" id="{00000000-0008-0000-0600-00007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a:extLst>
            <a:ext uri="{FF2B5EF4-FFF2-40B4-BE49-F238E27FC236}">
              <a16:creationId xmlns:a16="http://schemas.microsoft.com/office/drawing/2014/main" id="{00000000-0008-0000-0600-00007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a:extLst>
            <a:ext uri="{FF2B5EF4-FFF2-40B4-BE49-F238E27FC236}">
              <a16:creationId xmlns:a16="http://schemas.microsoft.com/office/drawing/2014/main" id="{00000000-0008-0000-0600-00007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a:extLst>
            <a:ext uri="{FF2B5EF4-FFF2-40B4-BE49-F238E27FC236}">
              <a16:creationId xmlns:a16="http://schemas.microsoft.com/office/drawing/2014/main" id="{00000000-0008-0000-0600-00007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a:extLst>
            <a:ext uri="{FF2B5EF4-FFF2-40B4-BE49-F238E27FC236}">
              <a16:creationId xmlns:a16="http://schemas.microsoft.com/office/drawing/2014/main" id="{00000000-0008-0000-0600-00007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a:extLst>
            <a:ext uri="{FF2B5EF4-FFF2-40B4-BE49-F238E27FC236}">
              <a16:creationId xmlns:a16="http://schemas.microsoft.com/office/drawing/2014/main" id="{00000000-0008-0000-0600-00007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a:extLst>
            <a:ext uri="{FF2B5EF4-FFF2-40B4-BE49-F238E27FC236}">
              <a16:creationId xmlns:a16="http://schemas.microsoft.com/office/drawing/2014/main" id="{00000000-0008-0000-0600-00008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a:extLst>
            <a:ext uri="{FF2B5EF4-FFF2-40B4-BE49-F238E27FC236}">
              <a16:creationId xmlns:a16="http://schemas.microsoft.com/office/drawing/2014/main" id="{00000000-0008-0000-0600-00008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a:extLst>
            <a:ext uri="{FF2B5EF4-FFF2-40B4-BE49-F238E27FC236}">
              <a16:creationId xmlns:a16="http://schemas.microsoft.com/office/drawing/2014/main" id="{00000000-0008-0000-0600-00008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a:extLst>
            <a:ext uri="{FF2B5EF4-FFF2-40B4-BE49-F238E27FC236}">
              <a16:creationId xmlns:a16="http://schemas.microsoft.com/office/drawing/2014/main" id="{00000000-0008-0000-0600-00008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a:extLst>
            <a:ext uri="{FF2B5EF4-FFF2-40B4-BE49-F238E27FC236}">
              <a16:creationId xmlns:a16="http://schemas.microsoft.com/office/drawing/2014/main" id="{00000000-0008-0000-0600-00008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a:extLst>
            <a:ext uri="{FF2B5EF4-FFF2-40B4-BE49-F238E27FC236}">
              <a16:creationId xmlns:a16="http://schemas.microsoft.com/office/drawing/2014/main" id="{00000000-0008-0000-0600-00008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a:extLst>
            <a:ext uri="{FF2B5EF4-FFF2-40B4-BE49-F238E27FC236}">
              <a16:creationId xmlns:a16="http://schemas.microsoft.com/office/drawing/2014/main" id="{00000000-0008-0000-0600-00008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a:extLst>
            <a:ext uri="{FF2B5EF4-FFF2-40B4-BE49-F238E27FC236}">
              <a16:creationId xmlns:a16="http://schemas.microsoft.com/office/drawing/2014/main" id="{00000000-0008-0000-0600-00008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a:extLst>
            <a:ext uri="{FF2B5EF4-FFF2-40B4-BE49-F238E27FC236}">
              <a16:creationId xmlns:a16="http://schemas.microsoft.com/office/drawing/2014/main" id="{00000000-0008-0000-0600-00008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a:extLst>
            <a:ext uri="{FF2B5EF4-FFF2-40B4-BE49-F238E27FC236}">
              <a16:creationId xmlns:a16="http://schemas.microsoft.com/office/drawing/2014/main" id="{00000000-0008-0000-0600-00008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a:extLst>
            <a:ext uri="{FF2B5EF4-FFF2-40B4-BE49-F238E27FC236}">
              <a16:creationId xmlns:a16="http://schemas.microsoft.com/office/drawing/2014/main" id="{00000000-0008-0000-0600-00008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a:extLst>
            <a:ext uri="{FF2B5EF4-FFF2-40B4-BE49-F238E27FC236}">
              <a16:creationId xmlns:a16="http://schemas.microsoft.com/office/drawing/2014/main" id="{00000000-0008-0000-0600-00008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a:extLst>
            <a:ext uri="{FF2B5EF4-FFF2-40B4-BE49-F238E27FC236}">
              <a16:creationId xmlns:a16="http://schemas.microsoft.com/office/drawing/2014/main" id="{00000000-0008-0000-0600-00008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a:extLst>
            <a:ext uri="{FF2B5EF4-FFF2-40B4-BE49-F238E27FC236}">
              <a16:creationId xmlns:a16="http://schemas.microsoft.com/office/drawing/2014/main" id="{00000000-0008-0000-0600-00008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a:extLst>
            <a:ext uri="{FF2B5EF4-FFF2-40B4-BE49-F238E27FC236}">
              <a16:creationId xmlns:a16="http://schemas.microsoft.com/office/drawing/2014/main" id="{00000000-0008-0000-0600-00008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a:extLst>
            <a:ext uri="{FF2B5EF4-FFF2-40B4-BE49-F238E27FC236}">
              <a16:creationId xmlns:a16="http://schemas.microsoft.com/office/drawing/2014/main" id="{00000000-0008-0000-0600-00008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a:extLst>
            <a:ext uri="{FF2B5EF4-FFF2-40B4-BE49-F238E27FC236}">
              <a16:creationId xmlns:a16="http://schemas.microsoft.com/office/drawing/2014/main" id="{00000000-0008-0000-0600-00009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a:extLst>
            <a:ext uri="{FF2B5EF4-FFF2-40B4-BE49-F238E27FC236}">
              <a16:creationId xmlns:a16="http://schemas.microsoft.com/office/drawing/2014/main" id="{00000000-0008-0000-0600-00009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a:extLst>
            <a:ext uri="{FF2B5EF4-FFF2-40B4-BE49-F238E27FC236}">
              <a16:creationId xmlns:a16="http://schemas.microsoft.com/office/drawing/2014/main" id="{00000000-0008-0000-0600-00009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a:extLst>
            <a:ext uri="{FF2B5EF4-FFF2-40B4-BE49-F238E27FC236}">
              <a16:creationId xmlns:a16="http://schemas.microsoft.com/office/drawing/2014/main" id="{00000000-0008-0000-0600-00009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a:extLst>
            <a:ext uri="{FF2B5EF4-FFF2-40B4-BE49-F238E27FC236}">
              <a16:creationId xmlns:a16="http://schemas.microsoft.com/office/drawing/2014/main" id="{00000000-0008-0000-0600-00009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a:extLst>
            <a:ext uri="{FF2B5EF4-FFF2-40B4-BE49-F238E27FC236}">
              <a16:creationId xmlns:a16="http://schemas.microsoft.com/office/drawing/2014/main" id="{00000000-0008-0000-0600-00009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a:extLst>
            <a:ext uri="{FF2B5EF4-FFF2-40B4-BE49-F238E27FC236}">
              <a16:creationId xmlns:a16="http://schemas.microsoft.com/office/drawing/2014/main" id="{00000000-0008-0000-0600-00009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a:extLst>
            <a:ext uri="{FF2B5EF4-FFF2-40B4-BE49-F238E27FC236}">
              <a16:creationId xmlns:a16="http://schemas.microsoft.com/office/drawing/2014/main" id="{00000000-0008-0000-0600-00009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a:extLst>
            <a:ext uri="{FF2B5EF4-FFF2-40B4-BE49-F238E27FC236}">
              <a16:creationId xmlns:a16="http://schemas.microsoft.com/office/drawing/2014/main" id="{00000000-0008-0000-0600-00009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a:extLst>
            <a:ext uri="{FF2B5EF4-FFF2-40B4-BE49-F238E27FC236}">
              <a16:creationId xmlns:a16="http://schemas.microsoft.com/office/drawing/2014/main" id="{00000000-0008-0000-0600-00009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a:extLst>
            <a:ext uri="{FF2B5EF4-FFF2-40B4-BE49-F238E27FC236}">
              <a16:creationId xmlns:a16="http://schemas.microsoft.com/office/drawing/2014/main" id="{00000000-0008-0000-0600-00009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a:extLst>
            <a:ext uri="{FF2B5EF4-FFF2-40B4-BE49-F238E27FC236}">
              <a16:creationId xmlns:a16="http://schemas.microsoft.com/office/drawing/2014/main" id="{00000000-0008-0000-0600-00009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a:extLst>
            <a:ext uri="{FF2B5EF4-FFF2-40B4-BE49-F238E27FC236}">
              <a16:creationId xmlns:a16="http://schemas.microsoft.com/office/drawing/2014/main" id="{00000000-0008-0000-0600-00009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a:extLst>
            <a:ext uri="{FF2B5EF4-FFF2-40B4-BE49-F238E27FC236}">
              <a16:creationId xmlns:a16="http://schemas.microsoft.com/office/drawing/2014/main" id="{00000000-0008-0000-0600-00009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a:extLst>
            <a:ext uri="{FF2B5EF4-FFF2-40B4-BE49-F238E27FC236}">
              <a16:creationId xmlns:a16="http://schemas.microsoft.com/office/drawing/2014/main" id="{00000000-0008-0000-0600-00009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a:extLst>
            <a:ext uri="{FF2B5EF4-FFF2-40B4-BE49-F238E27FC236}">
              <a16:creationId xmlns:a16="http://schemas.microsoft.com/office/drawing/2014/main" id="{00000000-0008-0000-0600-00009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a:extLst>
            <a:ext uri="{FF2B5EF4-FFF2-40B4-BE49-F238E27FC236}">
              <a16:creationId xmlns:a16="http://schemas.microsoft.com/office/drawing/2014/main" id="{00000000-0008-0000-0600-0000A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a:extLst>
            <a:ext uri="{FF2B5EF4-FFF2-40B4-BE49-F238E27FC236}">
              <a16:creationId xmlns:a16="http://schemas.microsoft.com/office/drawing/2014/main" id="{00000000-0008-0000-0600-0000A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a:extLst>
            <a:ext uri="{FF2B5EF4-FFF2-40B4-BE49-F238E27FC236}">
              <a16:creationId xmlns:a16="http://schemas.microsoft.com/office/drawing/2014/main" id="{00000000-0008-0000-0600-0000A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a:extLst>
            <a:ext uri="{FF2B5EF4-FFF2-40B4-BE49-F238E27FC236}">
              <a16:creationId xmlns:a16="http://schemas.microsoft.com/office/drawing/2014/main" id="{00000000-0008-0000-0600-0000A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a:extLst>
            <a:ext uri="{FF2B5EF4-FFF2-40B4-BE49-F238E27FC236}">
              <a16:creationId xmlns:a16="http://schemas.microsoft.com/office/drawing/2014/main" id="{00000000-0008-0000-0600-0000A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a:extLst>
            <a:ext uri="{FF2B5EF4-FFF2-40B4-BE49-F238E27FC236}">
              <a16:creationId xmlns:a16="http://schemas.microsoft.com/office/drawing/2014/main" id="{00000000-0008-0000-0600-0000A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a:extLst>
            <a:ext uri="{FF2B5EF4-FFF2-40B4-BE49-F238E27FC236}">
              <a16:creationId xmlns:a16="http://schemas.microsoft.com/office/drawing/2014/main" id="{00000000-0008-0000-0600-0000A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a:extLst>
            <a:ext uri="{FF2B5EF4-FFF2-40B4-BE49-F238E27FC236}">
              <a16:creationId xmlns:a16="http://schemas.microsoft.com/office/drawing/2014/main" id="{00000000-0008-0000-0600-0000A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a:extLst>
            <a:ext uri="{FF2B5EF4-FFF2-40B4-BE49-F238E27FC236}">
              <a16:creationId xmlns:a16="http://schemas.microsoft.com/office/drawing/2014/main" id="{00000000-0008-0000-0600-0000A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a:extLst>
            <a:ext uri="{FF2B5EF4-FFF2-40B4-BE49-F238E27FC236}">
              <a16:creationId xmlns:a16="http://schemas.microsoft.com/office/drawing/2014/main" id="{00000000-0008-0000-0600-0000A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a:extLst>
            <a:ext uri="{FF2B5EF4-FFF2-40B4-BE49-F238E27FC236}">
              <a16:creationId xmlns:a16="http://schemas.microsoft.com/office/drawing/2014/main" id="{00000000-0008-0000-0600-0000A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a:extLst>
            <a:ext uri="{FF2B5EF4-FFF2-40B4-BE49-F238E27FC236}">
              <a16:creationId xmlns:a16="http://schemas.microsoft.com/office/drawing/2014/main" id="{00000000-0008-0000-0600-0000A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a:extLst>
            <a:ext uri="{FF2B5EF4-FFF2-40B4-BE49-F238E27FC236}">
              <a16:creationId xmlns:a16="http://schemas.microsoft.com/office/drawing/2014/main" id="{00000000-0008-0000-0600-0000A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a:extLst>
            <a:ext uri="{FF2B5EF4-FFF2-40B4-BE49-F238E27FC236}">
              <a16:creationId xmlns:a16="http://schemas.microsoft.com/office/drawing/2014/main" id="{00000000-0008-0000-0600-0000A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a:extLst>
            <a:ext uri="{FF2B5EF4-FFF2-40B4-BE49-F238E27FC236}">
              <a16:creationId xmlns:a16="http://schemas.microsoft.com/office/drawing/2014/main" id="{00000000-0008-0000-0600-0000A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a:extLst>
            <a:ext uri="{FF2B5EF4-FFF2-40B4-BE49-F238E27FC236}">
              <a16:creationId xmlns:a16="http://schemas.microsoft.com/office/drawing/2014/main" id="{00000000-0008-0000-0600-0000A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a:extLst>
            <a:ext uri="{FF2B5EF4-FFF2-40B4-BE49-F238E27FC236}">
              <a16:creationId xmlns:a16="http://schemas.microsoft.com/office/drawing/2014/main" id="{00000000-0008-0000-0600-0000B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a:extLst>
            <a:ext uri="{FF2B5EF4-FFF2-40B4-BE49-F238E27FC236}">
              <a16:creationId xmlns:a16="http://schemas.microsoft.com/office/drawing/2014/main" id="{00000000-0008-0000-0600-0000B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a:extLst>
            <a:ext uri="{FF2B5EF4-FFF2-40B4-BE49-F238E27FC236}">
              <a16:creationId xmlns:a16="http://schemas.microsoft.com/office/drawing/2014/main" id="{00000000-0008-0000-0600-0000B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a:extLst>
            <a:ext uri="{FF2B5EF4-FFF2-40B4-BE49-F238E27FC236}">
              <a16:creationId xmlns:a16="http://schemas.microsoft.com/office/drawing/2014/main" id="{00000000-0008-0000-0600-0000B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a:extLst>
            <a:ext uri="{FF2B5EF4-FFF2-40B4-BE49-F238E27FC236}">
              <a16:creationId xmlns:a16="http://schemas.microsoft.com/office/drawing/2014/main" id="{00000000-0008-0000-0600-0000B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a:extLst>
            <a:ext uri="{FF2B5EF4-FFF2-40B4-BE49-F238E27FC236}">
              <a16:creationId xmlns:a16="http://schemas.microsoft.com/office/drawing/2014/main" id="{00000000-0008-0000-0600-0000B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a:extLst>
            <a:ext uri="{FF2B5EF4-FFF2-40B4-BE49-F238E27FC236}">
              <a16:creationId xmlns:a16="http://schemas.microsoft.com/office/drawing/2014/main" id="{00000000-0008-0000-0600-0000B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a:extLst>
            <a:ext uri="{FF2B5EF4-FFF2-40B4-BE49-F238E27FC236}">
              <a16:creationId xmlns:a16="http://schemas.microsoft.com/office/drawing/2014/main" id="{00000000-0008-0000-0600-0000B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a:extLst>
            <a:ext uri="{FF2B5EF4-FFF2-40B4-BE49-F238E27FC236}">
              <a16:creationId xmlns:a16="http://schemas.microsoft.com/office/drawing/2014/main" id="{00000000-0008-0000-0600-0000B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a:extLst>
            <a:ext uri="{FF2B5EF4-FFF2-40B4-BE49-F238E27FC236}">
              <a16:creationId xmlns:a16="http://schemas.microsoft.com/office/drawing/2014/main" id="{00000000-0008-0000-0600-0000B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a:extLst>
            <a:ext uri="{FF2B5EF4-FFF2-40B4-BE49-F238E27FC236}">
              <a16:creationId xmlns:a16="http://schemas.microsoft.com/office/drawing/2014/main" id="{00000000-0008-0000-0600-0000B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a:extLst>
            <a:ext uri="{FF2B5EF4-FFF2-40B4-BE49-F238E27FC236}">
              <a16:creationId xmlns:a16="http://schemas.microsoft.com/office/drawing/2014/main" id="{00000000-0008-0000-0600-0000B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a:extLst>
            <a:ext uri="{FF2B5EF4-FFF2-40B4-BE49-F238E27FC236}">
              <a16:creationId xmlns:a16="http://schemas.microsoft.com/office/drawing/2014/main" id="{00000000-0008-0000-0600-0000B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a:extLst>
            <a:ext uri="{FF2B5EF4-FFF2-40B4-BE49-F238E27FC236}">
              <a16:creationId xmlns:a16="http://schemas.microsoft.com/office/drawing/2014/main" id="{00000000-0008-0000-0600-0000B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a:extLst>
            <a:ext uri="{FF2B5EF4-FFF2-40B4-BE49-F238E27FC236}">
              <a16:creationId xmlns:a16="http://schemas.microsoft.com/office/drawing/2014/main" id="{00000000-0008-0000-0600-0000B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a:extLst>
            <a:ext uri="{FF2B5EF4-FFF2-40B4-BE49-F238E27FC236}">
              <a16:creationId xmlns:a16="http://schemas.microsoft.com/office/drawing/2014/main" id="{00000000-0008-0000-0600-0000B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a:extLst>
            <a:ext uri="{FF2B5EF4-FFF2-40B4-BE49-F238E27FC236}">
              <a16:creationId xmlns:a16="http://schemas.microsoft.com/office/drawing/2014/main" id="{00000000-0008-0000-0600-0000C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a:extLst>
            <a:ext uri="{FF2B5EF4-FFF2-40B4-BE49-F238E27FC236}">
              <a16:creationId xmlns:a16="http://schemas.microsoft.com/office/drawing/2014/main" id="{00000000-0008-0000-0600-0000C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a:extLst>
            <a:ext uri="{FF2B5EF4-FFF2-40B4-BE49-F238E27FC236}">
              <a16:creationId xmlns:a16="http://schemas.microsoft.com/office/drawing/2014/main" id="{00000000-0008-0000-0600-0000C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a:extLst>
            <a:ext uri="{FF2B5EF4-FFF2-40B4-BE49-F238E27FC236}">
              <a16:creationId xmlns:a16="http://schemas.microsoft.com/office/drawing/2014/main" id="{00000000-0008-0000-0600-0000C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a:extLst>
            <a:ext uri="{FF2B5EF4-FFF2-40B4-BE49-F238E27FC236}">
              <a16:creationId xmlns:a16="http://schemas.microsoft.com/office/drawing/2014/main" id="{00000000-0008-0000-0600-0000C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a:extLst>
            <a:ext uri="{FF2B5EF4-FFF2-40B4-BE49-F238E27FC236}">
              <a16:creationId xmlns:a16="http://schemas.microsoft.com/office/drawing/2014/main" id="{00000000-0008-0000-0600-0000C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a:extLst>
            <a:ext uri="{FF2B5EF4-FFF2-40B4-BE49-F238E27FC236}">
              <a16:creationId xmlns:a16="http://schemas.microsoft.com/office/drawing/2014/main" id="{00000000-0008-0000-0600-0000C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a:extLst>
            <a:ext uri="{FF2B5EF4-FFF2-40B4-BE49-F238E27FC236}">
              <a16:creationId xmlns:a16="http://schemas.microsoft.com/office/drawing/2014/main" id="{00000000-0008-0000-0600-0000C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a:extLst>
            <a:ext uri="{FF2B5EF4-FFF2-40B4-BE49-F238E27FC236}">
              <a16:creationId xmlns:a16="http://schemas.microsoft.com/office/drawing/2014/main" id="{00000000-0008-0000-0600-0000C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a:extLst>
            <a:ext uri="{FF2B5EF4-FFF2-40B4-BE49-F238E27FC236}">
              <a16:creationId xmlns:a16="http://schemas.microsoft.com/office/drawing/2014/main" id="{00000000-0008-0000-0600-0000C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a:extLst>
            <a:ext uri="{FF2B5EF4-FFF2-40B4-BE49-F238E27FC236}">
              <a16:creationId xmlns:a16="http://schemas.microsoft.com/office/drawing/2014/main" id="{00000000-0008-0000-0600-0000C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a:extLst>
            <a:ext uri="{FF2B5EF4-FFF2-40B4-BE49-F238E27FC236}">
              <a16:creationId xmlns:a16="http://schemas.microsoft.com/office/drawing/2014/main" id="{00000000-0008-0000-0600-0000C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a:extLst>
            <a:ext uri="{FF2B5EF4-FFF2-40B4-BE49-F238E27FC236}">
              <a16:creationId xmlns:a16="http://schemas.microsoft.com/office/drawing/2014/main" id="{00000000-0008-0000-0600-0000C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a:extLst>
            <a:ext uri="{FF2B5EF4-FFF2-40B4-BE49-F238E27FC236}">
              <a16:creationId xmlns:a16="http://schemas.microsoft.com/office/drawing/2014/main" id="{00000000-0008-0000-0600-0000C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a:extLst>
            <a:ext uri="{FF2B5EF4-FFF2-40B4-BE49-F238E27FC236}">
              <a16:creationId xmlns:a16="http://schemas.microsoft.com/office/drawing/2014/main" id="{00000000-0008-0000-0600-0000C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a:extLst>
            <a:ext uri="{FF2B5EF4-FFF2-40B4-BE49-F238E27FC236}">
              <a16:creationId xmlns:a16="http://schemas.microsoft.com/office/drawing/2014/main" id="{00000000-0008-0000-0600-0000C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a:extLst>
            <a:ext uri="{FF2B5EF4-FFF2-40B4-BE49-F238E27FC236}">
              <a16:creationId xmlns:a16="http://schemas.microsoft.com/office/drawing/2014/main" id="{00000000-0008-0000-0600-0000D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a:extLst>
            <a:ext uri="{FF2B5EF4-FFF2-40B4-BE49-F238E27FC236}">
              <a16:creationId xmlns:a16="http://schemas.microsoft.com/office/drawing/2014/main" id="{00000000-0008-0000-0600-0000D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a:extLst>
            <a:ext uri="{FF2B5EF4-FFF2-40B4-BE49-F238E27FC236}">
              <a16:creationId xmlns:a16="http://schemas.microsoft.com/office/drawing/2014/main" id="{00000000-0008-0000-0600-0000D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a:extLst>
            <a:ext uri="{FF2B5EF4-FFF2-40B4-BE49-F238E27FC236}">
              <a16:creationId xmlns:a16="http://schemas.microsoft.com/office/drawing/2014/main" id="{00000000-0008-0000-0600-0000D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a:extLst>
            <a:ext uri="{FF2B5EF4-FFF2-40B4-BE49-F238E27FC236}">
              <a16:creationId xmlns:a16="http://schemas.microsoft.com/office/drawing/2014/main" id="{00000000-0008-0000-0600-0000D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a:extLst>
            <a:ext uri="{FF2B5EF4-FFF2-40B4-BE49-F238E27FC236}">
              <a16:creationId xmlns:a16="http://schemas.microsoft.com/office/drawing/2014/main" id="{00000000-0008-0000-0600-0000D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a:extLst>
            <a:ext uri="{FF2B5EF4-FFF2-40B4-BE49-F238E27FC236}">
              <a16:creationId xmlns:a16="http://schemas.microsoft.com/office/drawing/2014/main" id="{00000000-0008-0000-0600-0000D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a:extLst>
            <a:ext uri="{FF2B5EF4-FFF2-40B4-BE49-F238E27FC236}">
              <a16:creationId xmlns:a16="http://schemas.microsoft.com/office/drawing/2014/main" id="{00000000-0008-0000-0600-0000D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a:extLst>
            <a:ext uri="{FF2B5EF4-FFF2-40B4-BE49-F238E27FC236}">
              <a16:creationId xmlns:a16="http://schemas.microsoft.com/office/drawing/2014/main" id="{00000000-0008-0000-0600-0000D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a:extLst>
            <a:ext uri="{FF2B5EF4-FFF2-40B4-BE49-F238E27FC236}">
              <a16:creationId xmlns:a16="http://schemas.microsoft.com/office/drawing/2014/main" id="{00000000-0008-0000-0600-0000D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a:extLst>
            <a:ext uri="{FF2B5EF4-FFF2-40B4-BE49-F238E27FC236}">
              <a16:creationId xmlns:a16="http://schemas.microsoft.com/office/drawing/2014/main" id="{00000000-0008-0000-0600-0000D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a:extLst>
            <a:ext uri="{FF2B5EF4-FFF2-40B4-BE49-F238E27FC236}">
              <a16:creationId xmlns:a16="http://schemas.microsoft.com/office/drawing/2014/main" id="{00000000-0008-0000-0600-0000D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a:extLst>
            <a:ext uri="{FF2B5EF4-FFF2-40B4-BE49-F238E27FC236}">
              <a16:creationId xmlns:a16="http://schemas.microsoft.com/office/drawing/2014/main" id="{00000000-0008-0000-0600-0000D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a:extLst>
            <a:ext uri="{FF2B5EF4-FFF2-40B4-BE49-F238E27FC236}">
              <a16:creationId xmlns:a16="http://schemas.microsoft.com/office/drawing/2014/main" id="{00000000-0008-0000-0600-0000D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a:extLst>
            <a:ext uri="{FF2B5EF4-FFF2-40B4-BE49-F238E27FC236}">
              <a16:creationId xmlns:a16="http://schemas.microsoft.com/office/drawing/2014/main" id="{00000000-0008-0000-0600-0000D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a:extLst>
            <a:ext uri="{FF2B5EF4-FFF2-40B4-BE49-F238E27FC236}">
              <a16:creationId xmlns:a16="http://schemas.microsoft.com/office/drawing/2014/main" id="{00000000-0008-0000-0600-0000D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a:extLst>
            <a:ext uri="{FF2B5EF4-FFF2-40B4-BE49-F238E27FC236}">
              <a16:creationId xmlns:a16="http://schemas.microsoft.com/office/drawing/2014/main" id="{00000000-0008-0000-0600-0000E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a:extLst>
            <a:ext uri="{FF2B5EF4-FFF2-40B4-BE49-F238E27FC236}">
              <a16:creationId xmlns:a16="http://schemas.microsoft.com/office/drawing/2014/main" id="{00000000-0008-0000-0600-0000E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a:extLst>
            <a:ext uri="{FF2B5EF4-FFF2-40B4-BE49-F238E27FC236}">
              <a16:creationId xmlns:a16="http://schemas.microsoft.com/office/drawing/2014/main" id="{00000000-0008-0000-0600-0000E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a:extLst>
            <a:ext uri="{FF2B5EF4-FFF2-40B4-BE49-F238E27FC236}">
              <a16:creationId xmlns:a16="http://schemas.microsoft.com/office/drawing/2014/main" id="{00000000-0008-0000-0600-0000E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a:extLst>
            <a:ext uri="{FF2B5EF4-FFF2-40B4-BE49-F238E27FC236}">
              <a16:creationId xmlns:a16="http://schemas.microsoft.com/office/drawing/2014/main" id="{00000000-0008-0000-0600-0000E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a:extLst>
            <a:ext uri="{FF2B5EF4-FFF2-40B4-BE49-F238E27FC236}">
              <a16:creationId xmlns:a16="http://schemas.microsoft.com/office/drawing/2014/main" id="{00000000-0008-0000-0600-0000E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a:extLst>
            <a:ext uri="{FF2B5EF4-FFF2-40B4-BE49-F238E27FC236}">
              <a16:creationId xmlns:a16="http://schemas.microsoft.com/office/drawing/2014/main" id="{00000000-0008-0000-0600-0000E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a:extLst>
            <a:ext uri="{FF2B5EF4-FFF2-40B4-BE49-F238E27FC236}">
              <a16:creationId xmlns:a16="http://schemas.microsoft.com/office/drawing/2014/main" id="{00000000-0008-0000-0600-0000E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a:extLst>
            <a:ext uri="{FF2B5EF4-FFF2-40B4-BE49-F238E27FC236}">
              <a16:creationId xmlns:a16="http://schemas.microsoft.com/office/drawing/2014/main" id="{00000000-0008-0000-0600-0000E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a:extLst>
            <a:ext uri="{FF2B5EF4-FFF2-40B4-BE49-F238E27FC236}">
              <a16:creationId xmlns:a16="http://schemas.microsoft.com/office/drawing/2014/main" id="{00000000-0008-0000-0600-0000E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a:extLst>
            <a:ext uri="{FF2B5EF4-FFF2-40B4-BE49-F238E27FC236}">
              <a16:creationId xmlns:a16="http://schemas.microsoft.com/office/drawing/2014/main" id="{00000000-0008-0000-0600-0000E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a:extLst>
            <a:ext uri="{FF2B5EF4-FFF2-40B4-BE49-F238E27FC236}">
              <a16:creationId xmlns:a16="http://schemas.microsoft.com/office/drawing/2014/main" id="{00000000-0008-0000-0600-0000E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a:extLst>
            <a:ext uri="{FF2B5EF4-FFF2-40B4-BE49-F238E27FC236}">
              <a16:creationId xmlns:a16="http://schemas.microsoft.com/office/drawing/2014/main" id="{00000000-0008-0000-0600-0000E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a:extLst>
            <a:ext uri="{FF2B5EF4-FFF2-40B4-BE49-F238E27FC236}">
              <a16:creationId xmlns:a16="http://schemas.microsoft.com/office/drawing/2014/main" id="{00000000-0008-0000-0600-0000E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a:extLst>
            <a:ext uri="{FF2B5EF4-FFF2-40B4-BE49-F238E27FC236}">
              <a16:creationId xmlns:a16="http://schemas.microsoft.com/office/drawing/2014/main" id="{00000000-0008-0000-0600-0000E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a:extLst>
            <a:ext uri="{FF2B5EF4-FFF2-40B4-BE49-F238E27FC236}">
              <a16:creationId xmlns:a16="http://schemas.microsoft.com/office/drawing/2014/main" id="{00000000-0008-0000-0600-0000E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a:extLst>
            <a:ext uri="{FF2B5EF4-FFF2-40B4-BE49-F238E27FC236}">
              <a16:creationId xmlns:a16="http://schemas.microsoft.com/office/drawing/2014/main" id="{00000000-0008-0000-0600-0000F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a:extLst>
            <a:ext uri="{FF2B5EF4-FFF2-40B4-BE49-F238E27FC236}">
              <a16:creationId xmlns:a16="http://schemas.microsoft.com/office/drawing/2014/main" id="{00000000-0008-0000-0600-0000F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a:extLst>
            <a:ext uri="{FF2B5EF4-FFF2-40B4-BE49-F238E27FC236}">
              <a16:creationId xmlns:a16="http://schemas.microsoft.com/office/drawing/2014/main" id="{00000000-0008-0000-0600-0000F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a:extLst>
            <a:ext uri="{FF2B5EF4-FFF2-40B4-BE49-F238E27FC236}">
              <a16:creationId xmlns:a16="http://schemas.microsoft.com/office/drawing/2014/main" id="{00000000-0008-0000-0600-0000F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a:extLst>
            <a:ext uri="{FF2B5EF4-FFF2-40B4-BE49-F238E27FC236}">
              <a16:creationId xmlns:a16="http://schemas.microsoft.com/office/drawing/2014/main" id="{00000000-0008-0000-0600-0000F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a:extLst>
            <a:ext uri="{FF2B5EF4-FFF2-40B4-BE49-F238E27FC236}">
              <a16:creationId xmlns:a16="http://schemas.microsoft.com/office/drawing/2014/main" id="{00000000-0008-0000-0600-0000F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a:extLst>
            <a:ext uri="{FF2B5EF4-FFF2-40B4-BE49-F238E27FC236}">
              <a16:creationId xmlns:a16="http://schemas.microsoft.com/office/drawing/2014/main" id="{00000000-0008-0000-0600-0000F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a:extLst>
            <a:ext uri="{FF2B5EF4-FFF2-40B4-BE49-F238E27FC236}">
              <a16:creationId xmlns:a16="http://schemas.microsoft.com/office/drawing/2014/main" id="{00000000-0008-0000-0600-0000F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a:extLst>
            <a:ext uri="{FF2B5EF4-FFF2-40B4-BE49-F238E27FC236}">
              <a16:creationId xmlns:a16="http://schemas.microsoft.com/office/drawing/2014/main" id="{00000000-0008-0000-0600-0000F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a:extLst>
            <a:ext uri="{FF2B5EF4-FFF2-40B4-BE49-F238E27FC236}">
              <a16:creationId xmlns:a16="http://schemas.microsoft.com/office/drawing/2014/main" id="{00000000-0008-0000-0600-0000F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a:extLst>
            <a:ext uri="{FF2B5EF4-FFF2-40B4-BE49-F238E27FC236}">
              <a16:creationId xmlns:a16="http://schemas.microsoft.com/office/drawing/2014/main" id="{00000000-0008-0000-0600-0000F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a:extLst>
            <a:ext uri="{FF2B5EF4-FFF2-40B4-BE49-F238E27FC236}">
              <a16:creationId xmlns:a16="http://schemas.microsoft.com/office/drawing/2014/main" id="{00000000-0008-0000-0600-0000F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a:extLst>
            <a:ext uri="{FF2B5EF4-FFF2-40B4-BE49-F238E27FC236}">
              <a16:creationId xmlns:a16="http://schemas.microsoft.com/office/drawing/2014/main" id="{00000000-0008-0000-0600-0000F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a:extLst>
            <a:ext uri="{FF2B5EF4-FFF2-40B4-BE49-F238E27FC236}">
              <a16:creationId xmlns:a16="http://schemas.microsoft.com/office/drawing/2014/main" id="{00000000-0008-0000-0600-0000F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a:extLst>
            <a:ext uri="{FF2B5EF4-FFF2-40B4-BE49-F238E27FC236}">
              <a16:creationId xmlns:a16="http://schemas.microsoft.com/office/drawing/2014/main" id="{00000000-0008-0000-0600-0000F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a:extLst>
            <a:ext uri="{FF2B5EF4-FFF2-40B4-BE49-F238E27FC236}">
              <a16:creationId xmlns:a16="http://schemas.microsoft.com/office/drawing/2014/main" id="{00000000-0008-0000-0600-0000F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a:extLst>
            <a:ext uri="{FF2B5EF4-FFF2-40B4-BE49-F238E27FC236}">
              <a16:creationId xmlns:a16="http://schemas.microsoft.com/office/drawing/2014/main" id="{00000000-0008-0000-0600-00000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a:extLst>
            <a:ext uri="{FF2B5EF4-FFF2-40B4-BE49-F238E27FC236}">
              <a16:creationId xmlns:a16="http://schemas.microsoft.com/office/drawing/2014/main" id="{00000000-0008-0000-0600-00000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a:extLst>
            <a:ext uri="{FF2B5EF4-FFF2-40B4-BE49-F238E27FC236}">
              <a16:creationId xmlns:a16="http://schemas.microsoft.com/office/drawing/2014/main" id="{00000000-0008-0000-0600-00000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a:extLst>
            <a:ext uri="{FF2B5EF4-FFF2-40B4-BE49-F238E27FC236}">
              <a16:creationId xmlns:a16="http://schemas.microsoft.com/office/drawing/2014/main" id="{00000000-0008-0000-0600-00000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a:extLst>
            <a:ext uri="{FF2B5EF4-FFF2-40B4-BE49-F238E27FC236}">
              <a16:creationId xmlns:a16="http://schemas.microsoft.com/office/drawing/2014/main" id="{00000000-0008-0000-0600-00000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a:extLst>
            <a:ext uri="{FF2B5EF4-FFF2-40B4-BE49-F238E27FC236}">
              <a16:creationId xmlns:a16="http://schemas.microsoft.com/office/drawing/2014/main" id="{00000000-0008-0000-0600-00000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a:extLst>
            <a:ext uri="{FF2B5EF4-FFF2-40B4-BE49-F238E27FC236}">
              <a16:creationId xmlns:a16="http://schemas.microsoft.com/office/drawing/2014/main" id="{00000000-0008-0000-0600-00000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a:extLst>
            <a:ext uri="{FF2B5EF4-FFF2-40B4-BE49-F238E27FC236}">
              <a16:creationId xmlns:a16="http://schemas.microsoft.com/office/drawing/2014/main" id="{00000000-0008-0000-0600-00000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a:extLst>
            <a:ext uri="{FF2B5EF4-FFF2-40B4-BE49-F238E27FC236}">
              <a16:creationId xmlns:a16="http://schemas.microsoft.com/office/drawing/2014/main" id="{00000000-0008-0000-0600-00000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a:extLst>
            <a:ext uri="{FF2B5EF4-FFF2-40B4-BE49-F238E27FC236}">
              <a16:creationId xmlns:a16="http://schemas.microsoft.com/office/drawing/2014/main" id="{00000000-0008-0000-0600-00000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a:extLst>
            <a:ext uri="{FF2B5EF4-FFF2-40B4-BE49-F238E27FC236}">
              <a16:creationId xmlns:a16="http://schemas.microsoft.com/office/drawing/2014/main" id="{00000000-0008-0000-0600-00000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a:extLst>
            <a:ext uri="{FF2B5EF4-FFF2-40B4-BE49-F238E27FC236}">
              <a16:creationId xmlns:a16="http://schemas.microsoft.com/office/drawing/2014/main" id="{00000000-0008-0000-0600-00000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a:extLst>
            <a:ext uri="{FF2B5EF4-FFF2-40B4-BE49-F238E27FC236}">
              <a16:creationId xmlns:a16="http://schemas.microsoft.com/office/drawing/2014/main" id="{00000000-0008-0000-0600-00000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a:extLst>
            <a:ext uri="{FF2B5EF4-FFF2-40B4-BE49-F238E27FC236}">
              <a16:creationId xmlns:a16="http://schemas.microsoft.com/office/drawing/2014/main" id="{00000000-0008-0000-0600-00000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a:extLst>
            <a:ext uri="{FF2B5EF4-FFF2-40B4-BE49-F238E27FC236}">
              <a16:creationId xmlns:a16="http://schemas.microsoft.com/office/drawing/2014/main" id="{00000000-0008-0000-0600-00000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a:extLst>
            <a:ext uri="{FF2B5EF4-FFF2-40B4-BE49-F238E27FC236}">
              <a16:creationId xmlns:a16="http://schemas.microsoft.com/office/drawing/2014/main" id="{00000000-0008-0000-0600-00000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a:extLst>
            <a:ext uri="{FF2B5EF4-FFF2-40B4-BE49-F238E27FC236}">
              <a16:creationId xmlns:a16="http://schemas.microsoft.com/office/drawing/2014/main" id="{00000000-0008-0000-0600-00001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a:extLst>
            <a:ext uri="{FF2B5EF4-FFF2-40B4-BE49-F238E27FC236}">
              <a16:creationId xmlns:a16="http://schemas.microsoft.com/office/drawing/2014/main" id="{00000000-0008-0000-0600-00001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a:extLst>
            <a:ext uri="{FF2B5EF4-FFF2-40B4-BE49-F238E27FC236}">
              <a16:creationId xmlns:a16="http://schemas.microsoft.com/office/drawing/2014/main" id="{00000000-0008-0000-0600-00001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a:extLst>
            <a:ext uri="{FF2B5EF4-FFF2-40B4-BE49-F238E27FC236}">
              <a16:creationId xmlns:a16="http://schemas.microsoft.com/office/drawing/2014/main" id="{00000000-0008-0000-0600-00001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a:extLst>
            <a:ext uri="{FF2B5EF4-FFF2-40B4-BE49-F238E27FC236}">
              <a16:creationId xmlns:a16="http://schemas.microsoft.com/office/drawing/2014/main" id="{00000000-0008-0000-0600-00001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a:extLst>
            <a:ext uri="{FF2B5EF4-FFF2-40B4-BE49-F238E27FC236}">
              <a16:creationId xmlns:a16="http://schemas.microsoft.com/office/drawing/2014/main" id="{00000000-0008-0000-0600-00001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a:extLst>
            <a:ext uri="{FF2B5EF4-FFF2-40B4-BE49-F238E27FC236}">
              <a16:creationId xmlns:a16="http://schemas.microsoft.com/office/drawing/2014/main" id="{00000000-0008-0000-0600-00001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a:extLst>
            <a:ext uri="{FF2B5EF4-FFF2-40B4-BE49-F238E27FC236}">
              <a16:creationId xmlns:a16="http://schemas.microsoft.com/office/drawing/2014/main" id="{00000000-0008-0000-0600-00001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a:extLst>
            <a:ext uri="{FF2B5EF4-FFF2-40B4-BE49-F238E27FC236}">
              <a16:creationId xmlns:a16="http://schemas.microsoft.com/office/drawing/2014/main" id="{00000000-0008-0000-0600-00001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a:extLst>
            <a:ext uri="{FF2B5EF4-FFF2-40B4-BE49-F238E27FC236}">
              <a16:creationId xmlns:a16="http://schemas.microsoft.com/office/drawing/2014/main" id="{00000000-0008-0000-0600-00001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a:extLst>
            <a:ext uri="{FF2B5EF4-FFF2-40B4-BE49-F238E27FC236}">
              <a16:creationId xmlns:a16="http://schemas.microsoft.com/office/drawing/2014/main" id="{00000000-0008-0000-0600-00001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a:extLst>
            <a:ext uri="{FF2B5EF4-FFF2-40B4-BE49-F238E27FC236}">
              <a16:creationId xmlns:a16="http://schemas.microsoft.com/office/drawing/2014/main" id="{00000000-0008-0000-0600-00001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a:extLst>
            <a:ext uri="{FF2B5EF4-FFF2-40B4-BE49-F238E27FC236}">
              <a16:creationId xmlns:a16="http://schemas.microsoft.com/office/drawing/2014/main" id="{00000000-0008-0000-0600-00001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a:extLst>
            <a:ext uri="{FF2B5EF4-FFF2-40B4-BE49-F238E27FC236}">
              <a16:creationId xmlns:a16="http://schemas.microsoft.com/office/drawing/2014/main" id="{00000000-0008-0000-0600-00001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a:extLst>
            <a:ext uri="{FF2B5EF4-FFF2-40B4-BE49-F238E27FC236}">
              <a16:creationId xmlns:a16="http://schemas.microsoft.com/office/drawing/2014/main" id="{00000000-0008-0000-0600-00001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a:extLst>
            <a:ext uri="{FF2B5EF4-FFF2-40B4-BE49-F238E27FC236}">
              <a16:creationId xmlns:a16="http://schemas.microsoft.com/office/drawing/2014/main" id="{00000000-0008-0000-0600-00001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a:extLst>
            <a:ext uri="{FF2B5EF4-FFF2-40B4-BE49-F238E27FC236}">
              <a16:creationId xmlns:a16="http://schemas.microsoft.com/office/drawing/2014/main" id="{00000000-0008-0000-0600-00002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a:extLst>
            <a:ext uri="{FF2B5EF4-FFF2-40B4-BE49-F238E27FC236}">
              <a16:creationId xmlns:a16="http://schemas.microsoft.com/office/drawing/2014/main" id="{00000000-0008-0000-0600-00002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a:extLst>
            <a:ext uri="{FF2B5EF4-FFF2-40B4-BE49-F238E27FC236}">
              <a16:creationId xmlns:a16="http://schemas.microsoft.com/office/drawing/2014/main" id="{00000000-0008-0000-0600-00002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a:extLst>
            <a:ext uri="{FF2B5EF4-FFF2-40B4-BE49-F238E27FC236}">
              <a16:creationId xmlns:a16="http://schemas.microsoft.com/office/drawing/2014/main" id="{00000000-0008-0000-0600-00002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a:extLst>
            <a:ext uri="{FF2B5EF4-FFF2-40B4-BE49-F238E27FC236}">
              <a16:creationId xmlns:a16="http://schemas.microsoft.com/office/drawing/2014/main" id="{00000000-0008-0000-0600-00002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a:extLst>
            <a:ext uri="{FF2B5EF4-FFF2-40B4-BE49-F238E27FC236}">
              <a16:creationId xmlns:a16="http://schemas.microsoft.com/office/drawing/2014/main" id="{00000000-0008-0000-0600-00002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a:extLst>
            <a:ext uri="{FF2B5EF4-FFF2-40B4-BE49-F238E27FC236}">
              <a16:creationId xmlns:a16="http://schemas.microsoft.com/office/drawing/2014/main" id="{00000000-0008-0000-0600-00002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a:extLst>
            <a:ext uri="{FF2B5EF4-FFF2-40B4-BE49-F238E27FC236}">
              <a16:creationId xmlns:a16="http://schemas.microsoft.com/office/drawing/2014/main" id="{00000000-0008-0000-0600-00002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a:extLst>
            <a:ext uri="{FF2B5EF4-FFF2-40B4-BE49-F238E27FC236}">
              <a16:creationId xmlns:a16="http://schemas.microsoft.com/office/drawing/2014/main" id="{00000000-0008-0000-0600-00002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a:extLst>
            <a:ext uri="{FF2B5EF4-FFF2-40B4-BE49-F238E27FC236}">
              <a16:creationId xmlns:a16="http://schemas.microsoft.com/office/drawing/2014/main" id="{00000000-0008-0000-0600-00002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a:extLst>
            <a:ext uri="{FF2B5EF4-FFF2-40B4-BE49-F238E27FC236}">
              <a16:creationId xmlns:a16="http://schemas.microsoft.com/office/drawing/2014/main" id="{00000000-0008-0000-0600-00002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a:extLst>
            <a:ext uri="{FF2B5EF4-FFF2-40B4-BE49-F238E27FC236}">
              <a16:creationId xmlns:a16="http://schemas.microsoft.com/office/drawing/2014/main" id="{00000000-0008-0000-0600-00002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a:extLst>
            <a:ext uri="{FF2B5EF4-FFF2-40B4-BE49-F238E27FC236}">
              <a16:creationId xmlns:a16="http://schemas.microsoft.com/office/drawing/2014/main" id="{00000000-0008-0000-0600-00002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a:extLst>
            <a:ext uri="{FF2B5EF4-FFF2-40B4-BE49-F238E27FC236}">
              <a16:creationId xmlns:a16="http://schemas.microsoft.com/office/drawing/2014/main" id="{00000000-0008-0000-0600-00002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a:extLst>
            <a:ext uri="{FF2B5EF4-FFF2-40B4-BE49-F238E27FC236}">
              <a16:creationId xmlns:a16="http://schemas.microsoft.com/office/drawing/2014/main" id="{00000000-0008-0000-0600-00002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a:extLst>
            <a:ext uri="{FF2B5EF4-FFF2-40B4-BE49-F238E27FC236}">
              <a16:creationId xmlns:a16="http://schemas.microsoft.com/office/drawing/2014/main" id="{00000000-0008-0000-0600-00002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a:extLst>
            <a:ext uri="{FF2B5EF4-FFF2-40B4-BE49-F238E27FC236}">
              <a16:creationId xmlns:a16="http://schemas.microsoft.com/office/drawing/2014/main" id="{00000000-0008-0000-0600-00003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a:extLst>
            <a:ext uri="{FF2B5EF4-FFF2-40B4-BE49-F238E27FC236}">
              <a16:creationId xmlns:a16="http://schemas.microsoft.com/office/drawing/2014/main" id="{00000000-0008-0000-0600-00003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a:extLst>
            <a:ext uri="{FF2B5EF4-FFF2-40B4-BE49-F238E27FC236}">
              <a16:creationId xmlns:a16="http://schemas.microsoft.com/office/drawing/2014/main" id="{00000000-0008-0000-0600-00003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a:extLst>
            <a:ext uri="{FF2B5EF4-FFF2-40B4-BE49-F238E27FC236}">
              <a16:creationId xmlns:a16="http://schemas.microsoft.com/office/drawing/2014/main" id="{00000000-0008-0000-0600-00003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a:extLst>
            <a:ext uri="{FF2B5EF4-FFF2-40B4-BE49-F238E27FC236}">
              <a16:creationId xmlns:a16="http://schemas.microsoft.com/office/drawing/2014/main" id="{00000000-0008-0000-0600-00003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a:extLst>
            <a:ext uri="{FF2B5EF4-FFF2-40B4-BE49-F238E27FC236}">
              <a16:creationId xmlns:a16="http://schemas.microsoft.com/office/drawing/2014/main" id="{00000000-0008-0000-0600-00003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a:extLst>
            <a:ext uri="{FF2B5EF4-FFF2-40B4-BE49-F238E27FC236}">
              <a16:creationId xmlns:a16="http://schemas.microsoft.com/office/drawing/2014/main" id="{00000000-0008-0000-0600-00003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a:extLst>
            <a:ext uri="{FF2B5EF4-FFF2-40B4-BE49-F238E27FC236}">
              <a16:creationId xmlns:a16="http://schemas.microsoft.com/office/drawing/2014/main" id="{00000000-0008-0000-0600-00003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a:extLst>
            <a:ext uri="{FF2B5EF4-FFF2-40B4-BE49-F238E27FC236}">
              <a16:creationId xmlns:a16="http://schemas.microsoft.com/office/drawing/2014/main" id="{00000000-0008-0000-0600-00003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a:extLst>
            <a:ext uri="{FF2B5EF4-FFF2-40B4-BE49-F238E27FC236}">
              <a16:creationId xmlns:a16="http://schemas.microsoft.com/office/drawing/2014/main" id="{00000000-0008-0000-0600-00003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a:extLst>
            <a:ext uri="{FF2B5EF4-FFF2-40B4-BE49-F238E27FC236}">
              <a16:creationId xmlns:a16="http://schemas.microsoft.com/office/drawing/2014/main" id="{00000000-0008-0000-0600-00003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a:extLst>
            <a:ext uri="{FF2B5EF4-FFF2-40B4-BE49-F238E27FC236}">
              <a16:creationId xmlns:a16="http://schemas.microsoft.com/office/drawing/2014/main" id="{00000000-0008-0000-0600-00003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a:extLst>
            <a:ext uri="{FF2B5EF4-FFF2-40B4-BE49-F238E27FC236}">
              <a16:creationId xmlns:a16="http://schemas.microsoft.com/office/drawing/2014/main" id="{00000000-0008-0000-0600-00003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a:extLst>
            <a:ext uri="{FF2B5EF4-FFF2-40B4-BE49-F238E27FC236}">
              <a16:creationId xmlns:a16="http://schemas.microsoft.com/office/drawing/2014/main" id="{00000000-0008-0000-0600-00003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a:extLst>
            <a:ext uri="{FF2B5EF4-FFF2-40B4-BE49-F238E27FC236}">
              <a16:creationId xmlns:a16="http://schemas.microsoft.com/office/drawing/2014/main" id="{00000000-0008-0000-0600-00003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a:extLst>
            <a:ext uri="{FF2B5EF4-FFF2-40B4-BE49-F238E27FC236}">
              <a16:creationId xmlns:a16="http://schemas.microsoft.com/office/drawing/2014/main" id="{00000000-0008-0000-0600-00003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a:extLst>
            <a:ext uri="{FF2B5EF4-FFF2-40B4-BE49-F238E27FC236}">
              <a16:creationId xmlns:a16="http://schemas.microsoft.com/office/drawing/2014/main" id="{00000000-0008-0000-0600-00004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a:extLst>
            <a:ext uri="{FF2B5EF4-FFF2-40B4-BE49-F238E27FC236}">
              <a16:creationId xmlns:a16="http://schemas.microsoft.com/office/drawing/2014/main" id="{00000000-0008-0000-0600-00004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a:extLst>
            <a:ext uri="{FF2B5EF4-FFF2-40B4-BE49-F238E27FC236}">
              <a16:creationId xmlns:a16="http://schemas.microsoft.com/office/drawing/2014/main" id="{00000000-0008-0000-0600-00004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a:extLst>
            <a:ext uri="{FF2B5EF4-FFF2-40B4-BE49-F238E27FC236}">
              <a16:creationId xmlns:a16="http://schemas.microsoft.com/office/drawing/2014/main" id="{00000000-0008-0000-0600-00004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a:extLst>
            <a:ext uri="{FF2B5EF4-FFF2-40B4-BE49-F238E27FC236}">
              <a16:creationId xmlns:a16="http://schemas.microsoft.com/office/drawing/2014/main" id="{00000000-0008-0000-0600-00004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a:extLst>
            <a:ext uri="{FF2B5EF4-FFF2-40B4-BE49-F238E27FC236}">
              <a16:creationId xmlns:a16="http://schemas.microsoft.com/office/drawing/2014/main" id="{00000000-0008-0000-0600-00004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a:extLst>
            <a:ext uri="{FF2B5EF4-FFF2-40B4-BE49-F238E27FC236}">
              <a16:creationId xmlns:a16="http://schemas.microsoft.com/office/drawing/2014/main" id="{00000000-0008-0000-0600-00004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a:extLst>
            <a:ext uri="{FF2B5EF4-FFF2-40B4-BE49-F238E27FC236}">
              <a16:creationId xmlns:a16="http://schemas.microsoft.com/office/drawing/2014/main" id="{00000000-0008-0000-0600-00004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a:extLst>
            <a:ext uri="{FF2B5EF4-FFF2-40B4-BE49-F238E27FC236}">
              <a16:creationId xmlns:a16="http://schemas.microsoft.com/office/drawing/2014/main" id="{00000000-0008-0000-0600-00004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a:extLst>
            <a:ext uri="{FF2B5EF4-FFF2-40B4-BE49-F238E27FC236}">
              <a16:creationId xmlns:a16="http://schemas.microsoft.com/office/drawing/2014/main" id="{00000000-0008-0000-0600-00004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a:extLst>
            <a:ext uri="{FF2B5EF4-FFF2-40B4-BE49-F238E27FC236}">
              <a16:creationId xmlns:a16="http://schemas.microsoft.com/office/drawing/2014/main" id="{00000000-0008-0000-0600-00004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a:extLst>
            <a:ext uri="{FF2B5EF4-FFF2-40B4-BE49-F238E27FC236}">
              <a16:creationId xmlns:a16="http://schemas.microsoft.com/office/drawing/2014/main" id="{00000000-0008-0000-0600-00004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a:extLst>
            <a:ext uri="{FF2B5EF4-FFF2-40B4-BE49-F238E27FC236}">
              <a16:creationId xmlns:a16="http://schemas.microsoft.com/office/drawing/2014/main" id="{00000000-0008-0000-0600-00004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a:extLst>
            <a:ext uri="{FF2B5EF4-FFF2-40B4-BE49-F238E27FC236}">
              <a16:creationId xmlns:a16="http://schemas.microsoft.com/office/drawing/2014/main" id="{00000000-0008-0000-0600-00004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a:extLst>
            <a:ext uri="{FF2B5EF4-FFF2-40B4-BE49-F238E27FC236}">
              <a16:creationId xmlns:a16="http://schemas.microsoft.com/office/drawing/2014/main" id="{00000000-0008-0000-0600-00004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a:extLst>
            <a:ext uri="{FF2B5EF4-FFF2-40B4-BE49-F238E27FC236}">
              <a16:creationId xmlns:a16="http://schemas.microsoft.com/office/drawing/2014/main" id="{00000000-0008-0000-0600-00004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a:extLst>
            <a:ext uri="{FF2B5EF4-FFF2-40B4-BE49-F238E27FC236}">
              <a16:creationId xmlns:a16="http://schemas.microsoft.com/office/drawing/2014/main" id="{00000000-0008-0000-0600-00005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a:extLst>
            <a:ext uri="{FF2B5EF4-FFF2-40B4-BE49-F238E27FC236}">
              <a16:creationId xmlns:a16="http://schemas.microsoft.com/office/drawing/2014/main" id="{00000000-0008-0000-0600-00005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a:extLst>
            <a:ext uri="{FF2B5EF4-FFF2-40B4-BE49-F238E27FC236}">
              <a16:creationId xmlns:a16="http://schemas.microsoft.com/office/drawing/2014/main" id="{00000000-0008-0000-0600-00005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a:extLst>
            <a:ext uri="{FF2B5EF4-FFF2-40B4-BE49-F238E27FC236}">
              <a16:creationId xmlns:a16="http://schemas.microsoft.com/office/drawing/2014/main" id="{00000000-0008-0000-0600-00005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a:extLst>
            <a:ext uri="{FF2B5EF4-FFF2-40B4-BE49-F238E27FC236}">
              <a16:creationId xmlns:a16="http://schemas.microsoft.com/office/drawing/2014/main" id="{00000000-0008-0000-0600-00005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a:extLst>
            <a:ext uri="{FF2B5EF4-FFF2-40B4-BE49-F238E27FC236}">
              <a16:creationId xmlns:a16="http://schemas.microsoft.com/office/drawing/2014/main" id="{00000000-0008-0000-0600-00005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a:extLst>
            <a:ext uri="{FF2B5EF4-FFF2-40B4-BE49-F238E27FC236}">
              <a16:creationId xmlns:a16="http://schemas.microsoft.com/office/drawing/2014/main" id="{00000000-0008-0000-0600-00005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a:extLst>
            <a:ext uri="{FF2B5EF4-FFF2-40B4-BE49-F238E27FC236}">
              <a16:creationId xmlns:a16="http://schemas.microsoft.com/office/drawing/2014/main" id="{00000000-0008-0000-0600-00005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a:extLst>
            <a:ext uri="{FF2B5EF4-FFF2-40B4-BE49-F238E27FC236}">
              <a16:creationId xmlns:a16="http://schemas.microsoft.com/office/drawing/2014/main" id="{00000000-0008-0000-0600-00005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a:extLst>
            <a:ext uri="{FF2B5EF4-FFF2-40B4-BE49-F238E27FC236}">
              <a16:creationId xmlns:a16="http://schemas.microsoft.com/office/drawing/2014/main" id="{00000000-0008-0000-0600-00005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a:extLst>
            <a:ext uri="{FF2B5EF4-FFF2-40B4-BE49-F238E27FC236}">
              <a16:creationId xmlns:a16="http://schemas.microsoft.com/office/drawing/2014/main" id="{00000000-0008-0000-0600-00005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a:extLst>
            <a:ext uri="{FF2B5EF4-FFF2-40B4-BE49-F238E27FC236}">
              <a16:creationId xmlns:a16="http://schemas.microsoft.com/office/drawing/2014/main" id="{00000000-0008-0000-0600-00005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a:extLst>
            <a:ext uri="{FF2B5EF4-FFF2-40B4-BE49-F238E27FC236}">
              <a16:creationId xmlns:a16="http://schemas.microsoft.com/office/drawing/2014/main" id="{00000000-0008-0000-0600-00005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a:extLst>
            <a:ext uri="{FF2B5EF4-FFF2-40B4-BE49-F238E27FC236}">
              <a16:creationId xmlns:a16="http://schemas.microsoft.com/office/drawing/2014/main" id="{00000000-0008-0000-0600-00005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a:extLst>
            <a:ext uri="{FF2B5EF4-FFF2-40B4-BE49-F238E27FC236}">
              <a16:creationId xmlns:a16="http://schemas.microsoft.com/office/drawing/2014/main" id="{00000000-0008-0000-0600-00005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a:extLst>
            <a:ext uri="{FF2B5EF4-FFF2-40B4-BE49-F238E27FC236}">
              <a16:creationId xmlns:a16="http://schemas.microsoft.com/office/drawing/2014/main" id="{00000000-0008-0000-0600-00005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a:extLst>
            <a:ext uri="{FF2B5EF4-FFF2-40B4-BE49-F238E27FC236}">
              <a16:creationId xmlns:a16="http://schemas.microsoft.com/office/drawing/2014/main" id="{00000000-0008-0000-0600-00006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a:extLst>
            <a:ext uri="{FF2B5EF4-FFF2-40B4-BE49-F238E27FC236}">
              <a16:creationId xmlns:a16="http://schemas.microsoft.com/office/drawing/2014/main" id="{00000000-0008-0000-0600-00006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a:extLst>
            <a:ext uri="{FF2B5EF4-FFF2-40B4-BE49-F238E27FC236}">
              <a16:creationId xmlns:a16="http://schemas.microsoft.com/office/drawing/2014/main" id="{00000000-0008-0000-0600-00006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a:extLst>
            <a:ext uri="{FF2B5EF4-FFF2-40B4-BE49-F238E27FC236}">
              <a16:creationId xmlns:a16="http://schemas.microsoft.com/office/drawing/2014/main" id="{00000000-0008-0000-0600-00006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a:extLst>
            <a:ext uri="{FF2B5EF4-FFF2-40B4-BE49-F238E27FC236}">
              <a16:creationId xmlns:a16="http://schemas.microsoft.com/office/drawing/2014/main" id="{00000000-0008-0000-0600-00006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a:extLst>
            <a:ext uri="{FF2B5EF4-FFF2-40B4-BE49-F238E27FC236}">
              <a16:creationId xmlns:a16="http://schemas.microsoft.com/office/drawing/2014/main" id="{00000000-0008-0000-0600-00006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a:extLst>
            <a:ext uri="{FF2B5EF4-FFF2-40B4-BE49-F238E27FC236}">
              <a16:creationId xmlns:a16="http://schemas.microsoft.com/office/drawing/2014/main" id="{00000000-0008-0000-0600-00006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a:extLst>
            <a:ext uri="{FF2B5EF4-FFF2-40B4-BE49-F238E27FC236}">
              <a16:creationId xmlns:a16="http://schemas.microsoft.com/office/drawing/2014/main" id="{00000000-0008-0000-0600-00006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a:extLst>
            <a:ext uri="{FF2B5EF4-FFF2-40B4-BE49-F238E27FC236}">
              <a16:creationId xmlns:a16="http://schemas.microsoft.com/office/drawing/2014/main" id="{00000000-0008-0000-0600-00006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a:extLst>
            <a:ext uri="{FF2B5EF4-FFF2-40B4-BE49-F238E27FC236}">
              <a16:creationId xmlns:a16="http://schemas.microsoft.com/office/drawing/2014/main" id="{00000000-0008-0000-0600-00006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a:extLst>
            <a:ext uri="{FF2B5EF4-FFF2-40B4-BE49-F238E27FC236}">
              <a16:creationId xmlns:a16="http://schemas.microsoft.com/office/drawing/2014/main" id="{00000000-0008-0000-0600-00006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a:extLst>
            <a:ext uri="{FF2B5EF4-FFF2-40B4-BE49-F238E27FC236}">
              <a16:creationId xmlns:a16="http://schemas.microsoft.com/office/drawing/2014/main" id="{00000000-0008-0000-0600-00006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a:extLst>
            <a:ext uri="{FF2B5EF4-FFF2-40B4-BE49-F238E27FC236}">
              <a16:creationId xmlns:a16="http://schemas.microsoft.com/office/drawing/2014/main" id="{00000000-0008-0000-0600-00006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a:extLst>
            <a:ext uri="{FF2B5EF4-FFF2-40B4-BE49-F238E27FC236}">
              <a16:creationId xmlns:a16="http://schemas.microsoft.com/office/drawing/2014/main" id="{00000000-0008-0000-0600-00006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a:extLst>
            <a:ext uri="{FF2B5EF4-FFF2-40B4-BE49-F238E27FC236}">
              <a16:creationId xmlns:a16="http://schemas.microsoft.com/office/drawing/2014/main" id="{00000000-0008-0000-0600-00006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a:extLst>
            <a:ext uri="{FF2B5EF4-FFF2-40B4-BE49-F238E27FC236}">
              <a16:creationId xmlns:a16="http://schemas.microsoft.com/office/drawing/2014/main" id="{00000000-0008-0000-0600-00006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a:extLst>
            <a:ext uri="{FF2B5EF4-FFF2-40B4-BE49-F238E27FC236}">
              <a16:creationId xmlns:a16="http://schemas.microsoft.com/office/drawing/2014/main" id="{00000000-0008-0000-0600-00007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a:extLst>
            <a:ext uri="{FF2B5EF4-FFF2-40B4-BE49-F238E27FC236}">
              <a16:creationId xmlns:a16="http://schemas.microsoft.com/office/drawing/2014/main" id="{00000000-0008-0000-0600-00007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a:extLst>
            <a:ext uri="{FF2B5EF4-FFF2-40B4-BE49-F238E27FC236}">
              <a16:creationId xmlns:a16="http://schemas.microsoft.com/office/drawing/2014/main" id="{00000000-0008-0000-0600-00007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a:extLst>
            <a:ext uri="{FF2B5EF4-FFF2-40B4-BE49-F238E27FC236}">
              <a16:creationId xmlns:a16="http://schemas.microsoft.com/office/drawing/2014/main" id="{00000000-0008-0000-0600-00007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a:extLst>
            <a:ext uri="{FF2B5EF4-FFF2-40B4-BE49-F238E27FC236}">
              <a16:creationId xmlns:a16="http://schemas.microsoft.com/office/drawing/2014/main" id="{00000000-0008-0000-0600-00007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a:extLst>
            <a:ext uri="{FF2B5EF4-FFF2-40B4-BE49-F238E27FC236}">
              <a16:creationId xmlns:a16="http://schemas.microsoft.com/office/drawing/2014/main" id="{00000000-0008-0000-0600-00007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a:extLst>
            <a:ext uri="{FF2B5EF4-FFF2-40B4-BE49-F238E27FC236}">
              <a16:creationId xmlns:a16="http://schemas.microsoft.com/office/drawing/2014/main" id="{00000000-0008-0000-0600-00007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a:extLst>
            <a:ext uri="{FF2B5EF4-FFF2-40B4-BE49-F238E27FC236}">
              <a16:creationId xmlns:a16="http://schemas.microsoft.com/office/drawing/2014/main" id="{00000000-0008-0000-0600-00007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a:extLst>
            <a:ext uri="{FF2B5EF4-FFF2-40B4-BE49-F238E27FC236}">
              <a16:creationId xmlns:a16="http://schemas.microsoft.com/office/drawing/2014/main" id="{00000000-0008-0000-0600-00007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a:extLst>
            <a:ext uri="{FF2B5EF4-FFF2-40B4-BE49-F238E27FC236}">
              <a16:creationId xmlns:a16="http://schemas.microsoft.com/office/drawing/2014/main" id="{00000000-0008-0000-0600-00007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a:extLst>
            <a:ext uri="{FF2B5EF4-FFF2-40B4-BE49-F238E27FC236}">
              <a16:creationId xmlns:a16="http://schemas.microsoft.com/office/drawing/2014/main" id="{00000000-0008-0000-0600-00007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a:extLst>
            <a:ext uri="{FF2B5EF4-FFF2-40B4-BE49-F238E27FC236}">
              <a16:creationId xmlns:a16="http://schemas.microsoft.com/office/drawing/2014/main" id="{00000000-0008-0000-0600-00007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a:extLst>
            <a:ext uri="{FF2B5EF4-FFF2-40B4-BE49-F238E27FC236}">
              <a16:creationId xmlns:a16="http://schemas.microsoft.com/office/drawing/2014/main" id="{00000000-0008-0000-0600-00007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a:extLst>
            <a:ext uri="{FF2B5EF4-FFF2-40B4-BE49-F238E27FC236}">
              <a16:creationId xmlns:a16="http://schemas.microsoft.com/office/drawing/2014/main" id="{00000000-0008-0000-0600-00007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a:extLst>
            <a:ext uri="{FF2B5EF4-FFF2-40B4-BE49-F238E27FC236}">
              <a16:creationId xmlns:a16="http://schemas.microsoft.com/office/drawing/2014/main" id="{00000000-0008-0000-0600-00007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a:extLst>
            <a:ext uri="{FF2B5EF4-FFF2-40B4-BE49-F238E27FC236}">
              <a16:creationId xmlns:a16="http://schemas.microsoft.com/office/drawing/2014/main" id="{00000000-0008-0000-0600-00007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a:extLst>
            <a:ext uri="{FF2B5EF4-FFF2-40B4-BE49-F238E27FC236}">
              <a16:creationId xmlns:a16="http://schemas.microsoft.com/office/drawing/2014/main" id="{00000000-0008-0000-0600-00008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a:extLst>
            <a:ext uri="{FF2B5EF4-FFF2-40B4-BE49-F238E27FC236}">
              <a16:creationId xmlns:a16="http://schemas.microsoft.com/office/drawing/2014/main" id="{00000000-0008-0000-0600-00008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a:extLst>
            <a:ext uri="{FF2B5EF4-FFF2-40B4-BE49-F238E27FC236}">
              <a16:creationId xmlns:a16="http://schemas.microsoft.com/office/drawing/2014/main" id="{00000000-0008-0000-0600-00008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a:extLst>
            <a:ext uri="{FF2B5EF4-FFF2-40B4-BE49-F238E27FC236}">
              <a16:creationId xmlns:a16="http://schemas.microsoft.com/office/drawing/2014/main" id="{00000000-0008-0000-0600-00008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a:extLst>
            <a:ext uri="{FF2B5EF4-FFF2-40B4-BE49-F238E27FC236}">
              <a16:creationId xmlns:a16="http://schemas.microsoft.com/office/drawing/2014/main" id="{00000000-0008-0000-0600-00008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a:extLst>
            <a:ext uri="{FF2B5EF4-FFF2-40B4-BE49-F238E27FC236}">
              <a16:creationId xmlns:a16="http://schemas.microsoft.com/office/drawing/2014/main" id="{00000000-0008-0000-0600-00008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a:extLst>
            <a:ext uri="{FF2B5EF4-FFF2-40B4-BE49-F238E27FC236}">
              <a16:creationId xmlns:a16="http://schemas.microsoft.com/office/drawing/2014/main" id="{00000000-0008-0000-0600-00008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a:extLst>
            <a:ext uri="{FF2B5EF4-FFF2-40B4-BE49-F238E27FC236}">
              <a16:creationId xmlns:a16="http://schemas.microsoft.com/office/drawing/2014/main" id="{00000000-0008-0000-0600-00008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a:extLst>
            <a:ext uri="{FF2B5EF4-FFF2-40B4-BE49-F238E27FC236}">
              <a16:creationId xmlns:a16="http://schemas.microsoft.com/office/drawing/2014/main" id="{00000000-0008-0000-0600-00008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a:extLst>
            <a:ext uri="{FF2B5EF4-FFF2-40B4-BE49-F238E27FC236}">
              <a16:creationId xmlns:a16="http://schemas.microsoft.com/office/drawing/2014/main" id="{00000000-0008-0000-0600-00008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a:extLst>
            <a:ext uri="{FF2B5EF4-FFF2-40B4-BE49-F238E27FC236}">
              <a16:creationId xmlns:a16="http://schemas.microsoft.com/office/drawing/2014/main" id="{00000000-0008-0000-0600-00008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a:extLst>
            <a:ext uri="{FF2B5EF4-FFF2-40B4-BE49-F238E27FC236}">
              <a16:creationId xmlns:a16="http://schemas.microsoft.com/office/drawing/2014/main" id="{00000000-0008-0000-0600-00008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a:extLst>
            <a:ext uri="{FF2B5EF4-FFF2-40B4-BE49-F238E27FC236}">
              <a16:creationId xmlns:a16="http://schemas.microsoft.com/office/drawing/2014/main" id="{00000000-0008-0000-0600-00008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a:extLst>
            <a:ext uri="{FF2B5EF4-FFF2-40B4-BE49-F238E27FC236}">
              <a16:creationId xmlns:a16="http://schemas.microsoft.com/office/drawing/2014/main" id="{00000000-0008-0000-0600-00008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a:extLst>
            <a:ext uri="{FF2B5EF4-FFF2-40B4-BE49-F238E27FC236}">
              <a16:creationId xmlns:a16="http://schemas.microsoft.com/office/drawing/2014/main" id="{00000000-0008-0000-0600-00008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a:extLst>
            <a:ext uri="{FF2B5EF4-FFF2-40B4-BE49-F238E27FC236}">
              <a16:creationId xmlns:a16="http://schemas.microsoft.com/office/drawing/2014/main" id="{00000000-0008-0000-0600-00008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a:extLst>
            <a:ext uri="{FF2B5EF4-FFF2-40B4-BE49-F238E27FC236}">
              <a16:creationId xmlns:a16="http://schemas.microsoft.com/office/drawing/2014/main" id="{00000000-0008-0000-0600-00009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a:extLst>
            <a:ext uri="{FF2B5EF4-FFF2-40B4-BE49-F238E27FC236}">
              <a16:creationId xmlns:a16="http://schemas.microsoft.com/office/drawing/2014/main" id="{00000000-0008-0000-0600-00009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a:extLst>
            <a:ext uri="{FF2B5EF4-FFF2-40B4-BE49-F238E27FC236}">
              <a16:creationId xmlns:a16="http://schemas.microsoft.com/office/drawing/2014/main" id="{00000000-0008-0000-0600-00009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a:extLst>
            <a:ext uri="{FF2B5EF4-FFF2-40B4-BE49-F238E27FC236}">
              <a16:creationId xmlns:a16="http://schemas.microsoft.com/office/drawing/2014/main" id="{00000000-0008-0000-0600-00009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a:extLst>
            <a:ext uri="{FF2B5EF4-FFF2-40B4-BE49-F238E27FC236}">
              <a16:creationId xmlns:a16="http://schemas.microsoft.com/office/drawing/2014/main" id="{00000000-0008-0000-0600-00009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a:extLst>
            <a:ext uri="{FF2B5EF4-FFF2-40B4-BE49-F238E27FC236}">
              <a16:creationId xmlns:a16="http://schemas.microsoft.com/office/drawing/2014/main" id="{00000000-0008-0000-0600-00009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a:extLst>
            <a:ext uri="{FF2B5EF4-FFF2-40B4-BE49-F238E27FC236}">
              <a16:creationId xmlns:a16="http://schemas.microsoft.com/office/drawing/2014/main" id="{00000000-0008-0000-0600-00009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a:extLst>
            <a:ext uri="{FF2B5EF4-FFF2-40B4-BE49-F238E27FC236}">
              <a16:creationId xmlns:a16="http://schemas.microsoft.com/office/drawing/2014/main" id="{00000000-0008-0000-0600-00009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a:extLst>
            <a:ext uri="{FF2B5EF4-FFF2-40B4-BE49-F238E27FC236}">
              <a16:creationId xmlns:a16="http://schemas.microsoft.com/office/drawing/2014/main" id="{00000000-0008-0000-0600-00009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a:extLst>
            <a:ext uri="{FF2B5EF4-FFF2-40B4-BE49-F238E27FC236}">
              <a16:creationId xmlns:a16="http://schemas.microsoft.com/office/drawing/2014/main" id="{00000000-0008-0000-0600-00009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a:extLst>
            <a:ext uri="{FF2B5EF4-FFF2-40B4-BE49-F238E27FC236}">
              <a16:creationId xmlns:a16="http://schemas.microsoft.com/office/drawing/2014/main" id="{00000000-0008-0000-0600-00009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a:extLst>
            <a:ext uri="{FF2B5EF4-FFF2-40B4-BE49-F238E27FC236}">
              <a16:creationId xmlns:a16="http://schemas.microsoft.com/office/drawing/2014/main" id="{00000000-0008-0000-0600-00009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a:extLst>
            <a:ext uri="{FF2B5EF4-FFF2-40B4-BE49-F238E27FC236}">
              <a16:creationId xmlns:a16="http://schemas.microsoft.com/office/drawing/2014/main" id="{00000000-0008-0000-0600-00009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a:extLst>
            <a:ext uri="{FF2B5EF4-FFF2-40B4-BE49-F238E27FC236}">
              <a16:creationId xmlns:a16="http://schemas.microsoft.com/office/drawing/2014/main" id="{00000000-0008-0000-0600-00009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a:extLst>
            <a:ext uri="{FF2B5EF4-FFF2-40B4-BE49-F238E27FC236}">
              <a16:creationId xmlns:a16="http://schemas.microsoft.com/office/drawing/2014/main" id="{00000000-0008-0000-0600-00009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a:extLst>
            <a:ext uri="{FF2B5EF4-FFF2-40B4-BE49-F238E27FC236}">
              <a16:creationId xmlns:a16="http://schemas.microsoft.com/office/drawing/2014/main" id="{00000000-0008-0000-0600-00009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a:extLst>
            <a:ext uri="{FF2B5EF4-FFF2-40B4-BE49-F238E27FC236}">
              <a16:creationId xmlns:a16="http://schemas.microsoft.com/office/drawing/2014/main" id="{00000000-0008-0000-0600-0000A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a:extLst>
            <a:ext uri="{FF2B5EF4-FFF2-40B4-BE49-F238E27FC236}">
              <a16:creationId xmlns:a16="http://schemas.microsoft.com/office/drawing/2014/main" id="{00000000-0008-0000-0600-0000A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a:extLst>
            <a:ext uri="{FF2B5EF4-FFF2-40B4-BE49-F238E27FC236}">
              <a16:creationId xmlns:a16="http://schemas.microsoft.com/office/drawing/2014/main" id="{00000000-0008-0000-0600-0000A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a:extLst>
            <a:ext uri="{FF2B5EF4-FFF2-40B4-BE49-F238E27FC236}">
              <a16:creationId xmlns:a16="http://schemas.microsoft.com/office/drawing/2014/main" id="{00000000-0008-0000-0600-0000A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a:extLst>
            <a:ext uri="{FF2B5EF4-FFF2-40B4-BE49-F238E27FC236}">
              <a16:creationId xmlns:a16="http://schemas.microsoft.com/office/drawing/2014/main" id="{00000000-0008-0000-0600-0000A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a:extLst>
            <a:ext uri="{FF2B5EF4-FFF2-40B4-BE49-F238E27FC236}">
              <a16:creationId xmlns:a16="http://schemas.microsoft.com/office/drawing/2014/main" id="{00000000-0008-0000-0600-0000A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a:extLst>
            <a:ext uri="{FF2B5EF4-FFF2-40B4-BE49-F238E27FC236}">
              <a16:creationId xmlns:a16="http://schemas.microsoft.com/office/drawing/2014/main" id="{00000000-0008-0000-0600-0000A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a:extLst>
            <a:ext uri="{FF2B5EF4-FFF2-40B4-BE49-F238E27FC236}">
              <a16:creationId xmlns:a16="http://schemas.microsoft.com/office/drawing/2014/main" id="{00000000-0008-0000-0600-0000A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a:extLst>
            <a:ext uri="{FF2B5EF4-FFF2-40B4-BE49-F238E27FC236}">
              <a16:creationId xmlns:a16="http://schemas.microsoft.com/office/drawing/2014/main" id="{00000000-0008-0000-0600-0000A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a:extLst>
            <a:ext uri="{FF2B5EF4-FFF2-40B4-BE49-F238E27FC236}">
              <a16:creationId xmlns:a16="http://schemas.microsoft.com/office/drawing/2014/main" id="{00000000-0008-0000-0600-0000A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a:extLst>
            <a:ext uri="{FF2B5EF4-FFF2-40B4-BE49-F238E27FC236}">
              <a16:creationId xmlns:a16="http://schemas.microsoft.com/office/drawing/2014/main" id="{00000000-0008-0000-0600-0000A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a:extLst>
            <a:ext uri="{FF2B5EF4-FFF2-40B4-BE49-F238E27FC236}">
              <a16:creationId xmlns:a16="http://schemas.microsoft.com/office/drawing/2014/main" id="{00000000-0008-0000-0600-0000A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a:extLst>
            <a:ext uri="{FF2B5EF4-FFF2-40B4-BE49-F238E27FC236}">
              <a16:creationId xmlns:a16="http://schemas.microsoft.com/office/drawing/2014/main" id="{00000000-0008-0000-0600-0000A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a:extLst>
            <a:ext uri="{FF2B5EF4-FFF2-40B4-BE49-F238E27FC236}">
              <a16:creationId xmlns:a16="http://schemas.microsoft.com/office/drawing/2014/main" id="{00000000-0008-0000-0600-0000A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a:extLst>
            <a:ext uri="{FF2B5EF4-FFF2-40B4-BE49-F238E27FC236}">
              <a16:creationId xmlns:a16="http://schemas.microsoft.com/office/drawing/2014/main" id="{00000000-0008-0000-0600-0000A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a:extLst>
            <a:ext uri="{FF2B5EF4-FFF2-40B4-BE49-F238E27FC236}">
              <a16:creationId xmlns:a16="http://schemas.microsoft.com/office/drawing/2014/main" id="{00000000-0008-0000-0600-0000A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a:extLst>
            <a:ext uri="{FF2B5EF4-FFF2-40B4-BE49-F238E27FC236}">
              <a16:creationId xmlns:a16="http://schemas.microsoft.com/office/drawing/2014/main" id="{00000000-0008-0000-0600-0000B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a:extLst>
            <a:ext uri="{FF2B5EF4-FFF2-40B4-BE49-F238E27FC236}">
              <a16:creationId xmlns:a16="http://schemas.microsoft.com/office/drawing/2014/main" id="{00000000-0008-0000-0600-0000B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a:extLst>
            <a:ext uri="{FF2B5EF4-FFF2-40B4-BE49-F238E27FC236}">
              <a16:creationId xmlns:a16="http://schemas.microsoft.com/office/drawing/2014/main" id="{00000000-0008-0000-0600-0000B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a:extLst>
            <a:ext uri="{FF2B5EF4-FFF2-40B4-BE49-F238E27FC236}">
              <a16:creationId xmlns:a16="http://schemas.microsoft.com/office/drawing/2014/main" id="{00000000-0008-0000-0600-0000B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a:extLst>
            <a:ext uri="{FF2B5EF4-FFF2-40B4-BE49-F238E27FC236}">
              <a16:creationId xmlns:a16="http://schemas.microsoft.com/office/drawing/2014/main" id="{00000000-0008-0000-0600-0000B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a:extLst>
            <a:ext uri="{FF2B5EF4-FFF2-40B4-BE49-F238E27FC236}">
              <a16:creationId xmlns:a16="http://schemas.microsoft.com/office/drawing/2014/main" id="{00000000-0008-0000-0600-0000B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a:extLst>
            <a:ext uri="{FF2B5EF4-FFF2-40B4-BE49-F238E27FC236}">
              <a16:creationId xmlns:a16="http://schemas.microsoft.com/office/drawing/2014/main" id="{00000000-0008-0000-0600-0000B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a:extLst>
            <a:ext uri="{FF2B5EF4-FFF2-40B4-BE49-F238E27FC236}">
              <a16:creationId xmlns:a16="http://schemas.microsoft.com/office/drawing/2014/main" id="{00000000-0008-0000-0600-0000B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a:extLst>
            <a:ext uri="{FF2B5EF4-FFF2-40B4-BE49-F238E27FC236}">
              <a16:creationId xmlns:a16="http://schemas.microsoft.com/office/drawing/2014/main" id="{00000000-0008-0000-0600-0000B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a:extLst>
            <a:ext uri="{FF2B5EF4-FFF2-40B4-BE49-F238E27FC236}">
              <a16:creationId xmlns:a16="http://schemas.microsoft.com/office/drawing/2014/main" id="{00000000-0008-0000-0600-0000B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a:extLst>
            <a:ext uri="{FF2B5EF4-FFF2-40B4-BE49-F238E27FC236}">
              <a16:creationId xmlns:a16="http://schemas.microsoft.com/office/drawing/2014/main" id="{00000000-0008-0000-0600-0000B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a:extLst>
            <a:ext uri="{FF2B5EF4-FFF2-40B4-BE49-F238E27FC236}">
              <a16:creationId xmlns:a16="http://schemas.microsoft.com/office/drawing/2014/main" id="{00000000-0008-0000-0600-0000B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a:extLst>
            <a:ext uri="{FF2B5EF4-FFF2-40B4-BE49-F238E27FC236}">
              <a16:creationId xmlns:a16="http://schemas.microsoft.com/office/drawing/2014/main" id="{00000000-0008-0000-0600-0000B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a:extLst>
            <a:ext uri="{FF2B5EF4-FFF2-40B4-BE49-F238E27FC236}">
              <a16:creationId xmlns:a16="http://schemas.microsoft.com/office/drawing/2014/main" id="{00000000-0008-0000-0600-0000B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a:extLst>
            <a:ext uri="{FF2B5EF4-FFF2-40B4-BE49-F238E27FC236}">
              <a16:creationId xmlns:a16="http://schemas.microsoft.com/office/drawing/2014/main" id="{00000000-0008-0000-0600-0000B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a:extLst>
            <a:ext uri="{FF2B5EF4-FFF2-40B4-BE49-F238E27FC236}">
              <a16:creationId xmlns:a16="http://schemas.microsoft.com/office/drawing/2014/main" id="{00000000-0008-0000-0600-0000B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a:extLst>
            <a:ext uri="{FF2B5EF4-FFF2-40B4-BE49-F238E27FC236}">
              <a16:creationId xmlns:a16="http://schemas.microsoft.com/office/drawing/2014/main" id="{00000000-0008-0000-0600-0000C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a:extLst>
            <a:ext uri="{FF2B5EF4-FFF2-40B4-BE49-F238E27FC236}">
              <a16:creationId xmlns:a16="http://schemas.microsoft.com/office/drawing/2014/main" id="{00000000-0008-0000-0600-0000C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a:extLst>
            <a:ext uri="{FF2B5EF4-FFF2-40B4-BE49-F238E27FC236}">
              <a16:creationId xmlns:a16="http://schemas.microsoft.com/office/drawing/2014/main" id="{00000000-0008-0000-0600-0000C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a:extLst>
            <a:ext uri="{FF2B5EF4-FFF2-40B4-BE49-F238E27FC236}">
              <a16:creationId xmlns:a16="http://schemas.microsoft.com/office/drawing/2014/main" id="{00000000-0008-0000-0600-0000C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a:extLst>
            <a:ext uri="{FF2B5EF4-FFF2-40B4-BE49-F238E27FC236}">
              <a16:creationId xmlns:a16="http://schemas.microsoft.com/office/drawing/2014/main" id="{00000000-0008-0000-0600-0000C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a:extLst>
            <a:ext uri="{FF2B5EF4-FFF2-40B4-BE49-F238E27FC236}">
              <a16:creationId xmlns:a16="http://schemas.microsoft.com/office/drawing/2014/main" id="{00000000-0008-0000-0600-0000C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a:extLst>
            <a:ext uri="{FF2B5EF4-FFF2-40B4-BE49-F238E27FC236}">
              <a16:creationId xmlns:a16="http://schemas.microsoft.com/office/drawing/2014/main" id="{00000000-0008-0000-0600-0000C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a:extLst>
            <a:ext uri="{FF2B5EF4-FFF2-40B4-BE49-F238E27FC236}">
              <a16:creationId xmlns:a16="http://schemas.microsoft.com/office/drawing/2014/main" id="{00000000-0008-0000-0600-0000C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a:extLst>
            <a:ext uri="{FF2B5EF4-FFF2-40B4-BE49-F238E27FC236}">
              <a16:creationId xmlns:a16="http://schemas.microsoft.com/office/drawing/2014/main" id="{00000000-0008-0000-0600-0000C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a:extLst>
            <a:ext uri="{FF2B5EF4-FFF2-40B4-BE49-F238E27FC236}">
              <a16:creationId xmlns:a16="http://schemas.microsoft.com/office/drawing/2014/main" id="{00000000-0008-0000-0600-0000C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a:extLst>
            <a:ext uri="{FF2B5EF4-FFF2-40B4-BE49-F238E27FC236}">
              <a16:creationId xmlns:a16="http://schemas.microsoft.com/office/drawing/2014/main" id="{00000000-0008-0000-0600-0000C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a:extLst>
            <a:ext uri="{FF2B5EF4-FFF2-40B4-BE49-F238E27FC236}">
              <a16:creationId xmlns:a16="http://schemas.microsoft.com/office/drawing/2014/main" id="{00000000-0008-0000-0600-0000C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a:extLst>
            <a:ext uri="{FF2B5EF4-FFF2-40B4-BE49-F238E27FC236}">
              <a16:creationId xmlns:a16="http://schemas.microsoft.com/office/drawing/2014/main" id="{00000000-0008-0000-0600-0000C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a:extLst>
            <a:ext uri="{FF2B5EF4-FFF2-40B4-BE49-F238E27FC236}">
              <a16:creationId xmlns:a16="http://schemas.microsoft.com/office/drawing/2014/main" id="{00000000-0008-0000-0600-0000C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a:extLst>
            <a:ext uri="{FF2B5EF4-FFF2-40B4-BE49-F238E27FC236}">
              <a16:creationId xmlns:a16="http://schemas.microsoft.com/office/drawing/2014/main" id="{00000000-0008-0000-0600-0000C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a:extLst>
            <a:ext uri="{FF2B5EF4-FFF2-40B4-BE49-F238E27FC236}">
              <a16:creationId xmlns:a16="http://schemas.microsoft.com/office/drawing/2014/main" id="{00000000-0008-0000-0600-0000C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a:extLst>
            <a:ext uri="{FF2B5EF4-FFF2-40B4-BE49-F238E27FC236}">
              <a16:creationId xmlns:a16="http://schemas.microsoft.com/office/drawing/2014/main" id="{00000000-0008-0000-0600-0000D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a:extLst>
            <a:ext uri="{FF2B5EF4-FFF2-40B4-BE49-F238E27FC236}">
              <a16:creationId xmlns:a16="http://schemas.microsoft.com/office/drawing/2014/main" id="{00000000-0008-0000-0600-0000D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a:extLst>
            <a:ext uri="{FF2B5EF4-FFF2-40B4-BE49-F238E27FC236}">
              <a16:creationId xmlns:a16="http://schemas.microsoft.com/office/drawing/2014/main" id="{00000000-0008-0000-0600-0000D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a:extLst>
            <a:ext uri="{FF2B5EF4-FFF2-40B4-BE49-F238E27FC236}">
              <a16:creationId xmlns:a16="http://schemas.microsoft.com/office/drawing/2014/main" id="{00000000-0008-0000-0600-0000D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a:extLst>
            <a:ext uri="{FF2B5EF4-FFF2-40B4-BE49-F238E27FC236}">
              <a16:creationId xmlns:a16="http://schemas.microsoft.com/office/drawing/2014/main" id="{00000000-0008-0000-0600-0000D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a:extLst>
            <a:ext uri="{FF2B5EF4-FFF2-40B4-BE49-F238E27FC236}">
              <a16:creationId xmlns:a16="http://schemas.microsoft.com/office/drawing/2014/main" id="{00000000-0008-0000-0600-0000D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a:extLst>
            <a:ext uri="{FF2B5EF4-FFF2-40B4-BE49-F238E27FC236}">
              <a16:creationId xmlns:a16="http://schemas.microsoft.com/office/drawing/2014/main" id="{00000000-0008-0000-0600-0000D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a:extLst>
            <a:ext uri="{FF2B5EF4-FFF2-40B4-BE49-F238E27FC236}">
              <a16:creationId xmlns:a16="http://schemas.microsoft.com/office/drawing/2014/main" id="{00000000-0008-0000-0600-0000D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a:extLst>
            <a:ext uri="{FF2B5EF4-FFF2-40B4-BE49-F238E27FC236}">
              <a16:creationId xmlns:a16="http://schemas.microsoft.com/office/drawing/2014/main" id="{00000000-0008-0000-0600-0000D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a:extLst>
            <a:ext uri="{FF2B5EF4-FFF2-40B4-BE49-F238E27FC236}">
              <a16:creationId xmlns:a16="http://schemas.microsoft.com/office/drawing/2014/main" id="{00000000-0008-0000-0600-0000D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a:extLst>
            <a:ext uri="{FF2B5EF4-FFF2-40B4-BE49-F238E27FC236}">
              <a16:creationId xmlns:a16="http://schemas.microsoft.com/office/drawing/2014/main" id="{00000000-0008-0000-0600-0000D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a:extLst>
            <a:ext uri="{FF2B5EF4-FFF2-40B4-BE49-F238E27FC236}">
              <a16:creationId xmlns:a16="http://schemas.microsoft.com/office/drawing/2014/main" id="{00000000-0008-0000-0600-0000D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a:extLst>
            <a:ext uri="{FF2B5EF4-FFF2-40B4-BE49-F238E27FC236}">
              <a16:creationId xmlns:a16="http://schemas.microsoft.com/office/drawing/2014/main" id="{00000000-0008-0000-0600-0000D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a:extLst>
            <a:ext uri="{FF2B5EF4-FFF2-40B4-BE49-F238E27FC236}">
              <a16:creationId xmlns:a16="http://schemas.microsoft.com/office/drawing/2014/main" id="{00000000-0008-0000-0600-0000D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a:extLst>
            <a:ext uri="{FF2B5EF4-FFF2-40B4-BE49-F238E27FC236}">
              <a16:creationId xmlns:a16="http://schemas.microsoft.com/office/drawing/2014/main" id="{00000000-0008-0000-0600-0000D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a:extLst>
            <a:ext uri="{FF2B5EF4-FFF2-40B4-BE49-F238E27FC236}">
              <a16:creationId xmlns:a16="http://schemas.microsoft.com/office/drawing/2014/main" id="{00000000-0008-0000-0600-0000D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a:extLst>
            <a:ext uri="{FF2B5EF4-FFF2-40B4-BE49-F238E27FC236}">
              <a16:creationId xmlns:a16="http://schemas.microsoft.com/office/drawing/2014/main" id="{00000000-0008-0000-0600-0000E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a:extLst>
            <a:ext uri="{FF2B5EF4-FFF2-40B4-BE49-F238E27FC236}">
              <a16:creationId xmlns:a16="http://schemas.microsoft.com/office/drawing/2014/main" id="{00000000-0008-0000-0600-0000E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a:extLst>
            <a:ext uri="{FF2B5EF4-FFF2-40B4-BE49-F238E27FC236}">
              <a16:creationId xmlns:a16="http://schemas.microsoft.com/office/drawing/2014/main" id="{00000000-0008-0000-0600-0000E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a:extLst>
            <a:ext uri="{FF2B5EF4-FFF2-40B4-BE49-F238E27FC236}">
              <a16:creationId xmlns:a16="http://schemas.microsoft.com/office/drawing/2014/main" id="{00000000-0008-0000-0600-0000E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a:extLst>
            <a:ext uri="{FF2B5EF4-FFF2-40B4-BE49-F238E27FC236}">
              <a16:creationId xmlns:a16="http://schemas.microsoft.com/office/drawing/2014/main" id="{00000000-0008-0000-0600-0000E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a:extLst>
            <a:ext uri="{FF2B5EF4-FFF2-40B4-BE49-F238E27FC236}">
              <a16:creationId xmlns:a16="http://schemas.microsoft.com/office/drawing/2014/main" id="{00000000-0008-0000-0600-0000E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a:extLst>
            <a:ext uri="{FF2B5EF4-FFF2-40B4-BE49-F238E27FC236}">
              <a16:creationId xmlns:a16="http://schemas.microsoft.com/office/drawing/2014/main" id="{00000000-0008-0000-0600-0000E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a:extLst>
            <a:ext uri="{FF2B5EF4-FFF2-40B4-BE49-F238E27FC236}">
              <a16:creationId xmlns:a16="http://schemas.microsoft.com/office/drawing/2014/main" id="{00000000-0008-0000-0600-0000E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a:extLst>
            <a:ext uri="{FF2B5EF4-FFF2-40B4-BE49-F238E27FC236}">
              <a16:creationId xmlns:a16="http://schemas.microsoft.com/office/drawing/2014/main" id="{00000000-0008-0000-0600-0000E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a:extLst>
            <a:ext uri="{FF2B5EF4-FFF2-40B4-BE49-F238E27FC236}">
              <a16:creationId xmlns:a16="http://schemas.microsoft.com/office/drawing/2014/main" id="{00000000-0008-0000-0600-0000E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a:extLst>
            <a:ext uri="{FF2B5EF4-FFF2-40B4-BE49-F238E27FC236}">
              <a16:creationId xmlns:a16="http://schemas.microsoft.com/office/drawing/2014/main" id="{00000000-0008-0000-0600-0000E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a:extLst>
            <a:ext uri="{FF2B5EF4-FFF2-40B4-BE49-F238E27FC236}">
              <a16:creationId xmlns:a16="http://schemas.microsoft.com/office/drawing/2014/main" id="{00000000-0008-0000-0600-0000E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a:extLst>
            <a:ext uri="{FF2B5EF4-FFF2-40B4-BE49-F238E27FC236}">
              <a16:creationId xmlns:a16="http://schemas.microsoft.com/office/drawing/2014/main" id="{00000000-0008-0000-0600-0000E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a:extLst>
            <a:ext uri="{FF2B5EF4-FFF2-40B4-BE49-F238E27FC236}">
              <a16:creationId xmlns:a16="http://schemas.microsoft.com/office/drawing/2014/main" id="{00000000-0008-0000-0600-0000E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a:extLst>
            <a:ext uri="{FF2B5EF4-FFF2-40B4-BE49-F238E27FC236}">
              <a16:creationId xmlns:a16="http://schemas.microsoft.com/office/drawing/2014/main" id="{00000000-0008-0000-0600-0000E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a:extLst>
            <a:ext uri="{FF2B5EF4-FFF2-40B4-BE49-F238E27FC236}">
              <a16:creationId xmlns:a16="http://schemas.microsoft.com/office/drawing/2014/main" id="{00000000-0008-0000-0600-0000E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a:extLst>
            <a:ext uri="{FF2B5EF4-FFF2-40B4-BE49-F238E27FC236}">
              <a16:creationId xmlns:a16="http://schemas.microsoft.com/office/drawing/2014/main" id="{00000000-0008-0000-0600-0000F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a:extLst>
            <a:ext uri="{FF2B5EF4-FFF2-40B4-BE49-F238E27FC236}">
              <a16:creationId xmlns:a16="http://schemas.microsoft.com/office/drawing/2014/main" id="{00000000-0008-0000-0600-0000F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a:extLst>
            <a:ext uri="{FF2B5EF4-FFF2-40B4-BE49-F238E27FC236}">
              <a16:creationId xmlns:a16="http://schemas.microsoft.com/office/drawing/2014/main" id="{00000000-0008-0000-0600-0000F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a:extLst>
            <a:ext uri="{FF2B5EF4-FFF2-40B4-BE49-F238E27FC236}">
              <a16:creationId xmlns:a16="http://schemas.microsoft.com/office/drawing/2014/main" id="{00000000-0008-0000-0600-0000F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a:extLst>
            <a:ext uri="{FF2B5EF4-FFF2-40B4-BE49-F238E27FC236}">
              <a16:creationId xmlns:a16="http://schemas.microsoft.com/office/drawing/2014/main" id="{00000000-0008-0000-0600-0000F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a:extLst>
            <a:ext uri="{FF2B5EF4-FFF2-40B4-BE49-F238E27FC236}">
              <a16:creationId xmlns:a16="http://schemas.microsoft.com/office/drawing/2014/main" id="{00000000-0008-0000-0600-0000F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a:extLst>
            <a:ext uri="{FF2B5EF4-FFF2-40B4-BE49-F238E27FC236}">
              <a16:creationId xmlns:a16="http://schemas.microsoft.com/office/drawing/2014/main" id="{00000000-0008-0000-0600-0000F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a:extLst>
            <a:ext uri="{FF2B5EF4-FFF2-40B4-BE49-F238E27FC236}">
              <a16:creationId xmlns:a16="http://schemas.microsoft.com/office/drawing/2014/main" id="{00000000-0008-0000-0600-0000F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a:extLst>
            <a:ext uri="{FF2B5EF4-FFF2-40B4-BE49-F238E27FC236}">
              <a16:creationId xmlns:a16="http://schemas.microsoft.com/office/drawing/2014/main" id="{00000000-0008-0000-0600-0000F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a:extLst>
            <a:ext uri="{FF2B5EF4-FFF2-40B4-BE49-F238E27FC236}">
              <a16:creationId xmlns:a16="http://schemas.microsoft.com/office/drawing/2014/main" id="{00000000-0008-0000-0600-0000F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a:extLst>
            <a:ext uri="{FF2B5EF4-FFF2-40B4-BE49-F238E27FC236}">
              <a16:creationId xmlns:a16="http://schemas.microsoft.com/office/drawing/2014/main" id="{00000000-0008-0000-0600-0000F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a:extLst>
            <a:ext uri="{FF2B5EF4-FFF2-40B4-BE49-F238E27FC236}">
              <a16:creationId xmlns:a16="http://schemas.microsoft.com/office/drawing/2014/main" id="{00000000-0008-0000-0600-0000F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a:extLst>
            <a:ext uri="{FF2B5EF4-FFF2-40B4-BE49-F238E27FC236}">
              <a16:creationId xmlns:a16="http://schemas.microsoft.com/office/drawing/2014/main" id="{00000000-0008-0000-0600-0000F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a:extLst>
            <a:ext uri="{FF2B5EF4-FFF2-40B4-BE49-F238E27FC236}">
              <a16:creationId xmlns:a16="http://schemas.microsoft.com/office/drawing/2014/main" id="{00000000-0008-0000-0600-0000F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a:extLst>
            <a:ext uri="{FF2B5EF4-FFF2-40B4-BE49-F238E27FC236}">
              <a16:creationId xmlns:a16="http://schemas.microsoft.com/office/drawing/2014/main" id="{00000000-0008-0000-0600-0000F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a:extLst>
            <a:ext uri="{FF2B5EF4-FFF2-40B4-BE49-F238E27FC236}">
              <a16:creationId xmlns:a16="http://schemas.microsoft.com/office/drawing/2014/main" id="{00000000-0008-0000-0600-0000F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a:extLst>
            <a:ext uri="{FF2B5EF4-FFF2-40B4-BE49-F238E27FC236}">
              <a16:creationId xmlns:a16="http://schemas.microsoft.com/office/drawing/2014/main" id="{00000000-0008-0000-0600-00000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a:extLst>
            <a:ext uri="{FF2B5EF4-FFF2-40B4-BE49-F238E27FC236}">
              <a16:creationId xmlns:a16="http://schemas.microsoft.com/office/drawing/2014/main" id="{00000000-0008-0000-0600-00000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a:extLst>
            <a:ext uri="{FF2B5EF4-FFF2-40B4-BE49-F238E27FC236}">
              <a16:creationId xmlns:a16="http://schemas.microsoft.com/office/drawing/2014/main" id="{00000000-0008-0000-0600-00000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a:extLst>
            <a:ext uri="{FF2B5EF4-FFF2-40B4-BE49-F238E27FC236}">
              <a16:creationId xmlns:a16="http://schemas.microsoft.com/office/drawing/2014/main" id="{00000000-0008-0000-0600-00000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a:extLst>
            <a:ext uri="{FF2B5EF4-FFF2-40B4-BE49-F238E27FC236}">
              <a16:creationId xmlns:a16="http://schemas.microsoft.com/office/drawing/2014/main" id="{00000000-0008-0000-0600-00000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a:extLst>
            <a:ext uri="{FF2B5EF4-FFF2-40B4-BE49-F238E27FC236}">
              <a16:creationId xmlns:a16="http://schemas.microsoft.com/office/drawing/2014/main" id="{00000000-0008-0000-0600-00000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a:extLst>
            <a:ext uri="{FF2B5EF4-FFF2-40B4-BE49-F238E27FC236}">
              <a16:creationId xmlns:a16="http://schemas.microsoft.com/office/drawing/2014/main" id="{00000000-0008-0000-0600-00000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a:extLst>
            <a:ext uri="{FF2B5EF4-FFF2-40B4-BE49-F238E27FC236}">
              <a16:creationId xmlns:a16="http://schemas.microsoft.com/office/drawing/2014/main" id="{00000000-0008-0000-0600-00000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a:extLst>
            <a:ext uri="{FF2B5EF4-FFF2-40B4-BE49-F238E27FC236}">
              <a16:creationId xmlns:a16="http://schemas.microsoft.com/office/drawing/2014/main" id="{00000000-0008-0000-0600-00000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a:extLst>
            <a:ext uri="{FF2B5EF4-FFF2-40B4-BE49-F238E27FC236}">
              <a16:creationId xmlns:a16="http://schemas.microsoft.com/office/drawing/2014/main" id="{00000000-0008-0000-0600-00000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a:extLst>
            <a:ext uri="{FF2B5EF4-FFF2-40B4-BE49-F238E27FC236}">
              <a16:creationId xmlns:a16="http://schemas.microsoft.com/office/drawing/2014/main" id="{00000000-0008-0000-0600-00000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a:extLst>
            <a:ext uri="{FF2B5EF4-FFF2-40B4-BE49-F238E27FC236}">
              <a16:creationId xmlns:a16="http://schemas.microsoft.com/office/drawing/2014/main" id="{00000000-0008-0000-0600-00000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a:extLst>
            <a:ext uri="{FF2B5EF4-FFF2-40B4-BE49-F238E27FC236}">
              <a16:creationId xmlns:a16="http://schemas.microsoft.com/office/drawing/2014/main" id="{00000000-0008-0000-0600-00000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a:extLst>
            <a:ext uri="{FF2B5EF4-FFF2-40B4-BE49-F238E27FC236}">
              <a16:creationId xmlns:a16="http://schemas.microsoft.com/office/drawing/2014/main" id="{00000000-0008-0000-0600-00000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a:extLst>
            <a:ext uri="{FF2B5EF4-FFF2-40B4-BE49-F238E27FC236}">
              <a16:creationId xmlns:a16="http://schemas.microsoft.com/office/drawing/2014/main" id="{00000000-0008-0000-0600-00000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a:extLst>
            <a:ext uri="{FF2B5EF4-FFF2-40B4-BE49-F238E27FC236}">
              <a16:creationId xmlns:a16="http://schemas.microsoft.com/office/drawing/2014/main" id="{00000000-0008-0000-0600-00000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a:extLst>
            <a:ext uri="{FF2B5EF4-FFF2-40B4-BE49-F238E27FC236}">
              <a16:creationId xmlns:a16="http://schemas.microsoft.com/office/drawing/2014/main" id="{00000000-0008-0000-0600-00001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a:extLst>
            <a:ext uri="{FF2B5EF4-FFF2-40B4-BE49-F238E27FC236}">
              <a16:creationId xmlns:a16="http://schemas.microsoft.com/office/drawing/2014/main" id="{00000000-0008-0000-0600-00001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a:extLst>
            <a:ext uri="{FF2B5EF4-FFF2-40B4-BE49-F238E27FC236}">
              <a16:creationId xmlns:a16="http://schemas.microsoft.com/office/drawing/2014/main" id="{00000000-0008-0000-0600-00001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a:extLst>
            <a:ext uri="{FF2B5EF4-FFF2-40B4-BE49-F238E27FC236}">
              <a16:creationId xmlns:a16="http://schemas.microsoft.com/office/drawing/2014/main" id="{00000000-0008-0000-0600-00001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a:extLst>
            <a:ext uri="{FF2B5EF4-FFF2-40B4-BE49-F238E27FC236}">
              <a16:creationId xmlns:a16="http://schemas.microsoft.com/office/drawing/2014/main" id="{00000000-0008-0000-0600-00001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a:extLst>
            <a:ext uri="{FF2B5EF4-FFF2-40B4-BE49-F238E27FC236}">
              <a16:creationId xmlns:a16="http://schemas.microsoft.com/office/drawing/2014/main" id="{00000000-0008-0000-0600-00001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a:extLst>
            <a:ext uri="{FF2B5EF4-FFF2-40B4-BE49-F238E27FC236}">
              <a16:creationId xmlns:a16="http://schemas.microsoft.com/office/drawing/2014/main" id="{00000000-0008-0000-0600-00001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a:extLst>
            <a:ext uri="{FF2B5EF4-FFF2-40B4-BE49-F238E27FC236}">
              <a16:creationId xmlns:a16="http://schemas.microsoft.com/office/drawing/2014/main" id="{00000000-0008-0000-0600-00001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a:extLst>
            <a:ext uri="{FF2B5EF4-FFF2-40B4-BE49-F238E27FC236}">
              <a16:creationId xmlns:a16="http://schemas.microsoft.com/office/drawing/2014/main" id="{00000000-0008-0000-0600-00001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a:extLst>
            <a:ext uri="{FF2B5EF4-FFF2-40B4-BE49-F238E27FC236}">
              <a16:creationId xmlns:a16="http://schemas.microsoft.com/office/drawing/2014/main" id="{00000000-0008-0000-0600-00001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a:extLst>
            <a:ext uri="{FF2B5EF4-FFF2-40B4-BE49-F238E27FC236}">
              <a16:creationId xmlns:a16="http://schemas.microsoft.com/office/drawing/2014/main" id="{00000000-0008-0000-0600-00001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a:extLst>
            <a:ext uri="{FF2B5EF4-FFF2-40B4-BE49-F238E27FC236}">
              <a16:creationId xmlns:a16="http://schemas.microsoft.com/office/drawing/2014/main" id="{00000000-0008-0000-0600-00001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a:extLst>
            <a:ext uri="{FF2B5EF4-FFF2-40B4-BE49-F238E27FC236}">
              <a16:creationId xmlns:a16="http://schemas.microsoft.com/office/drawing/2014/main" id="{00000000-0008-0000-0600-00001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a:extLst>
            <a:ext uri="{FF2B5EF4-FFF2-40B4-BE49-F238E27FC236}">
              <a16:creationId xmlns:a16="http://schemas.microsoft.com/office/drawing/2014/main" id="{00000000-0008-0000-0600-00001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a:extLst>
            <a:ext uri="{FF2B5EF4-FFF2-40B4-BE49-F238E27FC236}">
              <a16:creationId xmlns:a16="http://schemas.microsoft.com/office/drawing/2014/main" id="{00000000-0008-0000-0600-00001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a:extLst>
            <a:ext uri="{FF2B5EF4-FFF2-40B4-BE49-F238E27FC236}">
              <a16:creationId xmlns:a16="http://schemas.microsoft.com/office/drawing/2014/main" id="{00000000-0008-0000-0600-00001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a:extLst>
            <a:ext uri="{FF2B5EF4-FFF2-40B4-BE49-F238E27FC236}">
              <a16:creationId xmlns:a16="http://schemas.microsoft.com/office/drawing/2014/main" id="{00000000-0008-0000-0600-00002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a:extLst>
            <a:ext uri="{FF2B5EF4-FFF2-40B4-BE49-F238E27FC236}">
              <a16:creationId xmlns:a16="http://schemas.microsoft.com/office/drawing/2014/main" id="{00000000-0008-0000-0600-00002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a:extLst>
            <a:ext uri="{FF2B5EF4-FFF2-40B4-BE49-F238E27FC236}">
              <a16:creationId xmlns:a16="http://schemas.microsoft.com/office/drawing/2014/main" id="{00000000-0008-0000-0600-00002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a:extLst>
            <a:ext uri="{FF2B5EF4-FFF2-40B4-BE49-F238E27FC236}">
              <a16:creationId xmlns:a16="http://schemas.microsoft.com/office/drawing/2014/main" id="{00000000-0008-0000-0600-00002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a:extLst>
            <a:ext uri="{FF2B5EF4-FFF2-40B4-BE49-F238E27FC236}">
              <a16:creationId xmlns:a16="http://schemas.microsoft.com/office/drawing/2014/main" id="{00000000-0008-0000-0600-00002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a:extLst>
            <a:ext uri="{FF2B5EF4-FFF2-40B4-BE49-F238E27FC236}">
              <a16:creationId xmlns:a16="http://schemas.microsoft.com/office/drawing/2014/main" id="{00000000-0008-0000-0600-00002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a:extLst>
            <a:ext uri="{FF2B5EF4-FFF2-40B4-BE49-F238E27FC236}">
              <a16:creationId xmlns:a16="http://schemas.microsoft.com/office/drawing/2014/main" id="{00000000-0008-0000-0600-00002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a:extLst>
            <a:ext uri="{FF2B5EF4-FFF2-40B4-BE49-F238E27FC236}">
              <a16:creationId xmlns:a16="http://schemas.microsoft.com/office/drawing/2014/main" id="{00000000-0008-0000-0600-00002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a:extLst>
            <a:ext uri="{FF2B5EF4-FFF2-40B4-BE49-F238E27FC236}">
              <a16:creationId xmlns:a16="http://schemas.microsoft.com/office/drawing/2014/main" id="{00000000-0008-0000-0600-00002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a:extLst>
            <a:ext uri="{FF2B5EF4-FFF2-40B4-BE49-F238E27FC236}">
              <a16:creationId xmlns:a16="http://schemas.microsoft.com/office/drawing/2014/main" id="{00000000-0008-0000-0600-00002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a:extLst>
            <a:ext uri="{FF2B5EF4-FFF2-40B4-BE49-F238E27FC236}">
              <a16:creationId xmlns:a16="http://schemas.microsoft.com/office/drawing/2014/main" id="{00000000-0008-0000-0600-00002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a:extLst>
            <a:ext uri="{FF2B5EF4-FFF2-40B4-BE49-F238E27FC236}">
              <a16:creationId xmlns:a16="http://schemas.microsoft.com/office/drawing/2014/main" id="{00000000-0008-0000-0600-00002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a:extLst>
            <a:ext uri="{FF2B5EF4-FFF2-40B4-BE49-F238E27FC236}">
              <a16:creationId xmlns:a16="http://schemas.microsoft.com/office/drawing/2014/main" id="{00000000-0008-0000-0600-00002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a:extLst>
            <a:ext uri="{FF2B5EF4-FFF2-40B4-BE49-F238E27FC236}">
              <a16:creationId xmlns:a16="http://schemas.microsoft.com/office/drawing/2014/main" id="{00000000-0008-0000-0600-00002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a:extLst>
            <a:ext uri="{FF2B5EF4-FFF2-40B4-BE49-F238E27FC236}">
              <a16:creationId xmlns:a16="http://schemas.microsoft.com/office/drawing/2014/main" id="{00000000-0008-0000-0600-00002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a:extLst>
            <a:ext uri="{FF2B5EF4-FFF2-40B4-BE49-F238E27FC236}">
              <a16:creationId xmlns:a16="http://schemas.microsoft.com/office/drawing/2014/main" id="{00000000-0008-0000-0600-00002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a:extLst>
            <a:ext uri="{FF2B5EF4-FFF2-40B4-BE49-F238E27FC236}">
              <a16:creationId xmlns:a16="http://schemas.microsoft.com/office/drawing/2014/main" id="{00000000-0008-0000-0600-00003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a:extLst>
            <a:ext uri="{FF2B5EF4-FFF2-40B4-BE49-F238E27FC236}">
              <a16:creationId xmlns:a16="http://schemas.microsoft.com/office/drawing/2014/main" id="{00000000-0008-0000-0600-00003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a:extLst>
            <a:ext uri="{FF2B5EF4-FFF2-40B4-BE49-F238E27FC236}">
              <a16:creationId xmlns:a16="http://schemas.microsoft.com/office/drawing/2014/main" id="{00000000-0008-0000-0600-00003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a:extLst>
            <a:ext uri="{FF2B5EF4-FFF2-40B4-BE49-F238E27FC236}">
              <a16:creationId xmlns:a16="http://schemas.microsoft.com/office/drawing/2014/main" id="{00000000-0008-0000-0600-00003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a:extLst>
            <a:ext uri="{FF2B5EF4-FFF2-40B4-BE49-F238E27FC236}">
              <a16:creationId xmlns:a16="http://schemas.microsoft.com/office/drawing/2014/main" id="{00000000-0008-0000-0600-00003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a:extLst>
            <a:ext uri="{FF2B5EF4-FFF2-40B4-BE49-F238E27FC236}">
              <a16:creationId xmlns:a16="http://schemas.microsoft.com/office/drawing/2014/main" id="{00000000-0008-0000-0600-00003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a:extLst>
            <a:ext uri="{FF2B5EF4-FFF2-40B4-BE49-F238E27FC236}">
              <a16:creationId xmlns:a16="http://schemas.microsoft.com/office/drawing/2014/main" id="{00000000-0008-0000-0600-00003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a:extLst>
            <a:ext uri="{FF2B5EF4-FFF2-40B4-BE49-F238E27FC236}">
              <a16:creationId xmlns:a16="http://schemas.microsoft.com/office/drawing/2014/main" id="{00000000-0008-0000-0600-00003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a:extLst>
            <a:ext uri="{FF2B5EF4-FFF2-40B4-BE49-F238E27FC236}">
              <a16:creationId xmlns:a16="http://schemas.microsoft.com/office/drawing/2014/main" id="{00000000-0008-0000-0600-00003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a:extLst>
            <a:ext uri="{FF2B5EF4-FFF2-40B4-BE49-F238E27FC236}">
              <a16:creationId xmlns:a16="http://schemas.microsoft.com/office/drawing/2014/main" id="{00000000-0008-0000-0600-00003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a:extLst>
            <a:ext uri="{FF2B5EF4-FFF2-40B4-BE49-F238E27FC236}">
              <a16:creationId xmlns:a16="http://schemas.microsoft.com/office/drawing/2014/main" id="{00000000-0008-0000-0600-00003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a:extLst>
            <a:ext uri="{FF2B5EF4-FFF2-40B4-BE49-F238E27FC236}">
              <a16:creationId xmlns:a16="http://schemas.microsoft.com/office/drawing/2014/main" id="{00000000-0008-0000-0600-00003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a:extLst>
            <a:ext uri="{FF2B5EF4-FFF2-40B4-BE49-F238E27FC236}">
              <a16:creationId xmlns:a16="http://schemas.microsoft.com/office/drawing/2014/main" id="{00000000-0008-0000-0600-00003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a:extLst>
            <a:ext uri="{FF2B5EF4-FFF2-40B4-BE49-F238E27FC236}">
              <a16:creationId xmlns:a16="http://schemas.microsoft.com/office/drawing/2014/main" id="{00000000-0008-0000-0600-00003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a:extLst>
            <a:ext uri="{FF2B5EF4-FFF2-40B4-BE49-F238E27FC236}">
              <a16:creationId xmlns:a16="http://schemas.microsoft.com/office/drawing/2014/main" id="{00000000-0008-0000-0600-00003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a:extLst>
            <a:ext uri="{FF2B5EF4-FFF2-40B4-BE49-F238E27FC236}">
              <a16:creationId xmlns:a16="http://schemas.microsoft.com/office/drawing/2014/main" id="{00000000-0008-0000-0600-00003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a:extLst>
            <a:ext uri="{FF2B5EF4-FFF2-40B4-BE49-F238E27FC236}">
              <a16:creationId xmlns:a16="http://schemas.microsoft.com/office/drawing/2014/main" id="{00000000-0008-0000-0600-00004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a:extLst>
            <a:ext uri="{FF2B5EF4-FFF2-40B4-BE49-F238E27FC236}">
              <a16:creationId xmlns:a16="http://schemas.microsoft.com/office/drawing/2014/main" id="{00000000-0008-0000-0600-00004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a:extLst>
            <a:ext uri="{FF2B5EF4-FFF2-40B4-BE49-F238E27FC236}">
              <a16:creationId xmlns:a16="http://schemas.microsoft.com/office/drawing/2014/main" id="{00000000-0008-0000-0600-00004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a:extLst>
            <a:ext uri="{FF2B5EF4-FFF2-40B4-BE49-F238E27FC236}">
              <a16:creationId xmlns:a16="http://schemas.microsoft.com/office/drawing/2014/main" id="{00000000-0008-0000-0600-00004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a:extLst>
            <a:ext uri="{FF2B5EF4-FFF2-40B4-BE49-F238E27FC236}">
              <a16:creationId xmlns:a16="http://schemas.microsoft.com/office/drawing/2014/main" id="{00000000-0008-0000-0600-00004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a:extLst>
            <a:ext uri="{FF2B5EF4-FFF2-40B4-BE49-F238E27FC236}">
              <a16:creationId xmlns:a16="http://schemas.microsoft.com/office/drawing/2014/main" id="{00000000-0008-0000-0600-00004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a:extLst>
            <a:ext uri="{FF2B5EF4-FFF2-40B4-BE49-F238E27FC236}">
              <a16:creationId xmlns:a16="http://schemas.microsoft.com/office/drawing/2014/main" id="{00000000-0008-0000-0600-00004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a:extLst>
            <a:ext uri="{FF2B5EF4-FFF2-40B4-BE49-F238E27FC236}">
              <a16:creationId xmlns:a16="http://schemas.microsoft.com/office/drawing/2014/main" id="{00000000-0008-0000-0600-00004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a:extLst>
            <a:ext uri="{FF2B5EF4-FFF2-40B4-BE49-F238E27FC236}">
              <a16:creationId xmlns:a16="http://schemas.microsoft.com/office/drawing/2014/main" id="{00000000-0008-0000-0600-00004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a:extLst>
            <a:ext uri="{FF2B5EF4-FFF2-40B4-BE49-F238E27FC236}">
              <a16:creationId xmlns:a16="http://schemas.microsoft.com/office/drawing/2014/main" id="{00000000-0008-0000-0600-00004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a:extLst>
            <a:ext uri="{FF2B5EF4-FFF2-40B4-BE49-F238E27FC236}">
              <a16:creationId xmlns:a16="http://schemas.microsoft.com/office/drawing/2014/main" id="{00000000-0008-0000-0600-00004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a:extLst>
            <a:ext uri="{FF2B5EF4-FFF2-40B4-BE49-F238E27FC236}">
              <a16:creationId xmlns:a16="http://schemas.microsoft.com/office/drawing/2014/main" id="{00000000-0008-0000-0600-00004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a:extLst>
            <a:ext uri="{FF2B5EF4-FFF2-40B4-BE49-F238E27FC236}">
              <a16:creationId xmlns:a16="http://schemas.microsoft.com/office/drawing/2014/main" id="{00000000-0008-0000-0600-00004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a:extLst>
            <a:ext uri="{FF2B5EF4-FFF2-40B4-BE49-F238E27FC236}">
              <a16:creationId xmlns:a16="http://schemas.microsoft.com/office/drawing/2014/main" id="{00000000-0008-0000-0600-00004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a:extLst>
            <a:ext uri="{FF2B5EF4-FFF2-40B4-BE49-F238E27FC236}">
              <a16:creationId xmlns:a16="http://schemas.microsoft.com/office/drawing/2014/main" id="{00000000-0008-0000-0600-00004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a:extLst>
            <a:ext uri="{FF2B5EF4-FFF2-40B4-BE49-F238E27FC236}">
              <a16:creationId xmlns:a16="http://schemas.microsoft.com/office/drawing/2014/main" id="{00000000-0008-0000-0600-00004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a:extLst>
            <a:ext uri="{FF2B5EF4-FFF2-40B4-BE49-F238E27FC236}">
              <a16:creationId xmlns:a16="http://schemas.microsoft.com/office/drawing/2014/main" id="{00000000-0008-0000-0600-00005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a:extLst>
            <a:ext uri="{FF2B5EF4-FFF2-40B4-BE49-F238E27FC236}">
              <a16:creationId xmlns:a16="http://schemas.microsoft.com/office/drawing/2014/main" id="{00000000-0008-0000-0600-00005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a:extLst>
            <a:ext uri="{FF2B5EF4-FFF2-40B4-BE49-F238E27FC236}">
              <a16:creationId xmlns:a16="http://schemas.microsoft.com/office/drawing/2014/main" id="{00000000-0008-0000-0600-00005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a:extLst>
            <a:ext uri="{FF2B5EF4-FFF2-40B4-BE49-F238E27FC236}">
              <a16:creationId xmlns:a16="http://schemas.microsoft.com/office/drawing/2014/main" id="{00000000-0008-0000-0600-00005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a:extLst>
            <a:ext uri="{FF2B5EF4-FFF2-40B4-BE49-F238E27FC236}">
              <a16:creationId xmlns:a16="http://schemas.microsoft.com/office/drawing/2014/main" id="{00000000-0008-0000-0600-00005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a:extLst>
            <a:ext uri="{FF2B5EF4-FFF2-40B4-BE49-F238E27FC236}">
              <a16:creationId xmlns:a16="http://schemas.microsoft.com/office/drawing/2014/main" id="{00000000-0008-0000-0600-00005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a:extLst>
            <a:ext uri="{FF2B5EF4-FFF2-40B4-BE49-F238E27FC236}">
              <a16:creationId xmlns:a16="http://schemas.microsoft.com/office/drawing/2014/main" id="{00000000-0008-0000-0600-00005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a:extLst>
            <a:ext uri="{FF2B5EF4-FFF2-40B4-BE49-F238E27FC236}">
              <a16:creationId xmlns:a16="http://schemas.microsoft.com/office/drawing/2014/main" id="{00000000-0008-0000-0600-00005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a:extLst>
            <a:ext uri="{FF2B5EF4-FFF2-40B4-BE49-F238E27FC236}">
              <a16:creationId xmlns:a16="http://schemas.microsoft.com/office/drawing/2014/main" id="{00000000-0008-0000-0600-00005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a:extLst>
            <a:ext uri="{FF2B5EF4-FFF2-40B4-BE49-F238E27FC236}">
              <a16:creationId xmlns:a16="http://schemas.microsoft.com/office/drawing/2014/main" id="{00000000-0008-0000-0600-00005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a:extLst>
            <a:ext uri="{FF2B5EF4-FFF2-40B4-BE49-F238E27FC236}">
              <a16:creationId xmlns:a16="http://schemas.microsoft.com/office/drawing/2014/main" id="{00000000-0008-0000-0600-00005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a:extLst>
            <a:ext uri="{FF2B5EF4-FFF2-40B4-BE49-F238E27FC236}">
              <a16:creationId xmlns:a16="http://schemas.microsoft.com/office/drawing/2014/main" id="{00000000-0008-0000-0600-00005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a:extLst>
            <a:ext uri="{FF2B5EF4-FFF2-40B4-BE49-F238E27FC236}">
              <a16:creationId xmlns:a16="http://schemas.microsoft.com/office/drawing/2014/main" id="{00000000-0008-0000-0600-00005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a:extLst>
            <a:ext uri="{FF2B5EF4-FFF2-40B4-BE49-F238E27FC236}">
              <a16:creationId xmlns:a16="http://schemas.microsoft.com/office/drawing/2014/main" id="{00000000-0008-0000-0600-00005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a:extLst>
            <a:ext uri="{FF2B5EF4-FFF2-40B4-BE49-F238E27FC236}">
              <a16:creationId xmlns:a16="http://schemas.microsoft.com/office/drawing/2014/main" id="{00000000-0008-0000-0600-00005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a:extLst>
            <a:ext uri="{FF2B5EF4-FFF2-40B4-BE49-F238E27FC236}">
              <a16:creationId xmlns:a16="http://schemas.microsoft.com/office/drawing/2014/main" id="{00000000-0008-0000-0600-00005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a:extLst>
            <a:ext uri="{FF2B5EF4-FFF2-40B4-BE49-F238E27FC236}">
              <a16:creationId xmlns:a16="http://schemas.microsoft.com/office/drawing/2014/main" id="{00000000-0008-0000-0600-00006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a:extLst>
            <a:ext uri="{FF2B5EF4-FFF2-40B4-BE49-F238E27FC236}">
              <a16:creationId xmlns:a16="http://schemas.microsoft.com/office/drawing/2014/main" id="{00000000-0008-0000-0600-00006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a:extLst>
            <a:ext uri="{FF2B5EF4-FFF2-40B4-BE49-F238E27FC236}">
              <a16:creationId xmlns:a16="http://schemas.microsoft.com/office/drawing/2014/main" id="{00000000-0008-0000-0600-00006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a:extLst>
            <a:ext uri="{FF2B5EF4-FFF2-40B4-BE49-F238E27FC236}">
              <a16:creationId xmlns:a16="http://schemas.microsoft.com/office/drawing/2014/main" id="{00000000-0008-0000-0600-00006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a:extLst>
            <a:ext uri="{FF2B5EF4-FFF2-40B4-BE49-F238E27FC236}">
              <a16:creationId xmlns:a16="http://schemas.microsoft.com/office/drawing/2014/main" id="{00000000-0008-0000-0600-00006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a:extLst>
            <a:ext uri="{FF2B5EF4-FFF2-40B4-BE49-F238E27FC236}">
              <a16:creationId xmlns:a16="http://schemas.microsoft.com/office/drawing/2014/main" id="{00000000-0008-0000-0600-00006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a:extLst>
            <a:ext uri="{FF2B5EF4-FFF2-40B4-BE49-F238E27FC236}">
              <a16:creationId xmlns:a16="http://schemas.microsoft.com/office/drawing/2014/main" id="{00000000-0008-0000-0600-00006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a:extLst>
            <a:ext uri="{FF2B5EF4-FFF2-40B4-BE49-F238E27FC236}">
              <a16:creationId xmlns:a16="http://schemas.microsoft.com/office/drawing/2014/main" id="{00000000-0008-0000-0600-00006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a:extLst>
            <a:ext uri="{FF2B5EF4-FFF2-40B4-BE49-F238E27FC236}">
              <a16:creationId xmlns:a16="http://schemas.microsoft.com/office/drawing/2014/main" id="{00000000-0008-0000-0600-00006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a:extLst>
            <a:ext uri="{FF2B5EF4-FFF2-40B4-BE49-F238E27FC236}">
              <a16:creationId xmlns:a16="http://schemas.microsoft.com/office/drawing/2014/main" id="{00000000-0008-0000-0600-00006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a:extLst>
            <a:ext uri="{FF2B5EF4-FFF2-40B4-BE49-F238E27FC236}">
              <a16:creationId xmlns:a16="http://schemas.microsoft.com/office/drawing/2014/main" id="{00000000-0008-0000-0600-00006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a:extLst>
            <a:ext uri="{FF2B5EF4-FFF2-40B4-BE49-F238E27FC236}">
              <a16:creationId xmlns:a16="http://schemas.microsoft.com/office/drawing/2014/main" id="{00000000-0008-0000-0600-00006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a:extLst>
            <a:ext uri="{FF2B5EF4-FFF2-40B4-BE49-F238E27FC236}">
              <a16:creationId xmlns:a16="http://schemas.microsoft.com/office/drawing/2014/main" id="{00000000-0008-0000-0600-00006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a:extLst>
            <a:ext uri="{FF2B5EF4-FFF2-40B4-BE49-F238E27FC236}">
              <a16:creationId xmlns:a16="http://schemas.microsoft.com/office/drawing/2014/main" id="{00000000-0008-0000-0600-00006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a:extLst>
            <a:ext uri="{FF2B5EF4-FFF2-40B4-BE49-F238E27FC236}">
              <a16:creationId xmlns:a16="http://schemas.microsoft.com/office/drawing/2014/main" id="{00000000-0008-0000-0600-00006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a:extLst>
            <a:ext uri="{FF2B5EF4-FFF2-40B4-BE49-F238E27FC236}">
              <a16:creationId xmlns:a16="http://schemas.microsoft.com/office/drawing/2014/main" id="{00000000-0008-0000-0600-00006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a:extLst>
            <a:ext uri="{FF2B5EF4-FFF2-40B4-BE49-F238E27FC236}">
              <a16:creationId xmlns:a16="http://schemas.microsoft.com/office/drawing/2014/main" id="{00000000-0008-0000-0600-00007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a:extLst>
            <a:ext uri="{FF2B5EF4-FFF2-40B4-BE49-F238E27FC236}">
              <a16:creationId xmlns:a16="http://schemas.microsoft.com/office/drawing/2014/main" id="{00000000-0008-0000-0600-00007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a:extLst>
            <a:ext uri="{FF2B5EF4-FFF2-40B4-BE49-F238E27FC236}">
              <a16:creationId xmlns:a16="http://schemas.microsoft.com/office/drawing/2014/main" id="{00000000-0008-0000-0600-00007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a:extLst>
            <a:ext uri="{FF2B5EF4-FFF2-40B4-BE49-F238E27FC236}">
              <a16:creationId xmlns:a16="http://schemas.microsoft.com/office/drawing/2014/main" id="{00000000-0008-0000-0600-00007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a:extLst>
            <a:ext uri="{FF2B5EF4-FFF2-40B4-BE49-F238E27FC236}">
              <a16:creationId xmlns:a16="http://schemas.microsoft.com/office/drawing/2014/main" id="{00000000-0008-0000-0600-00007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a:extLst>
            <a:ext uri="{FF2B5EF4-FFF2-40B4-BE49-F238E27FC236}">
              <a16:creationId xmlns:a16="http://schemas.microsoft.com/office/drawing/2014/main" id="{00000000-0008-0000-0600-00007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a:extLst>
            <a:ext uri="{FF2B5EF4-FFF2-40B4-BE49-F238E27FC236}">
              <a16:creationId xmlns:a16="http://schemas.microsoft.com/office/drawing/2014/main" id="{00000000-0008-0000-0600-00007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a:extLst>
            <a:ext uri="{FF2B5EF4-FFF2-40B4-BE49-F238E27FC236}">
              <a16:creationId xmlns:a16="http://schemas.microsoft.com/office/drawing/2014/main" id="{00000000-0008-0000-0600-00007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a:extLst>
            <a:ext uri="{FF2B5EF4-FFF2-40B4-BE49-F238E27FC236}">
              <a16:creationId xmlns:a16="http://schemas.microsoft.com/office/drawing/2014/main" id="{00000000-0008-0000-0600-00007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a:extLst>
            <a:ext uri="{FF2B5EF4-FFF2-40B4-BE49-F238E27FC236}">
              <a16:creationId xmlns:a16="http://schemas.microsoft.com/office/drawing/2014/main" id="{00000000-0008-0000-0600-00007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a:extLst>
            <a:ext uri="{FF2B5EF4-FFF2-40B4-BE49-F238E27FC236}">
              <a16:creationId xmlns:a16="http://schemas.microsoft.com/office/drawing/2014/main" id="{00000000-0008-0000-0600-00007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a:extLst>
            <a:ext uri="{FF2B5EF4-FFF2-40B4-BE49-F238E27FC236}">
              <a16:creationId xmlns:a16="http://schemas.microsoft.com/office/drawing/2014/main" id="{00000000-0008-0000-0600-00007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a:extLst>
            <a:ext uri="{FF2B5EF4-FFF2-40B4-BE49-F238E27FC236}">
              <a16:creationId xmlns:a16="http://schemas.microsoft.com/office/drawing/2014/main" id="{00000000-0008-0000-0600-00007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a:extLst>
            <a:ext uri="{FF2B5EF4-FFF2-40B4-BE49-F238E27FC236}">
              <a16:creationId xmlns:a16="http://schemas.microsoft.com/office/drawing/2014/main" id="{00000000-0008-0000-0600-00007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a:extLst>
            <a:ext uri="{FF2B5EF4-FFF2-40B4-BE49-F238E27FC236}">
              <a16:creationId xmlns:a16="http://schemas.microsoft.com/office/drawing/2014/main" id="{00000000-0008-0000-0600-00007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a:extLst>
            <a:ext uri="{FF2B5EF4-FFF2-40B4-BE49-F238E27FC236}">
              <a16:creationId xmlns:a16="http://schemas.microsoft.com/office/drawing/2014/main" id="{00000000-0008-0000-0600-00007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a:extLst>
            <a:ext uri="{FF2B5EF4-FFF2-40B4-BE49-F238E27FC236}">
              <a16:creationId xmlns:a16="http://schemas.microsoft.com/office/drawing/2014/main" id="{00000000-0008-0000-0600-00008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a:extLst>
            <a:ext uri="{FF2B5EF4-FFF2-40B4-BE49-F238E27FC236}">
              <a16:creationId xmlns:a16="http://schemas.microsoft.com/office/drawing/2014/main" id="{00000000-0008-0000-0600-00008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a:extLst>
            <a:ext uri="{FF2B5EF4-FFF2-40B4-BE49-F238E27FC236}">
              <a16:creationId xmlns:a16="http://schemas.microsoft.com/office/drawing/2014/main" id="{00000000-0008-0000-0600-00008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a:extLst>
            <a:ext uri="{FF2B5EF4-FFF2-40B4-BE49-F238E27FC236}">
              <a16:creationId xmlns:a16="http://schemas.microsoft.com/office/drawing/2014/main" id="{00000000-0008-0000-0600-00008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a:extLst>
            <a:ext uri="{FF2B5EF4-FFF2-40B4-BE49-F238E27FC236}">
              <a16:creationId xmlns:a16="http://schemas.microsoft.com/office/drawing/2014/main" id="{00000000-0008-0000-0600-00008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a:extLst>
            <a:ext uri="{FF2B5EF4-FFF2-40B4-BE49-F238E27FC236}">
              <a16:creationId xmlns:a16="http://schemas.microsoft.com/office/drawing/2014/main" id="{00000000-0008-0000-0600-00008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a:extLst>
            <a:ext uri="{FF2B5EF4-FFF2-40B4-BE49-F238E27FC236}">
              <a16:creationId xmlns:a16="http://schemas.microsoft.com/office/drawing/2014/main" id="{00000000-0008-0000-0600-00008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a:extLst>
            <a:ext uri="{FF2B5EF4-FFF2-40B4-BE49-F238E27FC236}">
              <a16:creationId xmlns:a16="http://schemas.microsoft.com/office/drawing/2014/main" id="{00000000-0008-0000-0600-00008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a:extLst>
            <a:ext uri="{FF2B5EF4-FFF2-40B4-BE49-F238E27FC236}">
              <a16:creationId xmlns:a16="http://schemas.microsoft.com/office/drawing/2014/main" id="{00000000-0008-0000-0600-00008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a:extLst>
            <a:ext uri="{FF2B5EF4-FFF2-40B4-BE49-F238E27FC236}">
              <a16:creationId xmlns:a16="http://schemas.microsoft.com/office/drawing/2014/main" id="{00000000-0008-0000-0600-00008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a:extLst>
            <a:ext uri="{FF2B5EF4-FFF2-40B4-BE49-F238E27FC236}">
              <a16:creationId xmlns:a16="http://schemas.microsoft.com/office/drawing/2014/main" id="{00000000-0008-0000-0600-00008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a:extLst>
            <a:ext uri="{FF2B5EF4-FFF2-40B4-BE49-F238E27FC236}">
              <a16:creationId xmlns:a16="http://schemas.microsoft.com/office/drawing/2014/main" id="{00000000-0008-0000-0600-00008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a:extLst>
            <a:ext uri="{FF2B5EF4-FFF2-40B4-BE49-F238E27FC236}">
              <a16:creationId xmlns:a16="http://schemas.microsoft.com/office/drawing/2014/main" id="{00000000-0008-0000-0600-00008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a:extLst>
            <a:ext uri="{FF2B5EF4-FFF2-40B4-BE49-F238E27FC236}">
              <a16:creationId xmlns:a16="http://schemas.microsoft.com/office/drawing/2014/main" id="{00000000-0008-0000-0600-00008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a:extLst>
            <a:ext uri="{FF2B5EF4-FFF2-40B4-BE49-F238E27FC236}">
              <a16:creationId xmlns:a16="http://schemas.microsoft.com/office/drawing/2014/main" id="{00000000-0008-0000-0600-00008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a:extLst>
            <a:ext uri="{FF2B5EF4-FFF2-40B4-BE49-F238E27FC236}">
              <a16:creationId xmlns:a16="http://schemas.microsoft.com/office/drawing/2014/main" id="{00000000-0008-0000-0600-00008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a:extLst>
            <a:ext uri="{FF2B5EF4-FFF2-40B4-BE49-F238E27FC236}">
              <a16:creationId xmlns:a16="http://schemas.microsoft.com/office/drawing/2014/main" id="{00000000-0008-0000-0600-00009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a:extLst>
            <a:ext uri="{FF2B5EF4-FFF2-40B4-BE49-F238E27FC236}">
              <a16:creationId xmlns:a16="http://schemas.microsoft.com/office/drawing/2014/main" id="{00000000-0008-0000-0600-00009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a:extLst>
            <a:ext uri="{FF2B5EF4-FFF2-40B4-BE49-F238E27FC236}">
              <a16:creationId xmlns:a16="http://schemas.microsoft.com/office/drawing/2014/main" id="{00000000-0008-0000-0600-00009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a:extLst>
            <a:ext uri="{FF2B5EF4-FFF2-40B4-BE49-F238E27FC236}">
              <a16:creationId xmlns:a16="http://schemas.microsoft.com/office/drawing/2014/main" id="{00000000-0008-0000-0600-00009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a:extLst>
            <a:ext uri="{FF2B5EF4-FFF2-40B4-BE49-F238E27FC236}">
              <a16:creationId xmlns:a16="http://schemas.microsoft.com/office/drawing/2014/main" id="{00000000-0008-0000-0600-00009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a:extLst>
            <a:ext uri="{FF2B5EF4-FFF2-40B4-BE49-F238E27FC236}">
              <a16:creationId xmlns:a16="http://schemas.microsoft.com/office/drawing/2014/main" id="{00000000-0008-0000-0600-00009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a:extLst>
            <a:ext uri="{FF2B5EF4-FFF2-40B4-BE49-F238E27FC236}">
              <a16:creationId xmlns:a16="http://schemas.microsoft.com/office/drawing/2014/main" id="{00000000-0008-0000-0600-00009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a:extLst>
            <a:ext uri="{FF2B5EF4-FFF2-40B4-BE49-F238E27FC236}">
              <a16:creationId xmlns:a16="http://schemas.microsoft.com/office/drawing/2014/main" id="{00000000-0008-0000-0600-00009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a:extLst>
            <a:ext uri="{FF2B5EF4-FFF2-40B4-BE49-F238E27FC236}">
              <a16:creationId xmlns:a16="http://schemas.microsoft.com/office/drawing/2014/main" id="{00000000-0008-0000-0600-00009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a:extLst>
            <a:ext uri="{FF2B5EF4-FFF2-40B4-BE49-F238E27FC236}">
              <a16:creationId xmlns:a16="http://schemas.microsoft.com/office/drawing/2014/main" id="{00000000-0008-0000-0600-00009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a:extLst>
            <a:ext uri="{FF2B5EF4-FFF2-40B4-BE49-F238E27FC236}">
              <a16:creationId xmlns:a16="http://schemas.microsoft.com/office/drawing/2014/main" id="{00000000-0008-0000-0600-00009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a:extLst>
            <a:ext uri="{FF2B5EF4-FFF2-40B4-BE49-F238E27FC236}">
              <a16:creationId xmlns:a16="http://schemas.microsoft.com/office/drawing/2014/main" id="{00000000-0008-0000-0600-00009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a:extLst>
            <a:ext uri="{FF2B5EF4-FFF2-40B4-BE49-F238E27FC236}">
              <a16:creationId xmlns:a16="http://schemas.microsoft.com/office/drawing/2014/main" id="{00000000-0008-0000-0600-00009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a:extLst>
            <a:ext uri="{FF2B5EF4-FFF2-40B4-BE49-F238E27FC236}">
              <a16:creationId xmlns:a16="http://schemas.microsoft.com/office/drawing/2014/main" id="{00000000-0008-0000-0600-00009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a:extLst>
            <a:ext uri="{FF2B5EF4-FFF2-40B4-BE49-F238E27FC236}">
              <a16:creationId xmlns:a16="http://schemas.microsoft.com/office/drawing/2014/main" id="{00000000-0008-0000-0600-00009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a:extLst>
            <a:ext uri="{FF2B5EF4-FFF2-40B4-BE49-F238E27FC236}">
              <a16:creationId xmlns:a16="http://schemas.microsoft.com/office/drawing/2014/main" id="{00000000-0008-0000-0600-00009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a:extLst>
            <a:ext uri="{FF2B5EF4-FFF2-40B4-BE49-F238E27FC236}">
              <a16:creationId xmlns:a16="http://schemas.microsoft.com/office/drawing/2014/main" id="{00000000-0008-0000-0600-0000A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a:extLst>
            <a:ext uri="{FF2B5EF4-FFF2-40B4-BE49-F238E27FC236}">
              <a16:creationId xmlns:a16="http://schemas.microsoft.com/office/drawing/2014/main" id="{00000000-0008-0000-0600-0000A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a:extLst>
            <a:ext uri="{FF2B5EF4-FFF2-40B4-BE49-F238E27FC236}">
              <a16:creationId xmlns:a16="http://schemas.microsoft.com/office/drawing/2014/main" id="{00000000-0008-0000-0600-0000A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a:extLst>
            <a:ext uri="{FF2B5EF4-FFF2-40B4-BE49-F238E27FC236}">
              <a16:creationId xmlns:a16="http://schemas.microsoft.com/office/drawing/2014/main" id="{00000000-0008-0000-0600-0000A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a:extLst>
            <a:ext uri="{FF2B5EF4-FFF2-40B4-BE49-F238E27FC236}">
              <a16:creationId xmlns:a16="http://schemas.microsoft.com/office/drawing/2014/main" id="{00000000-0008-0000-0600-0000A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a:extLst>
            <a:ext uri="{FF2B5EF4-FFF2-40B4-BE49-F238E27FC236}">
              <a16:creationId xmlns:a16="http://schemas.microsoft.com/office/drawing/2014/main" id="{00000000-0008-0000-0600-0000A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a:extLst>
            <a:ext uri="{FF2B5EF4-FFF2-40B4-BE49-F238E27FC236}">
              <a16:creationId xmlns:a16="http://schemas.microsoft.com/office/drawing/2014/main" id="{00000000-0008-0000-0600-0000A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a:extLst>
            <a:ext uri="{FF2B5EF4-FFF2-40B4-BE49-F238E27FC236}">
              <a16:creationId xmlns:a16="http://schemas.microsoft.com/office/drawing/2014/main" id="{00000000-0008-0000-0600-0000A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a:extLst>
            <a:ext uri="{FF2B5EF4-FFF2-40B4-BE49-F238E27FC236}">
              <a16:creationId xmlns:a16="http://schemas.microsoft.com/office/drawing/2014/main" id="{00000000-0008-0000-0600-0000A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a:extLst>
            <a:ext uri="{FF2B5EF4-FFF2-40B4-BE49-F238E27FC236}">
              <a16:creationId xmlns:a16="http://schemas.microsoft.com/office/drawing/2014/main" id="{00000000-0008-0000-0600-0000A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a:extLst>
            <a:ext uri="{FF2B5EF4-FFF2-40B4-BE49-F238E27FC236}">
              <a16:creationId xmlns:a16="http://schemas.microsoft.com/office/drawing/2014/main" id="{00000000-0008-0000-0600-0000A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a:extLst>
            <a:ext uri="{FF2B5EF4-FFF2-40B4-BE49-F238E27FC236}">
              <a16:creationId xmlns:a16="http://schemas.microsoft.com/office/drawing/2014/main" id="{00000000-0008-0000-0600-0000A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a:extLst>
            <a:ext uri="{FF2B5EF4-FFF2-40B4-BE49-F238E27FC236}">
              <a16:creationId xmlns:a16="http://schemas.microsoft.com/office/drawing/2014/main" id="{00000000-0008-0000-0600-0000A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a:extLst>
            <a:ext uri="{FF2B5EF4-FFF2-40B4-BE49-F238E27FC236}">
              <a16:creationId xmlns:a16="http://schemas.microsoft.com/office/drawing/2014/main" id="{00000000-0008-0000-0600-0000A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a:extLst>
            <a:ext uri="{FF2B5EF4-FFF2-40B4-BE49-F238E27FC236}">
              <a16:creationId xmlns:a16="http://schemas.microsoft.com/office/drawing/2014/main" id="{00000000-0008-0000-0600-0000A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a:extLst>
            <a:ext uri="{FF2B5EF4-FFF2-40B4-BE49-F238E27FC236}">
              <a16:creationId xmlns:a16="http://schemas.microsoft.com/office/drawing/2014/main" id="{00000000-0008-0000-0600-0000A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a:extLst>
            <a:ext uri="{FF2B5EF4-FFF2-40B4-BE49-F238E27FC236}">
              <a16:creationId xmlns:a16="http://schemas.microsoft.com/office/drawing/2014/main" id="{00000000-0008-0000-0600-0000B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a:extLst>
            <a:ext uri="{FF2B5EF4-FFF2-40B4-BE49-F238E27FC236}">
              <a16:creationId xmlns:a16="http://schemas.microsoft.com/office/drawing/2014/main" id="{00000000-0008-0000-0600-0000B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a:extLst>
            <a:ext uri="{FF2B5EF4-FFF2-40B4-BE49-F238E27FC236}">
              <a16:creationId xmlns:a16="http://schemas.microsoft.com/office/drawing/2014/main" id="{00000000-0008-0000-0600-0000B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a:extLst>
            <a:ext uri="{FF2B5EF4-FFF2-40B4-BE49-F238E27FC236}">
              <a16:creationId xmlns:a16="http://schemas.microsoft.com/office/drawing/2014/main" id="{00000000-0008-0000-0600-0000B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a:extLst>
            <a:ext uri="{FF2B5EF4-FFF2-40B4-BE49-F238E27FC236}">
              <a16:creationId xmlns:a16="http://schemas.microsoft.com/office/drawing/2014/main" id="{00000000-0008-0000-0600-0000B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a:extLst>
            <a:ext uri="{FF2B5EF4-FFF2-40B4-BE49-F238E27FC236}">
              <a16:creationId xmlns:a16="http://schemas.microsoft.com/office/drawing/2014/main" id="{00000000-0008-0000-0600-0000B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a:extLst>
            <a:ext uri="{FF2B5EF4-FFF2-40B4-BE49-F238E27FC236}">
              <a16:creationId xmlns:a16="http://schemas.microsoft.com/office/drawing/2014/main" id="{00000000-0008-0000-0600-0000B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a:extLst>
            <a:ext uri="{FF2B5EF4-FFF2-40B4-BE49-F238E27FC236}">
              <a16:creationId xmlns:a16="http://schemas.microsoft.com/office/drawing/2014/main" id="{00000000-0008-0000-0600-0000B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a:extLst>
            <a:ext uri="{FF2B5EF4-FFF2-40B4-BE49-F238E27FC236}">
              <a16:creationId xmlns:a16="http://schemas.microsoft.com/office/drawing/2014/main" id="{00000000-0008-0000-0600-0000B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a:extLst>
            <a:ext uri="{FF2B5EF4-FFF2-40B4-BE49-F238E27FC236}">
              <a16:creationId xmlns:a16="http://schemas.microsoft.com/office/drawing/2014/main" id="{00000000-0008-0000-0600-0000B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a:extLst>
            <a:ext uri="{FF2B5EF4-FFF2-40B4-BE49-F238E27FC236}">
              <a16:creationId xmlns:a16="http://schemas.microsoft.com/office/drawing/2014/main" id="{00000000-0008-0000-0600-0000B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a:extLst>
            <a:ext uri="{FF2B5EF4-FFF2-40B4-BE49-F238E27FC236}">
              <a16:creationId xmlns:a16="http://schemas.microsoft.com/office/drawing/2014/main" id="{00000000-0008-0000-0600-0000B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a:extLst>
            <a:ext uri="{FF2B5EF4-FFF2-40B4-BE49-F238E27FC236}">
              <a16:creationId xmlns:a16="http://schemas.microsoft.com/office/drawing/2014/main" id="{00000000-0008-0000-0600-0000B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a:extLst>
            <a:ext uri="{FF2B5EF4-FFF2-40B4-BE49-F238E27FC236}">
              <a16:creationId xmlns:a16="http://schemas.microsoft.com/office/drawing/2014/main" id="{00000000-0008-0000-0600-0000B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a:extLst>
            <a:ext uri="{FF2B5EF4-FFF2-40B4-BE49-F238E27FC236}">
              <a16:creationId xmlns:a16="http://schemas.microsoft.com/office/drawing/2014/main" id="{00000000-0008-0000-0600-0000B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a:extLst>
            <a:ext uri="{FF2B5EF4-FFF2-40B4-BE49-F238E27FC236}">
              <a16:creationId xmlns:a16="http://schemas.microsoft.com/office/drawing/2014/main" id="{00000000-0008-0000-0600-0000B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a:extLst>
            <a:ext uri="{FF2B5EF4-FFF2-40B4-BE49-F238E27FC236}">
              <a16:creationId xmlns:a16="http://schemas.microsoft.com/office/drawing/2014/main" id="{00000000-0008-0000-0600-0000C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a:extLst>
            <a:ext uri="{FF2B5EF4-FFF2-40B4-BE49-F238E27FC236}">
              <a16:creationId xmlns:a16="http://schemas.microsoft.com/office/drawing/2014/main" id="{00000000-0008-0000-0600-0000C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a:extLst>
            <a:ext uri="{FF2B5EF4-FFF2-40B4-BE49-F238E27FC236}">
              <a16:creationId xmlns:a16="http://schemas.microsoft.com/office/drawing/2014/main" id="{00000000-0008-0000-0600-0000C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a:extLst>
            <a:ext uri="{FF2B5EF4-FFF2-40B4-BE49-F238E27FC236}">
              <a16:creationId xmlns:a16="http://schemas.microsoft.com/office/drawing/2014/main" id="{00000000-0008-0000-0600-0000C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a:extLst>
            <a:ext uri="{FF2B5EF4-FFF2-40B4-BE49-F238E27FC236}">
              <a16:creationId xmlns:a16="http://schemas.microsoft.com/office/drawing/2014/main" id="{00000000-0008-0000-0600-0000C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a:extLst>
            <a:ext uri="{FF2B5EF4-FFF2-40B4-BE49-F238E27FC236}">
              <a16:creationId xmlns:a16="http://schemas.microsoft.com/office/drawing/2014/main" id="{00000000-0008-0000-0600-0000C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a:extLst>
            <a:ext uri="{FF2B5EF4-FFF2-40B4-BE49-F238E27FC236}">
              <a16:creationId xmlns:a16="http://schemas.microsoft.com/office/drawing/2014/main" id="{00000000-0008-0000-0600-0000C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a:extLst>
            <a:ext uri="{FF2B5EF4-FFF2-40B4-BE49-F238E27FC236}">
              <a16:creationId xmlns:a16="http://schemas.microsoft.com/office/drawing/2014/main" id="{00000000-0008-0000-0600-0000C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a:extLst>
            <a:ext uri="{FF2B5EF4-FFF2-40B4-BE49-F238E27FC236}">
              <a16:creationId xmlns:a16="http://schemas.microsoft.com/office/drawing/2014/main" id="{00000000-0008-0000-0600-0000C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a:extLst>
            <a:ext uri="{FF2B5EF4-FFF2-40B4-BE49-F238E27FC236}">
              <a16:creationId xmlns:a16="http://schemas.microsoft.com/office/drawing/2014/main" id="{00000000-0008-0000-0600-0000C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a:extLst>
            <a:ext uri="{FF2B5EF4-FFF2-40B4-BE49-F238E27FC236}">
              <a16:creationId xmlns:a16="http://schemas.microsoft.com/office/drawing/2014/main" id="{00000000-0008-0000-0600-0000C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a:extLst>
            <a:ext uri="{FF2B5EF4-FFF2-40B4-BE49-F238E27FC236}">
              <a16:creationId xmlns:a16="http://schemas.microsoft.com/office/drawing/2014/main" id="{00000000-0008-0000-0600-0000C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a:extLst>
            <a:ext uri="{FF2B5EF4-FFF2-40B4-BE49-F238E27FC236}">
              <a16:creationId xmlns:a16="http://schemas.microsoft.com/office/drawing/2014/main" id="{00000000-0008-0000-0600-0000C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a:extLst>
            <a:ext uri="{FF2B5EF4-FFF2-40B4-BE49-F238E27FC236}">
              <a16:creationId xmlns:a16="http://schemas.microsoft.com/office/drawing/2014/main" id="{00000000-0008-0000-0600-0000C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a:extLst>
            <a:ext uri="{FF2B5EF4-FFF2-40B4-BE49-F238E27FC236}">
              <a16:creationId xmlns:a16="http://schemas.microsoft.com/office/drawing/2014/main" id="{00000000-0008-0000-0600-0000C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a:extLst>
            <a:ext uri="{FF2B5EF4-FFF2-40B4-BE49-F238E27FC236}">
              <a16:creationId xmlns:a16="http://schemas.microsoft.com/office/drawing/2014/main" id="{00000000-0008-0000-0600-0000C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a:extLst>
            <a:ext uri="{FF2B5EF4-FFF2-40B4-BE49-F238E27FC236}">
              <a16:creationId xmlns:a16="http://schemas.microsoft.com/office/drawing/2014/main" id="{00000000-0008-0000-0600-0000D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a:extLst>
            <a:ext uri="{FF2B5EF4-FFF2-40B4-BE49-F238E27FC236}">
              <a16:creationId xmlns:a16="http://schemas.microsoft.com/office/drawing/2014/main" id="{00000000-0008-0000-0600-0000D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a:extLst>
            <a:ext uri="{FF2B5EF4-FFF2-40B4-BE49-F238E27FC236}">
              <a16:creationId xmlns:a16="http://schemas.microsoft.com/office/drawing/2014/main" id="{00000000-0008-0000-0600-0000D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a:extLst>
            <a:ext uri="{FF2B5EF4-FFF2-40B4-BE49-F238E27FC236}">
              <a16:creationId xmlns:a16="http://schemas.microsoft.com/office/drawing/2014/main" id="{00000000-0008-0000-0600-0000D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a:extLst>
            <a:ext uri="{FF2B5EF4-FFF2-40B4-BE49-F238E27FC236}">
              <a16:creationId xmlns:a16="http://schemas.microsoft.com/office/drawing/2014/main" id="{00000000-0008-0000-0600-0000D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a:extLst>
            <a:ext uri="{FF2B5EF4-FFF2-40B4-BE49-F238E27FC236}">
              <a16:creationId xmlns:a16="http://schemas.microsoft.com/office/drawing/2014/main" id="{00000000-0008-0000-0600-0000D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a:extLst>
            <a:ext uri="{FF2B5EF4-FFF2-40B4-BE49-F238E27FC236}">
              <a16:creationId xmlns:a16="http://schemas.microsoft.com/office/drawing/2014/main" id="{00000000-0008-0000-0600-0000D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a:extLst>
            <a:ext uri="{FF2B5EF4-FFF2-40B4-BE49-F238E27FC236}">
              <a16:creationId xmlns:a16="http://schemas.microsoft.com/office/drawing/2014/main" id="{00000000-0008-0000-0600-0000D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a:extLst>
            <a:ext uri="{FF2B5EF4-FFF2-40B4-BE49-F238E27FC236}">
              <a16:creationId xmlns:a16="http://schemas.microsoft.com/office/drawing/2014/main" id="{00000000-0008-0000-0600-0000D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a:extLst>
            <a:ext uri="{FF2B5EF4-FFF2-40B4-BE49-F238E27FC236}">
              <a16:creationId xmlns:a16="http://schemas.microsoft.com/office/drawing/2014/main" id="{00000000-0008-0000-0600-0000D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a:extLst>
            <a:ext uri="{FF2B5EF4-FFF2-40B4-BE49-F238E27FC236}">
              <a16:creationId xmlns:a16="http://schemas.microsoft.com/office/drawing/2014/main" id="{00000000-0008-0000-0600-0000D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a:extLst>
            <a:ext uri="{FF2B5EF4-FFF2-40B4-BE49-F238E27FC236}">
              <a16:creationId xmlns:a16="http://schemas.microsoft.com/office/drawing/2014/main" id="{00000000-0008-0000-0600-0000D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a:extLst>
            <a:ext uri="{FF2B5EF4-FFF2-40B4-BE49-F238E27FC236}">
              <a16:creationId xmlns:a16="http://schemas.microsoft.com/office/drawing/2014/main" id="{00000000-0008-0000-0600-0000D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a:extLst>
            <a:ext uri="{FF2B5EF4-FFF2-40B4-BE49-F238E27FC236}">
              <a16:creationId xmlns:a16="http://schemas.microsoft.com/office/drawing/2014/main" id="{00000000-0008-0000-0600-0000D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a:extLst>
            <a:ext uri="{FF2B5EF4-FFF2-40B4-BE49-F238E27FC236}">
              <a16:creationId xmlns:a16="http://schemas.microsoft.com/office/drawing/2014/main" id="{00000000-0008-0000-0600-0000D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a:extLst>
            <a:ext uri="{FF2B5EF4-FFF2-40B4-BE49-F238E27FC236}">
              <a16:creationId xmlns:a16="http://schemas.microsoft.com/office/drawing/2014/main" id="{00000000-0008-0000-0600-0000D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a:extLst>
            <a:ext uri="{FF2B5EF4-FFF2-40B4-BE49-F238E27FC236}">
              <a16:creationId xmlns:a16="http://schemas.microsoft.com/office/drawing/2014/main" id="{00000000-0008-0000-0600-0000E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a:extLst>
            <a:ext uri="{FF2B5EF4-FFF2-40B4-BE49-F238E27FC236}">
              <a16:creationId xmlns:a16="http://schemas.microsoft.com/office/drawing/2014/main" id="{00000000-0008-0000-0600-0000E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a:extLst>
            <a:ext uri="{FF2B5EF4-FFF2-40B4-BE49-F238E27FC236}">
              <a16:creationId xmlns:a16="http://schemas.microsoft.com/office/drawing/2014/main" id="{00000000-0008-0000-0600-0000E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a:extLst>
            <a:ext uri="{FF2B5EF4-FFF2-40B4-BE49-F238E27FC236}">
              <a16:creationId xmlns:a16="http://schemas.microsoft.com/office/drawing/2014/main" id="{00000000-0008-0000-0600-0000E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a:extLst>
            <a:ext uri="{FF2B5EF4-FFF2-40B4-BE49-F238E27FC236}">
              <a16:creationId xmlns:a16="http://schemas.microsoft.com/office/drawing/2014/main" id="{00000000-0008-0000-0600-0000E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a:extLst>
            <a:ext uri="{FF2B5EF4-FFF2-40B4-BE49-F238E27FC236}">
              <a16:creationId xmlns:a16="http://schemas.microsoft.com/office/drawing/2014/main" id="{00000000-0008-0000-0600-0000E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a:extLst>
            <a:ext uri="{FF2B5EF4-FFF2-40B4-BE49-F238E27FC236}">
              <a16:creationId xmlns:a16="http://schemas.microsoft.com/office/drawing/2014/main" id="{00000000-0008-0000-0600-0000E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a:extLst>
            <a:ext uri="{FF2B5EF4-FFF2-40B4-BE49-F238E27FC236}">
              <a16:creationId xmlns:a16="http://schemas.microsoft.com/office/drawing/2014/main" id="{00000000-0008-0000-0600-0000E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a:extLst>
            <a:ext uri="{FF2B5EF4-FFF2-40B4-BE49-F238E27FC236}">
              <a16:creationId xmlns:a16="http://schemas.microsoft.com/office/drawing/2014/main" id="{00000000-0008-0000-0600-0000E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a:extLst>
            <a:ext uri="{FF2B5EF4-FFF2-40B4-BE49-F238E27FC236}">
              <a16:creationId xmlns:a16="http://schemas.microsoft.com/office/drawing/2014/main" id="{00000000-0008-0000-0600-0000E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a:extLst>
            <a:ext uri="{FF2B5EF4-FFF2-40B4-BE49-F238E27FC236}">
              <a16:creationId xmlns:a16="http://schemas.microsoft.com/office/drawing/2014/main" id="{00000000-0008-0000-0600-0000E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a:extLst>
            <a:ext uri="{FF2B5EF4-FFF2-40B4-BE49-F238E27FC236}">
              <a16:creationId xmlns:a16="http://schemas.microsoft.com/office/drawing/2014/main" id="{00000000-0008-0000-0600-0000E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a:extLst>
            <a:ext uri="{FF2B5EF4-FFF2-40B4-BE49-F238E27FC236}">
              <a16:creationId xmlns:a16="http://schemas.microsoft.com/office/drawing/2014/main" id="{00000000-0008-0000-0600-0000E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a:extLst>
            <a:ext uri="{FF2B5EF4-FFF2-40B4-BE49-F238E27FC236}">
              <a16:creationId xmlns:a16="http://schemas.microsoft.com/office/drawing/2014/main" id="{00000000-0008-0000-0600-0000E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a:extLst>
            <a:ext uri="{FF2B5EF4-FFF2-40B4-BE49-F238E27FC236}">
              <a16:creationId xmlns:a16="http://schemas.microsoft.com/office/drawing/2014/main" id="{00000000-0008-0000-0600-0000E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a:extLst>
            <a:ext uri="{FF2B5EF4-FFF2-40B4-BE49-F238E27FC236}">
              <a16:creationId xmlns:a16="http://schemas.microsoft.com/office/drawing/2014/main" id="{00000000-0008-0000-0600-0000E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a:extLst>
            <a:ext uri="{FF2B5EF4-FFF2-40B4-BE49-F238E27FC236}">
              <a16:creationId xmlns:a16="http://schemas.microsoft.com/office/drawing/2014/main" id="{00000000-0008-0000-0600-0000F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a:extLst>
            <a:ext uri="{FF2B5EF4-FFF2-40B4-BE49-F238E27FC236}">
              <a16:creationId xmlns:a16="http://schemas.microsoft.com/office/drawing/2014/main" id="{00000000-0008-0000-0600-0000F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a:extLst>
            <a:ext uri="{FF2B5EF4-FFF2-40B4-BE49-F238E27FC236}">
              <a16:creationId xmlns:a16="http://schemas.microsoft.com/office/drawing/2014/main" id="{00000000-0008-0000-0600-0000F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a:extLst>
            <a:ext uri="{FF2B5EF4-FFF2-40B4-BE49-F238E27FC236}">
              <a16:creationId xmlns:a16="http://schemas.microsoft.com/office/drawing/2014/main" id="{00000000-0008-0000-0600-0000F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a:extLst>
            <a:ext uri="{FF2B5EF4-FFF2-40B4-BE49-F238E27FC236}">
              <a16:creationId xmlns:a16="http://schemas.microsoft.com/office/drawing/2014/main" id="{00000000-0008-0000-0600-0000F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a:extLst>
            <a:ext uri="{FF2B5EF4-FFF2-40B4-BE49-F238E27FC236}">
              <a16:creationId xmlns:a16="http://schemas.microsoft.com/office/drawing/2014/main" id="{00000000-0008-0000-0600-0000F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a:extLst>
            <a:ext uri="{FF2B5EF4-FFF2-40B4-BE49-F238E27FC236}">
              <a16:creationId xmlns:a16="http://schemas.microsoft.com/office/drawing/2014/main" id="{00000000-0008-0000-0600-0000F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a:extLst>
            <a:ext uri="{FF2B5EF4-FFF2-40B4-BE49-F238E27FC236}">
              <a16:creationId xmlns:a16="http://schemas.microsoft.com/office/drawing/2014/main" id="{00000000-0008-0000-0600-0000F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a:extLst>
            <a:ext uri="{FF2B5EF4-FFF2-40B4-BE49-F238E27FC236}">
              <a16:creationId xmlns:a16="http://schemas.microsoft.com/office/drawing/2014/main" id="{00000000-0008-0000-0600-0000F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a:extLst>
            <a:ext uri="{FF2B5EF4-FFF2-40B4-BE49-F238E27FC236}">
              <a16:creationId xmlns:a16="http://schemas.microsoft.com/office/drawing/2014/main" id="{00000000-0008-0000-0600-0000F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a:extLst>
            <a:ext uri="{FF2B5EF4-FFF2-40B4-BE49-F238E27FC236}">
              <a16:creationId xmlns:a16="http://schemas.microsoft.com/office/drawing/2014/main" id="{00000000-0008-0000-0600-0000F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a:extLst>
            <a:ext uri="{FF2B5EF4-FFF2-40B4-BE49-F238E27FC236}">
              <a16:creationId xmlns:a16="http://schemas.microsoft.com/office/drawing/2014/main" id="{00000000-0008-0000-0600-0000F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a:extLst>
            <a:ext uri="{FF2B5EF4-FFF2-40B4-BE49-F238E27FC236}">
              <a16:creationId xmlns:a16="http://schemas.microsoft.com/office/drawing/2014/main" id="{00000000-0008-0000-0600-0000F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a:extLst>
            <a:ext uri="{FF2B5EF4-FFF2-40B4-BE49-F238E27FC236}">
              <a16:creationId xmlns:a16="http://schemas.microsoft.com/office/drawing/2014/main" id="{00000000-0008-0000-0600-0000F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a:extLst>
            <a:ext uri="{FF2B5EF4-FFF2-40B4-BE49-F238E27FC236}">
              <a16:creationId xmlns:a16="http://schemas.microsoft.com/office/drawing/2014/main" id="{00000000-0008-0000-0600-0000F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a:extLst>
            <a:ext uri="{FF2B5EF4-FFF2-40B4-BE49-F238E27FC236}">
              <a16:creationId xmlns:a16="http://schemas.microsoft.com/office/drawing/2014/main" id="{00000000-0008-0000-0600-0000F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a:extLst>
            <a:ext uri="{FF2B5EF4-FFF2-40B4-BE49-F238E27FC236}">
              <a16:creationId xmlns:a16="http://schemas.microsoft.com/office/drawing/2014/main" id="{00000000-0008-0000-0600-00000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a:extLst>
            <a:ext uri="{FF2B5EF4-FFF2-40B4-BE49-F238E27FC236}">
              <a16:creationId xmlns:a16="http://schemas.microsoft.com/office/drawing/2014/main" id="{00000000-0008-0000-0600-00000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a:extLst>
            <a:ext uri="{FF2B5EF4-FFF2-40B4-BE49-F238E27FC236}">
              <a16:creationId xmlns:a16="http://schemas.microsoft.com/office/drawing/2014/main" id="{00000000-0008-0000-0600-00000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a:extLst>
            <a:ext uri="{FF2B5EF4-FFF2-40B4-BE49-F238E27FC236}">
              <a16:creationId xmlns:a16="http://schemas.microsoft.com/office/drawing/2014/main" id="{00000000-0008-0000-0600-00000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a:extLst>
            <a:ext uri="{FF2B5EF4-FFF2-40B4-BE49-F238E27FC236}">
              <a16:creationId xmlns:a16="http://schemas.microsoft.com/office/drawing/2014/main" id="{00000000-0008-0000-0600-00000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a:extLst>
            <a:ext uri="{FF2B5EF4-FFF2-40B4-BE49-F238E27FC236}">
              <a16:creationId xmlns:a16="http://schemas.microsoft.com/office/drawing/2014/main" id="{00000000-0008-0000-0600-00000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a:extLst>
            <a:ext uri="{FF2B5EF4-FFF2-40B4-BE49-F238E27FC236}">
              <a16:creationId xmlns:a16="http://schemas.microsoft.com/office/drawing/2014/main" id="{00000000-0008-0000-0600-00000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a:extLst>
            <a:ext uri="{FF2B5EF4-FFF2-40B4-BE49-F238E27FC236}">
              <a16:creationId xmlns:a16="http://schemas.microsoft.com/office/drawing/2014/main" id="{00000000-0008-0000-0600-00000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a:extLst>
            <a:ext uri="{FF2B5EF4-FFF2-40B4-BE49-F238E27FC236}">
              <a16:creationId xmlns:a16="http://schemas.microsoft.com/office/drawing/2014/main" id="{00000000-0008-0000-0600-00000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a:extLst>
            <a:ext uri="{FF2B5EF4-FFF2-40B4-BE49-F238E27FC236}">
              <a16:creationId xmlns:a16="http://schemas.microsoft.com/office/drawing/2014/main" id="{00000000-0008-0000-0600-00000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a:extLst>
            <a:ext uri="{FF2B5EF4-FFF2-40B4-BE49-F238E27FC236}">
              <a16:creationId xmlns:a16="http://schemas.microsoft.com/office/drawing/2014/main" id="{00000000-0008-0000-0600-00000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a:extLst>
            <a:ext uri="{FF2B5EF4-FFF2-40B4-BE49-F238E27FC236}">
              <a16:creationId xmlns:a16="http://schemas.microsoft.com/office/drawing/2014/main" id="{00000000-0008-0000-0600-00000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a:extLst>
            <a:ext uri="{FF2B5EF4-FFF2-40B4-BE49-F238E27FC236}">
              <a16:creationId xmlns:a16="http://schemas.microsoft.com/office/drawing/2014/main" id="{00000000-0008-0000-0600-00000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a:extLst>
            <a:ext uri="{FF2B5EF4-FFF2-40B4-BE49-F238E27FC236}">
              <a16:creationId xmlns:a16="http://schemas.microsoft.com/office/drawing/2014/main" id="{00000000-0008-0000-0600-00000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a:extLst>
            <a:ext uri="{FF2B5EF4-FFF2-40B4-BE49-F238E27FC236}">
              <a16:creationId xmlns:a16="http://schemas.microsoft.com/office/drawing/2014/main" id="{00000000-0008-0000-0600-00000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a:extLst>
            <a:ext uri="{FF2B5EF4-FFF2-40B4-BE49-F238E27FC236}">
              <a16:creationId xmlns:a16="http://schemas.microsoft.com/office/drawing/2014/main" id="{00000000-0008-0000-0600-00000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a:extLst>
            <a:ext uri="{FF2B5EF4-FFF2-40B4-BE49-F238E27FC236}">
              <a16:creationId xmlns:a16="http://schemas.microsoft.com/office/drawing/2014/main" id="{00000000-0008-0000-0600-00001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a:extLst>
            <a:ext uri="{FF2B5EF4-FFF2-40B4-BE49-F238E27FC236}">
              <a16:creationId xmlns:a16="http://schemas.microsoft.com/office/drawing/2014/main" id="{00000000-0008-0000-0600-00001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a:extLst>
            <a:ext uri="{FF2B5EF4-FFF2-40B4-BE49-F238E27FC236}">
              <a16:creationId xmlns:a16="http://schemas.microsoft.com/office/drawing/2014/main" id="{00000000-0008-0000-0600-00001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a:extLst>
            <a:ext uri="{FF2B5EF4-FFF2-40B4-BE49-F238E27FC236}">
              <a16:creationId xmlns:a16="http://schemas.microsoft.com/office/drawing/2014/main" id="{00000000-0008-0000-0600-00001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a:extLst>
            <a:ext uri="{FF2B5EF4-FFF2-40B4-BE49-F238E27FC236}">
              <a16:creationId xmlns:a16="http://schemas.microsoft.com/office/drawing/2014/main" id="{00000000-0008-0000-0600-00001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a:extLst>
            <a:ext uri="{FF2B5EF4-FFF2-40B4-BE49-F238E27FC236}">
              <a16:creationId xmlns:a16="http://schemas.microsoft.com/office/drawing/2014/main" id="{00000000-0008-0000-0600-00001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a:extLst>
            <a:ext uri="{FF2B5EF4-FFF2-40B4-BE49-F238E27FC236}">
              <a16:creationId xmlns:a16="http://schemas.microsoft.com/office/drawing/2014/main" id="{00000000-0008-0000-0600-00001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a:extLst>
            <a:ext uri="{FF2B5EF4-FFF2-40B4-BE49-F238E27FC236}">
              <a16:creationId xmlns:a16="http://schemas.microsoft.com/office/drawing/2014/main" id="{00000000-0008-0000-0600-00001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a:extLst>
            <a:ext uri="{FF2B5EF4-FFF2-40B4-BE49-F238E27FC236}">
              <a16:creationId xmlns:a16="http://schemas.microsoft.com/office/drawing/2014/main" id="{00000000-0008-0000-0600-00001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a:extLst>
            <a:ext uri="{FF2B5EF4-FFF2-40B4-BE49-F238E27FC236}">
              <a16:creationId xmlns:a16="http://schemas.microsoft.com/office/drawing/2014/main" id="{00000000-0008-0000-0600-00001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a:extLst>
            <a:ext uri="{FF2B5EF4-FFF2-40B4-BE49-F238E27FC236}">
              <a16:creationId xmlns:a16="http://schemas.microsoft.com/office/drawing/2014/main" id="{00000000-0008-0000-0600-00001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a:extLst>
            <a:ext uri="{FF2B5EF4-FFF2-40B4-BE49-F238E27FC236}">
              <a16:creationId xmlns:a16="http://schemas.microsoft.com/office/drawing/2014/main" id="{00000000-0008-0000-0600-00001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a:extLst>
            <a:ext uri="{FF2B5EF4-FFF2-40B4-BE49-F238E27FC236}">
              <a16:creationId xmlns:a16="http://schemas.microsoft.com/office/drawing/2014/main" id="{00000000-0008-0000-0600-00001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a:extLst>
            <a:ext uri="{FF2B5EF4-FFF2-40B4-BE49-F238E27FC236}">
              <a16:creationId xmlns:a16="http://schemas.microsoft.com/office/drawing/2014/main" id="{00000000-0008-0000-0600-00001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a:extLst>
            <a:ext uri="{FF2B5EF4-FFF2-40B4-BE49-F238E27FC236}">
              <a16:creationId xmlns:a16="http://schemas.microsoft.com/office/drawing/2014/main" id="{00000000-0008-0000-0600-00001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a:extLst>
            <a:ext uri="{FF2B5EF4-FFF2-40B4-BE49-F238E27FC236}">
              <a16:creationId xmlns:a16="http://schemas.microsoft.com/office/drawing/2014/main" id="{00000000-0008-0000-0600-00001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a:extLst>
            <a:ext uri="{FF2B5EF4-FFF2-40B4-BE49-F238E27FC236}">
              <a16:creationId xmlns:a16="http://schemas.microsoft.com/office/drawing/2014/main" id="{00000000-0008-0000-0600-00002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a:extLst>
            <a:ext uri="{FF2B5EF4-FFF2-40B4-BE49-F238E27FC236}">
              <a16:creationId xmlns:a16="http://schemas.microsoft.com/office/drawing/2014/main" id="{00000000-0008-0000-0600-00002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a:extLst>
            <a:ext uri="{FF2B5EF4-FFF2-40B4-BE49-F238E27FC236}">
              <a16:creationId xmlns:a16="http://schemas.microsoft.com/office/drawing/2014/main" id="{00000000-0008-0000-0600-00002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a:extLst>
            <a:ext uri="{FF2B5EF4-FFF2-40B4-BE49-F238E27FC236}">
              <a16:creationId xmlns:a16="http://schemas.microsoft.com/office/drawing/2014/main" id="{00000000-0008-0000-0600-00002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a:extLst>
            <a:ext uri="{FF2B5EF4-FFF2-40B4-BE49-F238E27FC236}">
              <a16:creationId xmlns:a16="http://schemas.microsoft.com/office/drawing/2014/main" id="{00000000-0008-0000-0600-00002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a:extLst>
            <a:ext uri="{FF2B5EF4-FFF2-40B4-BE49-F238E27FC236}">
              <a16:creationId xmlns:a16="http://schemas.microsoft.com/office/drawing/2014/main" id="{00000000-0008-0000-0600-00002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a:extLst>
            <a:ext uri="{FF2B5EF4-FFF2-40B4-BE49-F238E27FC236}">
              <a16:creationId xmlns:a16="http://schemas.microsoft.com/office/drawing/2014/main" id="{00000000-0008-0000-0600-00002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a:extLst>
            <a:ext uri="{FF2B5EF4-FFF2-40B4-BE49-F238E27FC236}">
              <a16:creationId xmlns:a16="http://schemas.microsoft.com/office/drawing/2014/main" id="{00000000-0008-0000-0600-00002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a:extLst>
            <a:ext uri="{FF2B5EF4-FFF2-40B4-BE49-F238E27FC236}">
              <a16:creationId xmlns:a16="http://schemas.microsoft.com/office/drawing/2014/main" id="{00000000-0008-0000-0600-00002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a:extLst>
            <a:ext uri="{FF2B5EF4-FFF2-40B4-BE49-F238E27FC236}">
              <a16:creationId xmlns:a16="http://schemas.microsoft.com/office/drawing/2014/main" id="{00000000-0008-0000-0600-00002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a:extLst>
            <a:ext uri="{FF2B5EF4-FFF2-40B4-BE49-F238E27FC236}">
              <a16:creationId xmlns:a16="http://schemas.microsoft.com/office/drawing/2014/main" id="{00000000-0008-0000-0600-00002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a:extLst>
            <a:ext uri="{FF2B5EF4-FFF2-40B4-BE49-F238E27FC236}">
              <a16:creationId xmlns:a16="http://schemas.microsoft.com/office/drawing/2014/main" id="{00000000-0008-0000-0600-00002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a:extLst>
            <a:ext uri="{FF2B5EF4-FFF2-40B4-BE49-F238E27FC236}">
              <a16:creationId xmlns:a16="http://schemas.microsoft.com/office/drawing/2014/main" id="{00000000-0008-0000-0600-00002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a:extLst>
            <a:ext uri="{FF2B5EF4-FFF2-40B4-BE49-F238E27FC236}">
              <a16:creationId xmlns:a16="http://schemas.microsoft.com/office/drawing/2014/main" id="{00000000-0008-0000-0600-00002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a:extLst>
            <a:ext uri="{FF2B5EF4-FFF2-40B4-BE49-F238E27FC236}">
              <a16:creationId xmlns:a16="http://schemas.microsoft.com/office/drawing/2014/main" id="{00000000-0008-0000-0600-00002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a:extLst>
            <a:ext uri="{FF2B5EF4-FFF2-40B4-BE49-F238E27FC236}">
              <a16:creationId xmlns:a16="http://schemas.microsoft.com/office/drawing/2014/main" id="{00000000-0008-0000-0600-00002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a:extLst>
            <a:ext uri="{FF2B5EF4-FFF2-40B4-BE49-F238E27FC236}">
              <a16:creationId xmlns:a16="http://schemas.microsoft.com/office/drawing/2014/main" id="{00000000-0008-0000-0600-00003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a:extLst>
            <a:ext uri="{FF2B5EF4-FFF2-40B4-BE49-F238E27FC236}">
              <a16:creationId xmlns:a16="http://schemas.microsoft.com/office/drawing/2014/main" id="{00000000-0008-0000-0600-00003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a:extLst>
            <a:ext uri="{FF2B5EF4-FFF2-40B4-BE49-F238E27FC236}">
              <a16:creationId xmlns:a16="http://schemas.microsoft.com/office/drawing/2014/main" id="{00000000-0008-0000-0600-00003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a:extLst>
            <a:ext uri="{FF2B5EF4-FFF2-40B4-BE49-F238E27FC236}">
              <a16:creationId xmlns:a16="http://schemas.microsoft.com/office/drawing/2014/main" id="{00000000-0008-0000-0600-00003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a:extLst>
            <a:ext uri="{FF2B5EF4-FFF2-40B4-BE49-F238E27FC236}">
              <a16:creationId xmlns:a16="http://schemas.microsoft.com/office/drawing/2014/main" id="{00000000-0008-0000-0600-00003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a:extLst>
            <a:ext uri="{FF2B5EF4-FFF2-40B4-BE49-F238E27FC236}">
              <a16:creationId xmlns:a16="http://schemas.microsoft.com/office/drawing/2014/main" id="{00000000-0008-0000-0600-00003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a:extLst>
            <a:ext uri="{FF2B5EF4-FFF2-40B4-BE49-F238E27FC236}">
              <a16:creationId xmlns:a16="http://schemas.microsoft.com/office/drawing/2014/main" id="{00000000-0008-0000-0600-00003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a:extLst>
            <a:ext uri="{FF2B5EF4-FFF2-40B4-BE49-F238E27FC236}">
              <a16:creationId xmlns:a16="http://schemas.microsoft.com/office/drawing/2014/main" id="{00000000-0008-0000-0600-00003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a:extLst>
            <a:ext uri="{FF2B5EF4-FFF2-40B4-BE49-F238E27FC236}">
              <a16:creationId xmlns:a16="http://schemas.microsoft.com/office/drawing/2014/main" id="{00000000-0008-0000-0600-00003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a:extLst>
            <a:ext uri="{FF2B5EF4-FFF2-40B4-BE49-F238E27FC236}">
              <a16:creationId xmlns:a16="http://schemas.microsoft.com/office/drawing/2014/main" id="{00000000-0008-0000-0600-00003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a:extLst>
            <a:ext uri="{FF2B5EF4-FFF2-40B4-BE49-F238E27FC236}">
              <a16:creationId xmlns:a16="http://schemas.microsoft.com/office/drawing/2014/main" id="{00000000-0008-0000-0600-00003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a:extLst>
            <a:ext uri="{FF2B5EF4-FFF2-40B4-BE49-F238E27FC236}">
              <a16:creationId xmlns:a16="http://schemas.microsoft.com/office/drawing/2014/main" id="{00000000-0008-0000-0600-00003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a:extLst>
            <a:ext uri="{FF2B5EF4-FFF2-40B4-BE49-F238E27FC236}">
              <a16:creationId xmlns:a16="http://schemas.microsoft.com/office/drawing/2014/main" id="{00000000-0008-0000-0600-00003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a:extLst>
            <a:ext uri="{FF2B5EF4-FFF2-40B4-BE49-F238E27FC236}">
              <a16:creationId xmlns:a16="http://schemas.microsoft.com/office/drawing/2014/main" id="{00000000-0008-0000-0600-00003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a:extLst>
            <a:ext uri="{FF2B5EF4-FFF2-40B4-BE49-F238E27FC236}">
              <a16:creationId xmlns:a16="http://schemas.microsoft.com/office/drawing/2014/main" id="{00000000-0008-0000-0600-00003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a:extLst>
            <a:ext uri="{FF2B5EF4-FFF2-40B4-BE49-F238E27FC236}">
              <a16:creationId xmlns:a16="http://schemas.microsoft.com/office/drawing/2014/main" id="{00000000-0008-0000-0600-00003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a:extLst>
            <a:ext uri="{FF2B5EF4-FFF2-40B4-BE49-F238E27FC236}">
              <a16:creationId xmlns:a16="http://schemas.microsoft.com/office/drawing/2014/main" id="{00000000-0008-0000-0600-00004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a:extLst>
            <a:ext uri="{FF2B5EF4-FFF2-40B4-BE49-F238E27FC236}">
              <a16:creationId xmlns:a16="http://schemas.microsoft.com/office/drawing/2014/main" id="{00000000-0008-0000-0600-00004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a:extLst>
            <a:ext uri="{FF2B5EF4-FFF2-40B4-BE49-F238E27FC236}">
              <a16:creationId xmlns:a16="http://schemas.microsoft.com/office/drawing/2014/main" id="{00000000-0008-0000-0600-00004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a:extLst>
            <a:ext uri="{FF2B5EF4-FFF2-40B4-BE49-F238E27FC236}">
              <a16:creationId xmlns:a16="http://schemas.microsoft.com/office/drawing/2014/main" id="{00000000-0008-0000-0600-00004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a:extLst>
            <a:ext uri="{FF2B5EF4-FFF2-40B4-BE49-F238E27FC236}">
              <a16:creationId xmlns:a16="http://schemas.microsoft.com/office/drawing/2014/main" id="{00000000-0008-0000-0600-00004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a:extLst>
            <a:ext uri="{FF2B5EF4-FFF2-40B4-BE49-F238E27FC236}">
              <a16:creationId xmlns:a16="http://schemas.microsoft.com/office/drawing/2014/main" id="{00000000-0008-0000-0600-00004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a:extLst>
            <a:ext uri="{FF2B5EF4-FFF2-40B4-BE49-F238E27FC236}">
              <a16:creationId xmlns:a16="http://schemas.microsoft.com/office/drawing/2014/main" id="{00000000-0008-0000-0600-00004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a:extLst>
            <a:ext uri="{FF2B5EF4-FFF2-40B4-BE49-F238E27FC236}">
              <a16:creationId xmlns:a16="http://schemas.microsoft.com/office/drawing/2014/main" id="{00000000-0008-0000-0600-00004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a:extLst>
            <a:ext uri="{FF2B5EF4-FFF2-40B4-BE49-F238E27FC236}">
              <a16:creationId xmlns:a16="http://schemas.microsoft.com/office/drawing/2014/main" id="{00000000-0008-0000-0600-00004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a:extLst>
            <a:ext uri="{FF2B5EF4-FFF2-40B4-BE49-F238E27FC236}">
              <a16:creationId xmlns:a16="http://schemas.microsoft.com/office/drawing/2014/main" id="{00000000-0008-0000-0600-00004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a:extLst>
            <a:ext uri="{FF2B5EF4-FFF2-40B4-BE49-F238E27FC236}">
              <a16:creationId xmlns:a16="http://schemas.microsoft.com/office/drawing/2014/main" id="{00000000-0008-0000-0600-00004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a:extLst>
            <a:ext uri="{FF2B5EF4-FFF2-40B4-BE49-F238E27FC236}">
              <a16:creationId xmlns:a16="http://schemas.microsoft.com/office/drawing/2014/main" id="{00000000-0008-0000-0600-00004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a:extLst>
            <a:ext uri="{FF2B5EF4-FFF2-40B4-BE49-F238E27FC236}">
              <a16:creationId xmlns:a16="http://schemas.microsoft.com/office/drawing/2014/main" id="{00000000-0008-0000-0600-00004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a:extLst>
            <a:ext uri="{FF2B5EF4-FFF2-40B4-BE49-F238E27FC236}">
              <a16:creationId xmlns:a16="http://schemas.microsoft.com/office/drawing/2014/main" id="{00000000-0008-0000-0600-00004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a:extLst>
            <a:ext uri="{FF2B5EF4-FFF2-40B4-BE49-F238E27FC236}">
              <a16:creationId xmlns:a16="http://schemas.microsoft.com/office/drawing/2014/main" id="{00000000-0008-0000-0600-00004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a:extLst>
            <a:ext uri="{FF2B5EF4-FFF2-40B4-BE49-F238E27FC236}">
              <a16:creationId xmlns:a16="http://schemas.microsoft.com/office/drawing/2014/main" id="{00000000-0008-0000-0600-00004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a:extLst>
            <a:ext uri="{FF2B5EF4-FFF2-40B4-BE49-F238E27FC236}">
              <a16:creationId xmlns:a16="http://schemas.microsoft.com/office/drawing/2014/main" id="{00000000-0008-0000-0600-00005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a:extLst>
            <a:ext uri="{FF2B5EF4-FFF2-40B4-BE49-F238E27FC236}">
              <a16:creationId xmlns:a16="http://schemas.microsoft.com/office/drawing/2014/main" id="{00000000-0008-0000-0600-00005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a:extLst>
            <a:ext uri="{FF2B5EF4-FFF2-40B4-BE49-F238E27FC236}">
              <a16:creationId xmlns:a16="http://schemas.microsoft.com/office/drawing/2014/main" id="{00000000-0008-0000-0600-00005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a:extLst>
            <a:ext uri="{FF2B5EF4-FFF2-40B4-BE49-F238E27FC236}">
              <a16:creationId xmlns:a16="http://schemas.microsoft.com/office/drawing/2014/main" id="{00000000-0008-0000-0600-00005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a:extLst>
            <a:ext uri="{FF2B5EF4-FFF2-40B4-BE49-F238E27FC236}">
              <a16:creationId xmlns:a16="http://schemas.microsoft.com/office/drawing/2014/main" id="{00000000-0008-0000-0600-00005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a:extLst>
            <a:ext uri="{FF2B5EF4-FFF2-40B4-BE49-F238E27FC236}">
              <a16:creationId xmlns:a16="http://schemas.microsoft.com/office/drawing/2014/main" id="{00000000-0008-0000-0600-00005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a:extLst>
            <a:ext uri="{FF2B5EF4-FFF2-40B4-BE49-F238E27FC236}">
              <a16:creationId xmlns:a16="http://schemas.microsoft.com/office/drawing/2014/main" id="{00000000-0008-0000-0600-00005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a:extLst>
            <a:ext uri="{FF2B5EF4-FFF2-40B4-BE49-F238E27FC236}">
              <a16:creationId xmlns:a16="http://schemas.microsoft.com/office/drawing/2014/main" id="{00000000-0008-0000-0600-00005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a:extLst>
            <a:ext uri="{FF2B5EF4-FFF2-40B4-BE49-F238E27FC236}">
              <a16:creationId xmlns:a16="http://schemas.microsoft.com/office/drawing/2014/main" id="{00000000-0008-0000-0600-00005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a:extLst>
            <a:ext uri="{FF2B5EF4-FFF2-40B4-BE49-F238E27FC236}">
              <a16:creationId xmlns:a16="http://schemas.microsoft.com/office/drawing/2014/main" id="{00000000-0008-0000-0600-00005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a:extLst>
            <a:ext uri="{FF2B5EF4-FFF2-40B4-BE49-F238E27FC236}">
              <a16:creationId xmlns:a16="http://schemas.microsoft.com/office/drawing/2014/main" id="{00000000-0008-0000-0600-00005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a:extLst>
            <a:ext uri="{FF2B5EF4-FFF2-40B4-BE49-F238E27FC236}">
              <a16:creationId xmlns:a16="http://schemas.microsoft.com/office/drawing/2014/main" id="{00000000-0008-0000-0600-00005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a:extLst>
            <a:ext uri="{FF2B5EF4-FFF2-40B4-BE49-F238E27FC236}">
              <a16:creationId xmlns:a16="http://schemas.microsoft.com/office/drawing/2014/main" id="{00000000-0008-0000-0600-00005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a:extLst>
            <a:ext uri="{FF2B5EF4-FFF2-40B4-BE49-F238E27FC236}">
              <a16:creationId xmlns:a16="http://schemas.microsoft.com/office/drawing/2014/main" id="{00000000-0008-0000-0600-00005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a:extLst>
            <a:ext uri="{FF2B5EF4-FFF2-40B4-BE49-F238E27FC236}">
              <a16:creationId xmlns:a16="http://schemas.microsoft.com/office/drawing/2014/main" id="{00000000-0008-0000-0600-00005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a:extLst>
            <a:ext uri="{FF2B5EF4-FFF2-40B4-BE49-F238E27FC236}">
              <a16:creationId xmlns:a16="http://schemas.microsoft.com/office/drawing/2014/main" id="{00000000-0008-0000-0600-00005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a:extLst>
            <a:ext uri="{FF2B5EF4-FFF2-40B4-BE49-F238E27FC236}">
              <a16:creationId xmlns:a16="http://schemas.microsoft.com/office/drawing/2014/main" id="{00000000-0008-0000-0600-00006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a:extLst>
            <a:ext uri="{FF2B5EF4-FFF2-40B4-BE49-F238E27FC236}">
              <a16:creationId xmlns:a16="http://schemas.microsoft.com/office/drawing/2014/main" id="{00000000-0008-0000-0600-00006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a:extLst>
            <a:ext uri="{FF2B5EF4-FFF2-40B4-BE49-F238E27FC236}">
              <a16:creationId xmlns:a16="http://schemas.microsoft.com/office/drawing/2014/main" id="{00000000-0008-0000-0600-00006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a:extLst>
            <a:ext uri="{FF2B5EF4-FFF2-40B4-BE49-F238E27FC236}">
              <a16:creationId xmlns:a16="http://schemas.microsoft.com/office/drawing/2014/main" id="{00000000-0008-0000-0600-00006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a:extLst>
            <a:ext uri="{FF2B5EF4-FFF2-40B4-BE49-F238E27FC236}">
              <a16:creationId xmlns:a16="http://schemas.microsoft.com/office/drawing/2014/main" id="{00000000-0008-0000-0600-00006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a:extLst>
            <a:ext uri="{FF2B5EF4-FFF2-40B4-BE49-F238E27FC236}">
              <a16:creationId xmlns:a16="http://schemas.microsoft.com/office/drawing/2014/main" id="{00000000-0008-0000-0600-00006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a:extLst>
            <a:ext uri="{FF2B5EF4-FFF2-40B4-BE49-F238E27FC236}">
              <a16:creationId xmlns:a16="http://schemas.microsoft.com/office/drawing/2014/main" id="{00000000-0008-0000-0600-00006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a:extLst>
            <a:ext uri="{FF2B5EF4-FFF2-40B4-BE49-F238E27FC236}">
              <a16:creationId xmlns:a16="http://schemas.microsoft.com/office/drawing/2014/main" id="{00000000-0008-0000-0600-00006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a:extLst>
            <a:ext uri="{FF2B5EF4-FFF2-40B4-BE49-F238E27FC236}">
              <a16:creationId xmlns:a16="http://schemas.microsoft.com/office/drawing/2014/main" id="{00000000-0008-0000-0600-00006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a:extLst>
            <a:ext uri="{FF2B5EF4-FFF2-40B4-BE49-F238E27FC236}">
              <a16:creationId xmlns:a16="http://schemas.microsoft.com/office/drawing/2014/main" id="{00000000-0008-0000-0600-00006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a:extLst>
            <a:ext uri="{FF2B5EF4-FFF2-40B4-BE49-F238E27FC236}">
              <a16:creationId xmlns:a16="http://schemas.microsoft.com/office/drawing/2014/main" id="{00000000-0008-0000-0600-00006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a:extLst>
            <a:ext uri="{FF2B5EF4-FFF2-40B4-BE49-F238E27FC236}">
              <a16:creationId xmlns:a16="http://schemas.microsoft.com/office/drawing/2014/main" id="{00000000-0008-0000-0600-00006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a:extLst>
            <a:ext uri="{FF2B5EF4-FFF2-40B4-BE49-F238E27FC236}">
              <a16:creationId xmlns:a16="http://schemas.microsoft.com/office/drawing/2014/main" id="{00000000-0008-0000-0600-00006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a:extLst>
            <a:ext uri="{FF2B5EF4-FFF2-40B4-BE49-F238E27FC236}">
              <a16:creationId xmlns:a16="http://schemas.microsoft.com/office/drawing/2014/main" id="{00000000-0008-0000-0600-00006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a:extLst>
            <a:ext uri="{FF2B5EF4-FFF2-40B4-BE49-F238E27FC236}">
              <a16:creationId xmlns:a16="http://schemas.microsoft.com/office/drawing/2014/main" id="{00000000-0008-0000-0600-00006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a:extLst>
            <a:ext uri="{FF2B5EF4-FFF2-40B4-BE49-F238E27FC236}">
              <a16:creationId xmlns:a16="http://schemas.microsoft.com/office/drawing/2014/main" id="{00000000-0008-0000-0600-00006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a:extLst>
            <a:ext uri="{FF2B5EF4-FFF2-40B4-BE49-F238E27FC236}">
              <a16:creationId xmlns:a16="http://schemas.microsoft.com/office/drawing/2014/main" id="{00000000-0008-0000-0600-00007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a:extLst>
            <a:ext uri="{FF2B5EF4-FFF2-40B4-BE49-F238E27FC236}">
              <a16:creationId xmlns:a16="http://schemas.microsoft.com/office/drawing/2014/main" id="{00000000-0008-0000-0600-00007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a:extLst>
            <a:ext uri="{FF2B5EF4-FFF2-40B4-BE49-F238E27FC236}">
              <a16:creationId xmlns:a16="http://schemas.microsoft.com/office/drawing/2014/main" id="{00000000-0008-0000-0600-00007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a:extLst>
            <a:ext uri="{FF2B5EF4-FFF2-40B4-BE49-F238E27FC236}">
              <a16:creationId xmlns:a16="http://schemas.microsoft.com/office/drawing/2014/main" id="{00000000-0008-0000-0600-00007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a:extLst>
            <a:ext uri="{FF2B5EF4-FFF2-40B4-BE49-F238E27FC236}">
              <a16:creationId xmlns:a16="http://schemas.microsoft.com/office/drawing/2014/main" id="{00000000-0008-0000-0600-00007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a:extLst>
            <a:ext uri="{FF2B5EF4-FFF2-40B4-BE49-F238E27FC236}">
              <a16:creationId xmlns:a16="http://schemas.microsoft.com/office/drawing/2014/main" id="{00000000-0008-0000-0600-00007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a:extLst>
            <a:ext uri="{FF2B5EF4-FFF2-40B4-BE49-F238E27FC236}">
              <a16:creationId xmlns:a16="http://schemas.microsoft.com/office/drawing/2014/main" id="{00000000-0008-0000-0600-00007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a:extLst>
            <a:ext uri="{FF2B5EF4-FFF2-40B4-BE49-F238E27FC236}">
              <a16:creationId xmlns:a16="http://schemas.microsoft.com/office/drawing/2014/main" id="{00000000-0008-0000-0600-00007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a:extLst>
            <a:ext uri="{FF2B5EF4-FFF2-40B4-BE49-F238E27FC236}">
              <a16:creationId xmlns:a16="http://schemas.microsoft.com/office/drawing/2014/main" id="{00000000-0008-0000-0600-00007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a:extLst>
            <a:ext uri="{FF2B5EF4-FFF2-40B4-BE49-F238E27FC236}">
              <a16:creationId xmlns:a16="http://schemas.microsoft.com/office/drawing/2014/main" id="{00000000-0008-0000-0600-00007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a:extLst>
            <a:ext uri="{FF2B5EF4-FFF2-40B4-BE49-F238E27FC236}">
              <a16:creationId xmlns:a16="http://schemas.microsoft.com/office/drawing/2014/main" id="{00000000-0008-0000-0600-00007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a:extLst>
            <a:ext uri="{FF2B5EF4-FFF2-40B4-BE49-F238E27FC236}">
              <a16:creationId xmlns:a16="http://schemas.microsoft.com/office/drawing/2014/main" id="{00000000-0008-0000-0600-00007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a:extLst>
            <a:ext uri="{FF2B5EF4-FFF2-40B4-BE49-F238E27FC236}">
              <a16:creationId xmlns:a16="http://schemas.microsoft.com/office/drawing/2014/main" id="{00000000-0008-0000-0600-00007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a:extLst>
            <a:ext uri="{FF2B5EF4-FFF2-40B4-BE49-F238E27FC236}">
              <a16:creationId xmlns:a16="http://schemas.microsoft.com/office/drawing/2014/main" id="{00000000-0008-0000-0600-00007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a:extLst>
            <a:ext uri="{FF2B5EF4-FFF2-40B4-BE49-F238E27FC236}">
              <a16:creationId xmlns:a16="http://schemas.microsoft.com/office/drawing/2014/main" id="{00000000-0008-0000-0600-00007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a:extLst>
            <a:ext uri="{FF2B5EF4-FFF2-40B4-BE49-F238E27FC236}">
              <a16:creationId xmlns:a16="http://schemas.microsoft.com/office/drawing/2014/main" id="{00000000-0008-0000-0600-00007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a:extLst>
            <a:ext uri="{FF2B5EF4-FFF2-40B4-BE49-F238E27FC236}">
              <a16:creationId xmlns:a16="http://schemas.microsoft.com/office/drawing/2014/main" id="{00000000-0008-0000-0600-00008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a:extLst>
            <a:ext uri="{FF2B5EF4-FFF2-40B4-BE49-F238E27FC236}">
              <a16:creationId xmlns:a16="http://schemas.microsoft.com/office/drawing/2014/main" id="{00000000-0008-0000-0600-00008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a:extLst>
            <a:ext uri="{FF2B5EF4-FFF2-40B4-BE49-F238E27FC236}">
              <a16:creationId xmlns:a16="http://schemas.microsoft.com/office/drawing/2014/main" id="{00000000-0008-0000-0600-00008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a:extLst>
            <a:ext uri="{FF2B5EF4-FFF2-40B4-BE49-F238E27FC236}">
              <a16:creationId xmlns:a16="http://schemas.microsoft.com/office/drawing/2014/main" id="{00000000-0008-0000-0600-00008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a:extLst>
            <a:ext uri="{FF2B5EF4-FFF2-40B4-BE49-F238E27FC236}">
              <a16:creationId xmlns:a16="http://schemas.microsoft.com/office/drawing/2014/main" id="{00000000-0008-0000-0600-00008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a:extLst>
            <a:ext uri="{FF2B5EF4-FFF2-40B4-BE49-F238E27FC236}">
              <a16:creationId xmlns:a16="http://schemas.microsoft.com/office/drawing/2014/main" id="{00000000-0008-0000-0600-00008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a:extLst>
            <a:ext uri="{FF2B5EF4-FFF2-40B4-BE49-F238E27FC236}">
              <a16:creationId xmlns:a16="http://schemas.microsoft.com/office/drawing/2014/main" id="{00000000-0008-0000-0600-00008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a:extLst>
            <a:ext uri="{FF2B5EF4-FFF2-40B4-BE49-F238E27FC236}">
              <a16:creationId xmlns:a16="http://schemas.microsoft.com/office/drawing/2014/main" id="{00000000-0008-0000-0600-00008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a:extLst>
            <a:ext uri="{FF2B5EF4-FFF2-40B4-BE49-F238E27FC236}">
              <a16:creationId xmlns:a16="http://schemas.microsoft.com/office/drawing/2014/main" id="{00000000-0008-0000-0600-00008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a:extLst>
            <a:ext uri="{FF2B5EF4-FFF2-40B4-BE49-F238E27FC236}">
              <a16:creationId xmlns:a16="http://schemas.microsoft.com/office/drawing/2014/main" id="{00000000-0008-0000-0600-00008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a:extLst>
            <a:ext uri="{FF2B5EF4-FFF2-40B4-BE49-F238E27FC236}">
              <a16:creationId xmlns:a16="http://schemas.microsoft.com/office/drawing/2014/main" id="{00000000-0008-0000-0600-00008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a:extLst>
            <a:ext uri="{FF2B5EF4-FFF2-40B4-BE49-F238E27FC236}">
              <a16:creationId xmlns:a16="http://schemas.microsoft.com/office/drawing/2014/main" id="{00000000-0008-0000-0600-00008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a:extLst>
            <a:ext uri="{FF2B5EF4-FFF2-40B4-BE49-F238E27FC236}">
              <a16:creationId xmlns:a16="http://schemas.microsoft.com/office/drawing/2014/main" id="{00000000-0008-0000-0600-00008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a:extLst>
            <a:ext uri="{FF2B5EF4-FFF2-40B4-BE49-F238E27FC236}">
              <a16:creationId xmlns:a16="http://schemas.microsoft.com/office/drawing/2014/main" id="{00000000-0008-0000-0600-00008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a:extLst>
            <a:ext uri="{FF2B5EF4-FFF2-40B4-BE49-F238E27FC236}">
              <a16:creationId xmlns:a16="http://schemas.microsoft.com/office/drawing/2014/main" id="{00000000-0008-0000-0600-00008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a:extLst>
            <a:ext uri="{FF2B5EF4-FFF2-40B4-BE49-F238E27FC236}">
              <a16:creationId xmlns:a16="http://schemas.microsoft.com/office/drawing/2014/main" id="{00000000-0008-0000-0600-00008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a:extLst>
            <a:ext uri="{FF2B5EF4-FFF2-40B4-BE49-F238E27FC236}">
              <a16:creationId xmlns:a16="http://schemas.microsoft.com/office/drawing/2014/main" id="{00000000-0008-0000-0600-00009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a:extLst>
            <a:ext uri="{FF2B5EF4-FFF2-40B4-BE49-F238E27FC236}">
              <a16:creationId xmlns:a16="http://schemas.microsoft.com/office/drawing/2014/main" id="{00000000-0008-0000-0600-00009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a:extLst>
            <a:ext uri="{FF2B5EF4-FFF2-40B4-BE49-F238E27FC236}">
              <a16:creationId xmlns:a16="http://schemas.microsoft.com/office/drawing/2014/main" id="{00000000-0008-0000-0600-00009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a:extLst>
            <a:ext uri="{FF2B5EF4-FFF2-40B4-BE49-F238E27FC236}">
              <a16:creationId xmlns:a16="http://schemas.microsoft.com/office/drawing/2014/main" id="{00000000-0008-0000-0600-00009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a:extLst>
            <a:ext uri="{FF2B5EF4-FFF2-40B4-BE49-F238E27FC236}">
              <a16:creationId xmlns:a16="http://schemas.microsoft.com/office/drawing/2014/main" id="{00000000-0008-0000-0600-00009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a:extLst>
            <a:ext uri="{FF2B5EF4-FFF2-40B4-BE49-F238E27FC236}">
              <a16:creationId xmlns:a16="http://schemas.microsoft.com/office/drawing/2014/main" id="{00000000-0008-0000-0600-00009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a:extLst>
            <a:ext uri="{FF2B5EF4-FFF2-40B4-BE49-F238E27FC236}">
              <a16:creationId xmlns:a16="http://schemas.microsoft.com/office/drawing/2014/main" id="{00000000-0008-0000-0600-00009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a:extLst>
            <a:ext uri="{FF2B5EF4-FFF2-40B4-BE49-F238E27FC236}">
              <a16:creationId xmlns:a16="http://schemas.microsoft.com/office/drawing/2014/main" id="{00000000-0008-0000-0600-00009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a:extLst>
            <a:ext uri="{FF2B5EF4-FFF2-40B4-BE49-F238E27FC236}">
              <a16:creationId xmlns:a16="http://schemas.microsoft.com/office/drawing/2014/main" id="{00000000-0008-0000-0600-00009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a:extLst>
            <a:ext uri="{FF2B5EF4-FFF2-40B4-BE49-F238E27FC236}">
              <a16:creationId xmlns:a16="http://schemas.microsoft.com/office/drawing/2014/main" id="{00000000-0008-0000-0600-00009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a:extLst>
            <a:ext uri="{FF2B5EF4-FFF2-40B4-BE49-F238E27FC236}">
              <a16:creationId xmlns:a16="http://schemas.microsoft.com/office/drawing/2014/main" id="{00000000-0008-0000-0600-00009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a:extLst>
            <a:ext uri="{FF2B5EF4-FFF2-40B4-BE49-F238E27FC236}">
              <a16:creationId xmlns:a16="http://schemas.microsoft.com/office/drawing/2014/main" id="{00000000-0008-0000-0600-00009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a:extLst>
            <a:ext uri="{FF2B5EF4-FFF2-40B4-BE49-F238E27FC236}">
              <a16:creationId xmlns:a16="http://schemas.microsoft.com/office/drawing/2014/main" id="{00000000-0008-0000-0600-00009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a:extLst>
            <a:ext uri="{FF2B5EF4-FFF2-40B4-BE49-F238E27FC236}">
              <a16:creationId xmlns:a16="http://schemas.microsoft.com/office/drawing/2014/main" id="{00000000-0008-0000-0600-00009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a:extLst>
            <a:ext uri="{FF2B5EF4-FFF2-40B4-BE49-F238E27FC236}">
              <a16:creationId xmlns:a16="http://schemas.microsoft.com/office/drawing/2014/main" id="{00000000-0008-0000-0600-00009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a:extLst>
            <a:ext uri="{FF2B5EF4-FFF2-40B4-BE49-F238E27FC236}">
              <a16:creationId xmlns:a16="http://schemas.microsoft.com/office/drawing/2014/main" id="{00000000-0008-0000-0600-00009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a:extLst>
            <a:ext uri="{FF2B5EF4-FFF2-40B4-BE49-F238E27FC236}">
              <a16:creationId xmlns:a16="http://schemas.microsoft.com/office/drawing/2014/main" id="{00000000-0008-0000-0600-0000A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a:extLst>
            <a:ext uri="{FF2B5EF4-FFF2-40B4-BE49-F238E27FC236}">
              <a16:creationId xmlns:a16="http://schemas.microsoft.com/office/drawing/2014/main" id="{00000000-0008-0000-0600-0000A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a:extLst>
            <a:ext uri="{FF2B5EF4-FFF2-40B4-BE49-F238E27FC236}">
              <a16:creationId xmlns:a16="http://schemas.microsoft.com/office/drawing/2014/main" id="{00000000-0008-0000-0600-0000A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a:extLst>
            <a:ext uri="{FF2B5EF4-FFF2-40B4-BE49-F238E27FC236}">
              <a16:creationId xmlns:a16="http://schemas.microsoft.com/office/drawing/2014/main" id="{00000000-0008-0000-0600-0000A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a:extLst>
            <a:ext uri="{FF2B5EF4-FFF2-40B4-BE49-F238E27FC236}">
              <a16:creationId xmlns:a16="http://schemas.microsoft.com/office/drawing/2014/main" id="{00000000-0008-0000-0600-0000A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a:extLst>
            <a:ext uri="{FF2B5EF4-FFF2-40B4-BE49-F238E27FC236}">
              <a16:creationId xmlns:a16="http://schemas.microsoft.com/office/drawing/2014/main" id="{00000000-0008-0000-0600-0000A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a:extLst>
            <a:ext uri="{FF2B5EF4-FFF2-40B4-BE49-F238E27FC236}">
              <a16:creationId xmlns:a16="http://schemas.microsoft.com/office/drawing/2014/main" id="{00000000-0008-0000-0600-0000A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a:extLst>
            <a:ext uri="{FF2B5EF4-FFF2-40B4-BE49-F238E27FC236}">
              <a16:creationId xmlns:a16="http://schemas.microsoft.com/office/drawing/2014/main" id="{00000000-0008-0000-0600-0000A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a:extLst>
            <a:ext uri="{FF2B5EF4-FFF2-40B4-BE49-F238E27FC236}">
              <a16:creationId xmlns:a16="http://schemas.microsoft.com/office/drawing/2014/main" id="{00000000-0008-0000-0600-0000A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a:extLst>
            <a:ext uri="{FF2B5EF4-FFF2-40B4-BE49-F238E27FC236}">
              <a16:creationId xmlns:a16="http://schemas.microsoft.com/office/drawing/2014/main" id="{00000000-0008-0000-0600-0000A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a:extLst>
            <a:ext uri="{FF2B5EF4-FFF2-40B4-BE49-F238E27FC236}">
              <a16:creationId xmlns:a16="http://schemas.microsoft.com/office/drawing/2014/main" id="{00000000-0008-0000-0600-0000A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a:extLst>
            <a:ext uri="{FF2B5EF4-FFF2-40B4-BE49-F238E27FC236}">
              <a16:creationId xmlns:a16="http://schemas.microsoft.com/office/drawing/2014/main" id="{00000000-0008-0000-0600-0000A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a:extLst>
            <a:ext uri="{FF2B5EF4-FFF2-40B4-BE49-F238E27FC236}">
              <a16:creationId xmlns:a16="http://schemas.microsoft.com/office/drawing/2014/main" id="{00000000-0008-0000-0600-0000A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a:extLst>
            <a:ext uri="{FF2B5EF4-FFF2-40B4-BE49-F238E27FC236}">
              <a16:creationId xmlns:a16="http://schemas.microsoft.com/office/drawing/2014/main" id="{00000000-0008-0000-0600-0000A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a:extLst>
            <a:ext uri="{FF2B5EF4-FFF2-40B4-BE49-F238E27FC236}">
              <a16:creationId xmlns:a16="http://schemas.microsoft.com/office/drawing/2014/main" id="{00000000-0008-0000-0600-0000A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a:extLst>
            <a:ext uri="{FF2B5EF4-FFF2-40B4-BE49-F238E27FC236}">
              <a16:creationId xmlns:a16="http://schemas.microsoft.com/office/drawing/2014/main" id="{00000000-0008-0000-0600-0000A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a:extLst>
            <a:ext uri="{FF2B5EF4-FFF2-40B4-BE49-F238E27FC236}">
              <a16:creationId xmlns:a16="http://schemas.microsoft.com/office/drawing/2014/main" id="{00000000-0008-0000-0600-0000B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a:extLst>
            <a:ext uri="{FF2B5EF4-FFF2-40B4-BE49-F238E27FC236}">
              <a16:creationId xmlns:a16="http://schemas.microsoft.com/office/drawing/2014/main" id="{00000000-0008-0000-0600-0000B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a:extLst>
            <a:ext uri="{FF2B5EF4-FFF2-40B4-BE49-F238E27FC236}">
              <a16:creationId xmlns:a16="http://schemas.microsoft.com/office/drawing/2014/main" id="{00000000-0008-0000-0600-0000B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a:extLst>
            <a:ext uri="{FF2B5EF4-FFF2-40B4-BE49-F238E27FC236}">
              <a16:creationId xmlns:a16="http://schemas.microsoft.com/office/drawing/2014/main" id="{00000000-0008-0000-0600-0000B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a:extLst>
            <a:ext uri="{FF2B5EF4-FFF2-40B4-BE49-F238E27FC236}">
              <a16:creationId xmlns:a16="http://schemas.microsoft.com/office/drawing/2014/main" id="{00000000-0008-0000-0600-0000B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a:extLst>
            <a:ext uri="{FF2B5EF4-FFF2-40B4-BE49-F238E27FC236}">
              <a16:creationId xmlns:a16="http://schemas.microsoft.com/office/drawing/2014/main" id="{00000000-0008-0000-0600-0000B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a:extLst>
            <a:ext uri="{FF2B5EF4-FFF2-40B4-BE49-F238E27FC236}">
              <a16:creationId xmlns:a16="http://schemas.microsoft.com/office/drawing/2014/main" id="{00000000-0008-0000-0600-0000B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a:extLst>
            <a:ext uri="{FF2B5EF4-FFF2-40B4-BE49-F238E27FC236}">
              <a16:creationId xmlns:a16="http://schemas.microsoft.com/office/drawing/2014/main" id="{00000000-0008-0000-0600-0000B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a:extLst>
            <a:ext uri="{FF2B5EF4-FFF2-40B4-BE49-F238E27FC236}">
              <a16:creationId xmlns:a16="http://schemas.microsoft.com/office/drawing/2014/main" id="{00000000-0008-0000-0600-0000B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a:extLst>
            <a:ext uri="{FF2B5EF4-FFF2-40B4-BE49-F238E27FC236}">
              <a16:creationId xmlns:a16="http://schemas.microsoft.com/office/drawing/2014/main" id="{00000000-0008-0000-0600-0000B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a:extLst>
            <a:ext uri="{FF2B5EF4-FFF2-40B4-BE49-F238E27FC236}">
              <a16:creationId xmlns:a16="http://schemas.microsoft.com/office/drawing/2014/main" id="{00000000-0008-0000-0600-0000B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a:extLst>
            <a:ext uri="{FF2B5EF4-FFF2-40B4-BE49-F238E27FC236}">
              <a16:creationId xmlns:a16="http://schemas.microsoft.com/office/drawing/2014/main" id="{00000000-0008-0000-0600-0000B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a:extLst>
            <a:ext uri="{FF2B5EF4-FFF2-40B4-BE49-F238E27FC236}">
              <a16:creationId xmlns:a16="http://schemas.microsoft.com/office/drawing/2014/main" id="{00000000-0008-0000-0600-0000B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a:extLst>
            <a:ext uri="{FF2B5EF4-FFF2-40B4-BE49-F238E27FC236}">
              <a16:creationId xmlns:a16="http://schemas.microsoft.com/office/drawing/2014/main" id="{00000000-0008-0000-0600-0000B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a:extLst>
            <a:ext uri="{FF2B5EF4-FFF2-40B4-BE49-F238E27FC236}">
              <a16:creationId xmlns:a16="http://schemas.microsoft.com/office/drawing/2014/main" id="{00000000-0008-0000-0600-0000B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a:extLst>
            <a:ext uri="{FF2B5EF4-FFF2-40B4-BE49-F238E27FC236}">
              <a16:creationId xmlns:a16="http://schemas.microsoft.com/office/drawing/2014/main" id="{00000000-0008-0000-0600-0000B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a:extLst>
            <a:ext uri="{FF2B5EF4-FFF2-40B4-BE49-F238E27FC236}">
              <a16:creationId xmlns:a16="http://schemas.microsoft.com/office/drawing/2014/main" id="{00000000-0008-0000-0600-0000C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a:extLst>
            <a:ext uri="{FF2B5EF4-FFF2-40B4-BE49-F238E27FC236}">
              <a16:creationId xmlns:a16="http://schemas.microsoft.com/office/drawing/2014/main" id="{00000000-0008-0000-0600-0000C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a:extLst>
            <a:ext uri="{FF2B5EF4-FFF2-40B4-BE49-F238E27FC236}">
              <a16:creationId xmlns:a16="http://schemas.microsoft.com/office/drawing/2014/main" id="{00000000-0008-0000-0600-0000C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a:extLst>
            <a:ext uri="{FF2B5EF4-FFF2-40B4-BE49-F238E27FC236}">
              <a16:creationId xmlns:a16="http://schemas.microsoft.com/office/drawing/2014/main" id="{00000000-0008-0000-0600-0000C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a:extLst>
            <a:ext uri="{FF2B5EF4-FFF2-40B4-BE49-F238E27FC236}">
              <a16:creationId xmlns:a16="http://schemas.microsoft.com/office/drawing/2014/main" id="{00000000-0008-0000-0600-0000C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a:extLst>
            <a:ext uri="{FF2B5EF4-FFF2-40B4-BE49-F238E27FC236}">
              <a16:creationId xmlns:a16="http://schemas.microsoft.com/office/drawing/2014/main" id="{00000000-0008-0000-0600-0000C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a:extLst>
            <a:ext uri="{FF2B5EF4-FFF2-40B4-BE49-F238E27FC236}">
              <a16:creationId xmlns:a16="http://schemas.microsoft.com/office/drawing/2014/main" id="{00000000-0008-0000-0600-0000C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a:extLst>
            <a:ext uri="{FF2B5EF4-FFF2-40B4-BE49-F238E27FC236}">
              <a16:creationId xmlns:a16="http://schemas.microsoft.com/office/drawing/2014/main" id="{00000000-0008-0000-0600-0000C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a:extLst>
            <a:ext uri="{FF2B5EF4-FFF2-40B4-BE49-F238E27FC236}">
              <a16:creationId xmlns:a16="http://schemas.microsoft.com/office/drawing/2014/main" id="{00000000-0008-0000-0600-0000C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a:extLst>
            <a:ext uri="{FF2B5EF4-FFF2-40B4-BE49-F238E27FC236}">
              <a16:creationId xmlns:a16="http://schemas.microsoft.com/office/drawing/2014/main" id="{00000000-0008-0000-0600-0000C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a:extLst>
            <a:ext uri="{FF2B5EF4-FFF2-40B4-BE49-F238E27FC236}">
              <a16:creationId xmlns:a16="http://schemas.microsoft.com/office/drawing/2014/main" id="{00000000-0008-0000-0600-0000C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a:extLst>
            <a:ext uri="{FF2B5EF4-FFF2-40B4-BE49-F238E27FC236}">
              <a16:creationId xmlns:a16="http://schemas.microsoft.com/office/drawing/2014/main" id="{00000000-0008-0000-0600-0000C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a:extLst>
            <a:ext uri="{FF2B5EF4-FFF2-40B4-BE49-F238E27FC236}">
              <a16:creationId xmlns:a16="http://schemas.microsoft.com/office/drawing/2014/main" id="{00000000-0008-0000-0600-0000C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a:extLst>
            <a:ext uri="{FF2B5EF4-FFF2-40B4-BE49-F238E27FC236}">
              <a16:creationId xmlns:a16="http://schemas.microsoft.com/office/drawing/2014/main" id="{00000000-0008-0000-0600-0000C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a:extLst>
            <a:ext uri="{FF2B5EF4-FFF2-40B4-BE49-F238E27FC236}">
              <a16:creationId xmlns:a16="http://schemas.microsoft.com/office/drawing/2014/main" id="{00000000-0008-0000-0600-0000C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a:extLst>
            <a:ext uri="{FF2B5EF4-FFF2-40B4-BE49-F238E27FC236}">
              <a16:creationId xmlns:a16="http://schemas.microsoft.com/office/drawing/2014/main" id="{00000000-0008-0000-0600-0000C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a:extLst>
            <a:ext uri="{FF2B5EF4-FFF2-40B4-BE49-F238E27FC236}">
              <a16:creationId xmlns:a16="http://schemas.microsoft.com/office/drawing/2014/main" id="{00000000-0008-0000-0600-0000D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a:extLst>
            <a:ext uri="{FF2B5EF4-FFF2-40B4-BE49-F238E27FC236}">
              <a16:creationId xmlns:a16="http://schemas.microsoft.com/office/drawing/2014/main" id="{00000000-0008-0000-0600-0000D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a:extLst>
            <a:ext uri="{FF2B5EF4-FFF2-40B4-BE49-F238E27FC236}">
              <a16:creationId xmlns:a16="http://schemas.microsoft.com/office/drawing/2014/main" id="{00000000-0008-0000-0600-0000D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a:extLst>
            <a:ext uri="{FF2B5EF4-FFF2-40B4-BE49-F238E27FC236}">
              <a16:creationId xmlns:a16="http://schemas.microsoft.com/office/drawing/2014/main" id="{00000000-0008-0000-0600-0000D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a:extLst>
            <a:ext uri="{FF2B5EF4-FFF2-40B4-BE49-F238E27FC236}">
              <a16:creationId xmlns:a16="http://schemas.microsoft.com/office/drawing/2014/main" id="{00000000-0008-0000-0600-0000D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a:extLst>
            <a:ext uri="{FF2B5EF4-FFF2-40B4-BE49-F238E27FC236}">
              <a16:creationId xmlns:a16="http://schemas.microsoft.com/office/drawing/2014/main" id="{00000000-0008-0000-0600-0000D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a:extLst>
            <a:ext uri="{FF2B5EF4-FFF2-40B4-BE49-F238E27FC236}">
              <a16:creationId xmlns:a16="http://schemas.microsoft.com/office/drawing/2014/main" id="{00000000-0008-0000-0600-0000D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a:extLst>
            <a:ext uri="{FF2B5EF4-FFF2-40B4-BE49-F238E27FC236}">
              <a16:creationId xmlns:a16="http://schemas.microsoft.com/office/drawing/2014/main" id="{00000000-0008-0000-0600-0000D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a:extLst>
            <a:ext uri="{FF2B5EF4-FFF2-40B4-BE49-F238E27FC236}">
              <a16:creationId xmlns:a16="http://schemas.microsoft.com/office/drawing/2014/main" id="{00000000-0008-0000-0600-0000D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a:extLst>
            <a:ext uri="{FF2B5EF4-FFF2-40B4-BE49-F238E27FC236}">
              <a16:creationId xmlns:a16="http://schemas.microsoft.com/office/drawing/2014/main" id="{00000000-0008-0000-0600-0000D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a:extLst>
            <a:ext uri="{FF2B5EF4-FFF2-40B4-BE49-F238E27FC236}">
              <a16:creationId xmlns:a16="http://schemas.microsoft.com/office/drawing/2014/main" id="{00000000-0008-0000-0600-0000D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a:extLst>
            <a:ext uri="{FF2B5EF4-FFF2-40B4-BE49-F238E27FC236}">
              <a16:creationId xmlns:a16="http://schemas.microsoft.com/office/drawing/2014/main" id="{00000000-0008-0000-0600-0000D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a:extLst>
            <a:ext uri="{FF2B5EF4-FFF2-40B4-BE49-F238E27FC236}">
              <a16:creationId xmlns:a16="http://schemas.microsoft.com/office/drawing/2014/main" id="{00000000-0008-0000-0600-0000D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a:extLst>
            <a:ext uri="{FF2B5EF4-FFF2-40B4-BE49-F238E27FC236}">
              <a16:creationId xmlns:a16="http://schemas.microsoft.com/office/drawing/2014/main" id="{00000000-0008-0000-0600-0000D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a:extLst>
            <a:ext uri="{FF2B5EF4-FFF2-40B4-BE49-F238E27FC236}">
              <a16:creationId xmlns:a16="http://schemas.microsoft.com/office/drawing/2014/main" id="{00000000-0008-0000-0600-0000D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a:extLst>
            <a:ext uri="{FF2B5EF4-FFF2-40B4-BE49-F238E27FC236}">
              <a16:creationId xmlns:a16="http://schemas.microsoft.com/office/drawing/2014/main" id="{00000000-0008-0000-0600-0000D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a:extLst>
            <a:ext uri="{FF2B5EF4-FFF2-40B4-BE49-F238E27FC236}">
              <a16:creationId xmlns:a16="http://schemas.microsoft.com/office/drawing/2014/main" id="{00000000-0008-0000-0600-0000E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a:extLst>
            <a:ext uri="{FF2B5EF4-FFF2-40B4-BE49-F238E27FC236}">
              <a16:creationId xmlns:a16="http://schemas.microsoft.com/office/drawing/2014/main" id="{00000000-0008-0000-0600-0000E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a:extLst>
            <a:ext uri="{FF2B5EF4-FFF2-40B4-BE49-F238E27FC236}">
              <a16:creationId xmlns:a16="http://schemas.microsoft.com/office/drawing/2014/main" id="{00000000-0008-0000-0600-0000E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a:extLst>
            <a:ext uri="{FF2B5EF4-FFF2-40B4-BE49-F238E27FC236}">
              <a16:creationId xmlns:a16="http://schemas.microsoft.com/office/drawing/2014/main" id="{00000000-0008-0000-0600-0000E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a:extLst>
            <a:ext uri="{FF2B5EF4-FFF2-40B4-BE49-F238E27FC236}">
              <a16:creationId xmlns:a16="http://schemas.microsoft.com/office/drawing/2014/main" id="{00000000-0008-0000-0600-0000E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a:extLst>
            <a:ext uri="{FF2B5EF4-FFF2-40B4-BE49-F238E27FC236}">
              <a16:creationId xmlns:a16="http://schemas.microsoft.com/office/drawing/2014/main" id="{00000000-0008-0000-0600-0000E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a:extLst>
            <a:ext uri="{FF2B5EF4-FFF2-40B4-BE49-F238E27FC236}">
              <a16:creationId xmlns:a16="http://schemas.microsoft.com/office/drawing/2014/main" id="{00000000-0008-0000-0600-0000E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a:extLst>
            <a:ext uri="{FF2B5EF4-FFF2-40B4-BE49-F238E27FC236}">
              <a16:creationId xmlns:a16="http://schemas.microsoft.com/office/drawing/2014/main" id="{00000000-0008-0000-0600-0000E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a:extLst>
            <a:ext uri="{FF2B5EF4-FFF2-40B4-BE49-F238E27FC236}">
              <a16:creationId xmlns:a16="http://schemas.microsoft.com/office/drawing/2014/main" id="{00000000-0008-0000-0600-0000E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a:extLst>
            <a:ext uri="{FF2B5EF4-FFF2-40B4-BE49-F238E27FC236}">
              <a16:creationId xmlns:a16="http://schemas.microsoft.com/office/drawing/2014/main" id="{00000000-0008-0000-0600-0000E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a:extLst>
            <a:ext uri="{FF2B5EF4-FFF2-40B4-BE49-F238E27FC236}">
              <a16:creationId xmlns:a16="http://schemas.microsoft.com/office/drawing/2014/main" id="{00000000-0008-0000-0600-0000E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a:extLst>
            <a:ext uri="{FF2B5EF4-FFF2-40B4-BE49-F238E27FC236}">
              <a16:creationId xmlns:a16="http://schemas.microsoft.com/office/drawing/2014/main" id="{00000000-0008-0000-0600-0000E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a:extLst>
            <a:ext uri="{FF2B5EF4-FFF2-40B4-BE49-F238E27FC236}">
              <a16:creationId xmlns:a16="http://schemas.microsoft.com/office/drawing/2014/main" id="{00000000-0008-0000-0600-0000E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a:extLst>
            <a:ext uri="{FF2B5EF4-FFF2-40B4-BE49-F238E27FC236}">
              <a16:creationId xmlns:a16="http://schemas.microsoft.com/office/drawing/2014/main" id="{00000000-0008-0000-0600-0000E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a:extLst>
            <a:ext uri="{FF2B5EF4-FFF2-40B4-BE49-F238E27FC236}">
              <a16:creationId xmlns:a16="http://schemas.microsoft.com/office/drawing/2014/main" id="{00000000-0008-0000-0600-0000E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a:extLst>
            <a:ext uri="{FF2B5EF4-FFF2-40B4-BE49-F238E27FC236}">
              <a16:creationId xmlns:a16="http://schemas.microsoft.com/office/drawing/2014/main" id="{00000000-0008-0000-0600-0000E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a:extLst>
            <a:ext uri="{FF2B5EF4-FFF2-40B4-BE49-F238E27FC236}">
              <a16:creationId xmlns:a16="http://schemas.microsoft.com/office/drawing/2014/main" id="{00000000-0008-0000-0600-0000F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a:extLst>
            <a:ext uri="{FF2B5EF4-FFF2-40B4-BE49-F238E27FC236}">
              <a16:creationId xmlns:a16="http://schemas.microsoft.com/office/drawing/2014/main" id="{00000000-0008-0000-0600-0000F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a:extLst>
            <a:ext uri="{FF2B5EF4-FFF2-40B4-BE49-F238E27FC236}">
              <a16:creationId xmlns:a16="http://schemas.microsoft.com/office/drawing/2014/main" id="{00000000-0008-0000-0600-0000F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a:extLst>
            <a:ext uri="{FF2B5EF4-FFF2-40B4-BE49-F238E27FC236}">
              <a16:creationId xmlns:a16="http://schemas.microsoft.com/office/drawing/2014/main" id="{00000000-0008-0000-0600-0000F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a:extLst>
            <a:ext uri="{FF2B5EF4-FFF2-40B4-BE49-F238E27FC236}">
              <a16:creationId xmlns:a16="http://schemas.microsoft.com/office/drawing/2014/main" id="{00000000-0008-0000-0600-0000F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a:extLst>
            <a:ext uri="{FF2B5EF4-FFF2-40B4-BE49-F238E27FC236}">
              <a16:creationId xmlns:a16="http://schemas.microsoft.com/office/drawing/2014/main" id="{00000000-0008-0000-0600-0000F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a:extLst>
            <a:ext uri="{FF2B5EF4-FFF2-40B4-BE49-F238E27FC236}">
              <a16:creationId xmlns:a16="http://schemas.microsoft.com/office/drawing/2014/main" id="{00000000-0008-0000-0600-0000F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a:extLst>
            <a:ext uri="{FF2B5EF4-FFF2-40B4-BE49-F238E27FC236}">
              <a16:creationId xmlns:a16="http://schemas.microsoft.com/office/drawing/2014/main" id="{00000000-0008-0000-0600-0000F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a:extLst>
            <a:ext uri="{FF2B5EF4-FFF2-40B4-BE49-F238E27FC236}">
              <a16:creationId xmlns:a16="http://schemas.microsoft.com/office/drawing/2014/main" id="{00000000-0008-0000-0600-0000F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a:extLst>
            <a:ext uri="{FF2B5EF4-FFF2-40B4-BE49-F238E27FC236}">
              <a16:creationId xmlns:a16="http://schemas.microsoft.com/office/drawing/2014/main" id="{00000000-0008-0000-0600-0000F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a:extLst>
            <a:ext uri="{FF2B5EF4-FFF2-40B4-BE49-F238E27FC236}">
              <a16:creationId xmlns:a16="http://schemas.microsoft.com/office/drawing/2014/main" id="{00000000-0008-0000-0600-0000F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a:extLst>
            <a:ext uri="{FF2B5EF4-FFF2-40B4-BE49-F238E27FC236}">
              <a16:creationId xmlns:a16="http://schemas.microsoft.com/office/drawing/2014/main" id="{00000000-0008-0000-0600-0000F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a:extLst>
            <a:ext uri="{FF2B5EF4-FFF2-40B4-BE49-F238E27FC236}">
              <a16:creationId xmlns:a16="http://schemas.microsoft.com/office/drawing/2014/main" id="{00000000-0008-0000-0600-0000F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a:extLst>
            <a:ext uri="{FF2B5EF4-FFF2-40B4-BE49-F238E27FC236}">
              <a16:creationId xmlns:a16="http://schemas.microsoft.com/office/drawing/2014/main" id="{00000000-0008-0000-0600-0000F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a:extLst>
            <a:ext uri="{FF2B5EF4-FFF2-40B4-BE49-F238E27FC236}">
              <a16:creationId xmlns:a16="http://schemas.microsoft.com/office/drawing/2014/main" id="{00000000-0008-0000-0600-0000F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a:extLst>
            <a:ext uri="{FF2B5EF4-FFF2-40B4-BE49-F238E27FC236}">
              <a16:creationId xmlns:a16="http://schemas.microsoft.com/office/drawing/2014/main" id="{00000000-0008-0000-0600-0000F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a:extLst>
            <a:ext uri="{FF2B5EF4-FFF2-40B4-BE49-F238E27FC236}">
              <a16:creationId xmlns:a16="http://schemas.microsoft.com/office/drawing/2014/main" id="{00000000-0008-0000-0600-00000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a:extLst>
            <a:ext uri="{FF2B5EF4-FFF2-40B4-BE49-F238E27FC236}">
              <a16:creationId xmlns:a16="http://schemas.microsoft.com/office/drawing/2014/main" id="{00000000-0008-0000-0600-00000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a:extLst>
            <a:ext uri="{FF2B5EF4-FFF2-40B4-BE49-F238E27FC236}">
              <a16:creationId xmlns:a16="http://schemas.microsoft.com/office/drawing/2014/main" id="{00000000-0008-0000-0600-00000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a:extLst>
            <a:ext uri="{FF2B5EF4-FFF2-40B4-BE49-F238E27FC236}">
              <a16:creationId xmlns:a16="http://schemas.microsoft.com/office/drawing/2014/main" id="{00000000-0008-0000-0600-00000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a:extLst>
            <a:ext uri="{FF2B5EF4-FFF2-40B4-BE49-F238E27FC236}">
              <a16:creationId xmlns:a16="http://schemas.microsoft.com/office/drawing/2014/main" id="{00000000-0008-0000-0600-00000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a:extLst>
            <a:ext uri="{FF2B5EF4-FFF2-40B4-BE49-F238E27FC236}">
              <a16:creationId xmlns:a16="http://schemas.microsoft.com/office/drawing/2014/main" id="{00000000-0008-0000-0600-00000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a:extLst>
            <a:ext uri="{FF2B5EF4-FFF2-40B4-BE49-F238E27FC236}">
              <a16:creationId xmlns:a16="http://schemas.microsoft.com/office/drawing/2014/main" id="{00000000-0008-0000-0600-00000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a:extLst>
            <a:ext uri="{FF2B5EF4-FFF2-40B4-BE49-F238E27FC236}">
              <a16:creationId xmlns:a16="http://schemas.microsoft.com/office/drawing/2014/main" id="{00000000-0008-0000-0600-00000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a:extLst>
            <a:ext uri="{FF2B5EF4-FFF2-40B4-BE49-F238E27FC236}">
              <a16:creationId xmlns:a16="http://schemas.microsoft.com/office/drawing/2014/main" id="{00000000-0008-0000-0600-00000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a:extLst>
            <a:ext uri="{FF2B5EF4-FFF2-40B4-BE49-F238E27FC236}">
              <a16:creationId xmlns:a16="http://schemas.microsoft.com/office/drawing/2014/main" id="{00000000-0008-0000-0600-00000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a:extLst>
            <a:ext uri="{FF2B5EF4-FFF2-40B4-BE49-F238E27FC236}">
              <a16:creationId xmlns:a16="http://schemas.microsoft.com/office/drawing/2014/main" id="{00000000-0008-0000-0600-00000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a:extLst>
            <a:ext uri="{FF2B5EF4-FFF2-40B4-BE49-F238E27FC236}">
              <a16:creationId xmlns:a16="http://schemas.microsoft.com/office/drawing/2014/main" id="{00000000-0008-0000-0600-00000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a:extLst>
            <a:ext uri="{FF2B5EF4-FFF2-40B4-BE49-F238E27FC236}">
              <a16:creationId xmlns:a16="http://schemas.microsoft.com/office/drawing/2014/main" id="{00000000-0008-0000-0600-00000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a:extLst>
            <a:ext uri="{FF2B5EF4-FFF2-40B4-BE49-F238E27FC236}">
              <a16:creationId xmlns:a16="http://schemas.microsoft.com/office/drawing/2014/main" id="{00000000-0008-0000-0600-00000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a:extLst>
            <a:ext uri="{FF2B5EF4-FFF2-40B4-BE49-F238E27FC236}">
              <a16:creationId xmlns:a16="http://schemas.microsoft.com/office/drawing/2014/main" id="{00000000-0008-0000-0600-00000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a:extLst>
            <a:ext uri="{FF2B5EF4-FFF2-40B4-BE49-F238E27FC236}">
              <a16:creationId xmlns:a16="http://schemas.microsoft.com/office/drawing/2014/main" id="{00000000-0008-0000-0600-00000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a:extLst>
            <a:ext uri="{FF2B5EF4-FFF2-40B4-BE49-F238E27FC236}">
              <a16:creationId xmlns:a16="http://schemas.microsoft.com/office/drawing/2014/main" id="{00000000-0008-0000-0600-00001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a:extLst>
            <a:ext uri="{FF2B5EF4-FFF2-40B4-BE49-F238E27FC236}">
              <a16:creationId xmlns:a16="http://schemas.microsoft.com/office/drawing/2014/main" id="{00000000-0008-0000-0600-00001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a:extLst>
            <a:ext uri="{FF2B5EF4-FFF2-40B4-BE49-F238E27FC236}">
              <a16:creationId xmlns:a16="http://schemas.microsoft.com/office/drawing/2014/main" id="{00000000-0008-0000-0600-00001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a:extLst>
            <a:ext uri="{FF2B5EF4-FFF2-40B4-BE49-F238E27FC236}">
              <a16:creationId xmlns:a16="http://schemas.microsoft.com/office/drawing/2014/main" id="{00000000-0008-0000-0600-00001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a:extLst>
            <a:ext uri="{FF2B5EF4-FFF2-40B4-BE49-F238E27FC236}">
              <a16:creationId xmlns:a16="http://schemas.microsoft.com/office/drawing/2014/main" id="{00000000-0008-0000-0600-00001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a:extLst>
            <a:ext uri="{FF2B5EF4-FFF2-40B4-BE49-F238E27FC236}">
              <a16:creationId xmlns:a16="http://schemas.microsoft.com/office/drawing/2014/main" id="{00000000-0008-0000-0600-00001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a:extLst>
            <a:ext uri="{FF2B5EF4-FFF2-40B4-BE49-F238E27FC236}">
              <a16:creationId xmlns:a16="http://schemas.microsoft.com/office/drawing/2014/main" id="{00000000-0008-0000-0600-00001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a:extLst>
            <a:ext uri="{FF2B5EF4-FFF2-40B4-BE49-F238E27FC236}">
              <a16:creationId xmlns:a16="http://schemas.microsoft.com/office/drawing/2014/main" id="{00000000-0008-0000-0600-00001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a:extLst>
            <a:ext uri="{FF2B5EF4-FFF2-40B4-BE49-F238E27FC236}">
              <a16:creationId xmlns:a16="http://schemas.microsoft.com/office/drawing/2014/main" id="{00000000-0008-0000-0600-00001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a:extLst>
            <a:ext uri="{FF2B5EF4-FFF2-40B4-BE49-F238E27FC236}">
              <a16:creationId xmlns:a16="http://schemas.microsoft.com/office/drawing/2014/main" id="{00000000-0008-0000-0600-00001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a:extLst>
            <a:ext uri="{FF2B5EF4-FFF2-40B4-BE49-F238E27FC236}">
              <a16:creationId xmlns:a16="http://schemas.microsoft.com/office/drawing/2014/main" id="{00000000-0008-0000-0600-00001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a:extLst>
            <a:ext uri="{FF2B5EF4-FFF2-40B4-BE49-F238E27FC236}">
              <a16:creationId xmlns:a16="http://schemas.microsoft.com/office/drawing/2014/main" id="{00000000-0008-0000-0600-00001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a:extLst>
            <a:ext uri="{FF2B5EF4-FFF2-40B4-BE49-F238E27FC236}">
              <a16:creationId xmlns:a16="http://schemas.microsoft.com/office/drawing/2014/main" id="{00000000-0008-0000-0600-00001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a:extLst>
            <a:ext uri="{FF2B5EF4-FFF2-40B4-BE49-F238E27FC236}">
              <a16:creationId xmlns:a16="http://schemas.microsoft.com/office/drawing/2014/main" id="{00000000-0008-0000-0600-00001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a:extLst>
            <a:ext uri="{FF2B5EF4-FFF2-40B4-BE49-F238E27FC236}">
              <a16:creationId xmlns:a16="http://schemas.microsoft.com/office/drawing/2014/main" id="{00000000-0008-0000-0600-00001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a:extLst>
            <a:ext uri="{FF2B5EF4-FFF2-40B4-BE49-F238E27FC236}">
              <a16:creationId xmlns:a16="http://schemas.microsoft.com/office/drawing/2014/main" id="{00000000-0008-0000-0600-00001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a:extLst>
            <a:ext uri="{FF2B5EF4-FFF2-40B4-BE49-F238E27FC236}">
              <a16:creationId xmlns:a16="http://schemas.microsoft.com/office/drawing/2014/main" id="{00000000-0008-0000-0600-00002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a:extLst>
            <a:ext uri="{FF2B5EF4-FFF2-40B4-BE49-F238E27FC236}">
              <a16:creationId xmlns:a16="http://schemas.microsoft.com/office/drawing/2014/main" id="{00000000-0008-0000-0600-00002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a:extLst>
            <a:ext uri="{FF2B5EF4-FFF2-40B4-BE49-F238E27FC236}">
              <a16:creationId xmlns:a16="http://schemas.microsoft.com/office/drawing/2014/main" id="{00000000-0008-0000-0600-00002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a:extLst>
            <a:ext uri="{FF2B5EF4-FFF2-40B4-BE49-F238E27FC236}">
              <a16:creationId xmlns:a16="http://schemas.microsoft.com/office/drawing/2014/main" id="{00000000-0008-0000-0600-00002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a:extLst>
            <a:ext uri="{FF2B5EF4-FFF2-40B4-BE49-F238E27FC236}">
              <a16:creationId xmlns:a16="http://schemas.microsoft.com/office/drawing/2014/main" id="{00000000-0008-0000-0600-00002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a:extLst>
            <a:ext uri="{FF2B5EF4-FFF2-40B4-BE49-F238E27FC236}">
              <a16:creationId xmlns:a16="http://schemas.microsoft.com/office/drawing/2014/main" id="{00000000-0008-0000-0600-00002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a:extLst>
            <a:ext uri="{FF2B5EF4-FFF2-40B4-BE49-F238E27FC236}">
              <a16:creationId xmlns:a16="http://schemas.microsoft.com/office/drawing/2014/main" id="{00000000-0008-0000-0600-00002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a:extLst>
            <a:ext uri="{FF2B5EF4-FFF2-40B4-BE49-F238E27FC236}">
              <a16:creationId xmlns:a16="http://schemas.microsoft.com/office/drawing/2014/main" id="{00000000-0008-0000-0600-00002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a:extLst>
            <a:ext uri="{FF2B5EF4-FFF2-40B4-BE49-F238E27FC236}">
              <a16:creationId xmlns:a16="http://schemas.microsoft.com/office/drawing/2014/main" id="{00000000-0008-0000-0600-00002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a:extLst>
            <a:ext uri="{FF2B5EF4-FFF2-40B4-BE49-F238E27FC236}">
              <a16:creationId xmlns:a16="http://schemas.microsoft.com/office/drawing/2014/main" id="{00000000-0008-0000-0600-00002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a:extLst>
            <a:ext uri="{FF2B5EF4-FFF2-40B4-BE49-F238E27FC236}">
              <a16:creationId xmlns:a16="http://schemas.microsoft.com/office/drawing/2014/main" id="{00000000-0008-0000-0600-00002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a:extLst>
            <a:ext uri="{FF2B5EF4-FFF2-40B4-BE49-F238E27FC236}">
              <a16:creationId xmlns:a16="http://schemas.microsoft.com/office/drawing/2014/main" id="{00000000-0008-0000-0600-00002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a:extLst>
            <a:ext uri="{FF2B5EF4-FFF2-40B4-BE49-F238E27FC236}">
              <a16:creationId xmlns:a16="http://schemas.microsoft.com/office/drawing/2014/main" id="{00000000-0008-0000-0600-00002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a:extLst>
            <a:ext uri="{FF2B5EF4-FFF2-40B4-BE49-F238E27FC236}">
              <a16:creationId xmlns:a16="http://schemas.microsoft.com/office/drawing/2014/main" id="{00000000-0008-0000-0600-00002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a:extLst>
            <a:ext uri="{FF2B5EF4-FFF2-40B4-BE49-F238E27FC236}">
              <a16:creationId xmlns:a16="http://schemas.microsoft.com/office/drawing/2014/main" id="{00000000-0008-0000-0600-00002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a:extLst>
            <a:ext uri="{FF2B5EF4-FFF2-40B4-BE49-F238E27FC236}">
              <a16:creationId xmlns:a16="http://schemas.microsoft.com/office/drawing/2014/main" id="{00000000-0008-0000-0600-00002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a:extLst>
            <a:ext uri="{FF2B5EF4-FFF2-40B4-BE49-F238E27FC236}">
              <a16:creationId xmlns:a16="http://schemas.microsoft.com/office/drawing/2014/main" id="{00000000-0008-0000-0600-00003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a:extLst>
            <a:ext uri="{FF2B5EF4-FFF2-40B4-BE49-F238E27FC236}">
              <a16:creationId xmlns:a16="http://schemas.microsoft.com/office/drawing/2014/main" id="{00000000-0008-0000-0600-00003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a:extLst>
            <a:ext uri="{FF2B5EF4-FFF2-40B4-BE49-F238E27FC236}">
              <a16:creationId xmlns:a16="http://schemas.microsoft.com/office/drawing/2014/main" id="{00000000-0008-0000-0600-00003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a:extLst>
            <a:ext uri="{FF2B5EF4-FFF2-40B4-BE49-F238E27FC236}">
              <a16:creationId xmlns:a16="http://schemas.microsoft.com/office/drawing/2014/main" id="{00000000-0008-0000-0600-00003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a:extLst>
            <a:ext uri="{FF2B5EF4-FFF2-40B4-BE49-F238E27FC236}">
              <a16:creationId xmlns:a16="http://schemas.microsoft.com/office/drawing/2014/main" id="{00000000-0008-0000-0600-00003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a:extLst>
            <a:ext uri="{FF2B5EF4-FFF2-40B4-BE49-F238E27FC236}">
              <a16:creationId xmlns:a16="http://schemas.microsoft.com/office/drawing/2014/main" id="{00000000-0008-0000-0600-00003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a:extLst>
            <a:ext uri="{FF2B5EF4-FFF2-40B4-BE49-F238E27FC236}">
              <a16:creationId xmlns:a16="http://schemas.microsoft.com/office/drawing/2014/main" id="{00000000-0008-0000-0600-00003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a:extLst>
            <a:ext uri="{FF2B5EF4-FFF2-40B4-BE49-F238E27FC236}">
              <a16:creationId xmlns:a16="http://schemas.microsoft.com/office/drawing/2014/main" id="{00000000-0008-0000-0600-00003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a:extLst>
            <a:ext uri="{FF2B5EF4-FFF2-40B4-BE49-F238E27FC236}">
              <a16:creationId xmlns:a16="http://schemas.microsoft.com/office/drawing/2014/main" id="{00000000-0008-0000-0600-00003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a:extLst>
            <a:ext uri="{FF2B5EF4-FFF2-40B4-BE49-F238E27FC236}">
              <a16:creationId xmlns:a16="http://schemas.microsoft.com/office/drawing/2014/main" id="{00000000-0008-0000-0600-00003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a:extLst>
            <a:ext uri="{FF2B5EF4-FFF2-40B4-BE49-F238E27FC236}">
              <a16:creationId xmlns:a16="http://schemas.microsoft.com/office/drawing/2014/main" id="{00000000-0008-0000-0600-00003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a:extLst>
            <a:ext uri="{FF2B5EF4-FFF2-40B4-BE49-F238E27FC236}">
              <a16:creationId xmlns:a16="http://schemas.microsoft.com/office/drawing/2014/main" id="{00000000-0008-0000-0600-00003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a:extLst>
            <a:ext uri="{FF2B5EF4-FFF2-40B4-BE49-F238E27FC236}">
              <a16:creationId xmlns:a16="http://schemas.microsoft.com/office/drawing/2014/main" id="{00000000-0008-0000-0600-00003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a:extLst>
            <a:ext uri="{FF2B5EF4-FFF2-40B4-BE49-F238E27FC236}">
              <a16:creationId xmlns:a16="http://schemas.microsoft.com/office/drawing/2014/main" id="{00000000-0008-0000-0600-00003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a:extLst>
            <a:ext uri="{FF2B5EF4-FFF2-40B4-BE49-F238E27FC236}">
              <a16:creationId xmlns:a16="http://schemas.microsoft.com/office/drawing/2014/main" id="{00000000-0008-0000-0600-00003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a:extLst>
            <a:ext uri="{FF2B5EF4-FFF2-40B4-BE49-F238E27FC236}">
              <a16:creationId xmlns:a16="http://schemas.microsoft.com/office/drawing/2014/main" id="{00000000-0008-0000-0600-00003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a:extLst>
            <a:ext uri="{FF2B5EF4-FFF2-40B4-BE49-F238E27FC236}">
              <a16:creationId xmlns:a16="http://schemas.microsoft.com/office/drawing/2014/main" id="{00000000-0008-0000-0600-00004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a:extLst>
            <a:ext uri="{FF2B5EF4-FFF2-40B4-BE49-F238E27FC236}">
              <a16:creationId xmlns:a16="http://schemas.microsoft.com/office/drawing/2014/main" id="{00000000-0008-0000-0600-00004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a:extLst>
            <a:ext uri="{FF2B5EF4-FFF2-40B4-BE49-F238E27FC236}">
              <a16:creationId xmlns:a16="http://schemas.microsoft.com/office/drawing/2014/main" id="{00000000-0008-0000-0600-00004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a:extLst>
            <a:ext uri="{FF2B5EF4-FFF2-40B4-BE49-F238E27FC236}">
              <a16:creationId xmlns:a16="http://schemas.microsoft.com/office/drawing/2014/main" id="{00000000-0008-0000-0600-00004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a:extLst>
            <a:ext uri="{FF2B5EF4-FFF2-40B4-BE49-F238E27FC236}">
              <a16:creationId xmlns:a16="http://schemas.microsoft.com/office/drawing/2014/main" id="{00000000-0008-0000-0600-00004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a:extLst>
            <a:ext uri="{FF2B5EF4-FFF2-40B4-BE49-F238E27FC236}">
              <a16:creationId xmlns:a16="http://schemas.microsoft.com/office/drawing/2014/main" id="{00000000-0008-0000-0600-00004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a:extLst>
            <a:ext uri="{FF2B5EF4-FFF2-40B4-BE49-F238E27FC236}">
              <a16:creationId xmlns:a16="http://schemas.microsoft.com/office/drawing/2014/main" id="{00000000-0008-0000-0600-00004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a:extLst>
            <a:ext uri="{FF2B5EF4-FFF2-40B4-BE49-F238E27FC236}">
              <a16:creationId xmlns:a16="http://schemas.microsoft.com/office/drawing/2014/main" id="{00000000-0008-0000-0600-00004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a:extLst>
            <a:ext uri="{FF2B5EF4-FFF2-40B4-BE49-F238E27FC236}">
              <a16:creationId xmlns:a16="http://schemas.microsoft.com/office/drawing/2014/main" id="{00000000-0008-0000-0600-00004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a:extLst>
            <a:ext uri="{FF2B5EF4-FFF2-40B4-BE49-F238E27FC236}">
              <a16:creationId xmlns:a16="http://schemas.microsoft.com/office/drawing/2014/main" id="{00000000-0008-0000-0600-00004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a:extLst>
            <a:ext uri="{FF2B5EF4-FFF2-40B4-BE49-F238E27FC236}">
              <a16:creationId xmlns:a16="http://schemas.microsoft.com/office/drawing/2014/main" id="{00000000-0008-0000-0600-00004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a:extLst>
            <a:ext uri="{FF2B5EF4-FFF2-40B4-BE49-F238E27FC236}">
              <a16:creationId xmlns:a16="http://schemas.microsoft.com/office/drawing/2014/main" id="{00000000-0008-0000-0600-00004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a:extLst>
            <a:ext uri="{FF2B5EF4-FFF2-40B4-BE49-F238E27FC236}">
              <a16:creationId xmlns:a16="http://schemas.microsoft.com/office/drawing/2014/main" id="{00000000-0008-0000-0600-00004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a:extLst>
            <a:ext uri="{FF2B5EF4-FFF2-40B4-BE49-F238E27FC236}">
              <a16:creationId xmlns:a16="http://schemas.microsoft.com/office/drawing/2014/main" id="{00000000-0008-0000-0600-00004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a:extLst>
            <a:ext uri="{FF2B5EF4-FFF2-40B4-BE49-F238E27FC236}">
              <a16:creationId xmlns:a16="http://schemas.microsoft.com/office/drawing/2014/main" id="{00000000-0008-0000-0600-00004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a:extLst>
            <a:ext uri="{FF2B5EF4-FFF2-40B4-BE49-F238E27FC236}">
              <a16:creationId xmlns:a16="http://schemas.microsoft.com/office/drawing/2014/main" id="{00000000-0008-0000-0600-00004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a:extLst>
            <a:ext uri="{FF2B5EF4-FFF2-40B4-BE49-F238E27FC236}">
              <a16:creationId xmlns:a16="http://schemas.microsoft.com/office/drawing/2014/main" id="{00000000-0008-0000-0600-00005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a:extLst>
            <a:ext uri="{FF2B5EF4-FFF2-40B4-BE49-F238E27FC236}">
              <a16:creationId xmlns:a16="http://schemas.microsoft.com/office/drawing/2014/main" id="{00000000-0008-0000-0600-00005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a:extLst>
            <a:ext uri="{FF2B5EF4-FFF2-40B4-BE49-F238E27FC236}">
              <a16:creationId xmlns:a16="http://schemas.microsoft.com/office/drawing/2014/main" id="{00000000-0008-0000-0600-00005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a:extLst>
            <a:ext uri="{FF2B5EF4-FFF2-40B4-BE49-F238E27FC236}">
              <a16:creationId xmlns:a16="http://schemas.microsoft.com/office/drawing/2014/main" id="{00000000-0008-0000-0600-00005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a:extLst>
            <a:ext uri="{FF2B5EF4-FFF2-40B4-BE49-F238E27FC236}">
              <a16:creationId xmlns:a16="http://schemas.microsoft.com/office/drawing/2014/main" id="{00000000-0008-0000-0600-00005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a:extLst>
            <a:ext uri="{FF2B5EF4-FFF2-40B4-BE49-F238E27FC236}">
              <a16:creationId xmlns:a16="http://schemas.microsoft.com/office/drawing/2014/main" id="{00000000-0008-0000-0600-00005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a:extLst>
            <a:ext uri="{FF2B5EF4-FFF2-40B4-BE49-F238E27FC236}">
              <a16:creationId xmlns:a16="http://schemas.microsoft.com/office/drawing/2014/main" id="{00000000-0008-0000-0600-00005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a:extLst>
            <a:ext uri="{FF2B5EF4-FFF2-40B4-BE49-F238E27FC236}">
              <a16:creationId xmlns:a16="http://schemas.microsoft.com/office/drawing/2014/main" id="{00000000-0008-0000-0600-00005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a:extLst>
            <a:ext uri="{FF2B5EF4-FFF2-40B4-BE49-F238E27FC236}">
              <a16:creationId xmlns:a16="http://schemas.microsoft.com/office/drawing/2014/main" id="{00000000-0008-0000-0600-00005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a:extLst>
            <a:ext uri="{FF2B5EF4-FFF2-40B4-BE49-F238E27FC236}">
              <a16:creationId xmlns:a16="http://schemas.microsoft.com/office/drawing/2014/main" id="{00000000-0008-0000-0600-00005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a:extLst>
            <a:ext uri="{FF2B5EF4-FFF2-40B4-BE49-F238E27FC236}">
              <a16:creationId xmlns:a16="http://schemas.microsoft.com/office/drawing/2014/main" id="{00000000-0008-0000-0600-00005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a:extLst>
            <a:ext uri="{FF2B5EF4-FFF2-40B4-BE49-F238E27FC236}">
              <a16:creationId xmlns:a16="http://schemas.microsoft.com/office/drawing/2014/main" id="{00000000-0008-0000-0600-00005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a:extLst>
            <a:ext uri="{FF2B5EF4-FFF2-40B4-BE49-F238E27FC236}">
              <a16:creationId xmlns:a16="http://schemas.microsoft.com/office/drawing/2014/main" id="{00000000-0008-0000-0600-00005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a:extLst>
            <a:ext uri="{FF2B5EF4-FFF2-40B4-BE49-F238E27FC236}">
              <a16:creationId xmlns:a16="http://schemas.microsoft.com/office/drawing/2014/main" id="{00000000-0008-0000-0600-00005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a:extLst>
            <a:ext uri="{FF2B5EF4-FFF2-40B4-BE49-F238E27FC236}">
              <a16:creationId xmlns:a16="http://schemas.microsoft.com/office/drawing/2014/main" id="{00000000-0008-0000-0600-00005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a:extLst>
            <a:ext uri="{FF2B5EF4-FFF2-40B4-BE49-F238E27FC236}">
              <a16:creationId xmlns:a16="http://schemas.microsoft.com/office/drawing/2014/main" id="{00000000-0008-0000-0600-00005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a:extLst>
            <a:ext uri="{FF2B5EF4-FFF2-40B4-BE49-F238E27FC236}">
              <a16:creationId xmlns:a16="http://schemas.microsoft.com/office/drawing/2014/main" id="{00000000-0008-0000-0600-00006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a:extLst>
            <a:ext uri="{FF2B5EF4-FFF2-40B4-BE49-F238E27FC236}">
              <a16:creationId xmlns:a16="http://schemas.microsoft.com/office/drawing/2014/main" id="{00000000-0008-0000-0600-00006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a:extLst>
            <a:ext uri="{FF2B5EF4-FFF2-40B4-BE49-F238E27FC236}">
              <a16:creationId xmlns:a16="http://schemas.microsoft.com/office/drawing/2014/main" id="{00000000-0008-0000-0600-00006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a:extLst>
            <a:ext uri="{FF2B5EF4-FFF2-40B4-BE49-F238E27FC236}">
              <a16:creationId xmlns:a16="http://schemas.microsoft.com/office/drawing/2014/main" id="{00000000-0008-0000-0600-00006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a:extLst>
            <a:ext uri="{FF2B5EF4-FFF2-40B4-BE49-F238E27FC236}">
              <a16:creationId xmlns:a16="http://schemas.microsoft.com/office/drawing/2014/main" id="{00000000-0008-0000-0600-00006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a:extLst>
            <a:ext uri="{FF2B5EF4-FFF2-40B4-BE49-F238E27FC236}">
              <a16:creationId xmlns:a16="http://schemas.microsoft.com/office/drawing/2014/main" id="{00000000-0008-0000-0600-00006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a:extLst>
            <a:ext uri="{FF2B5EF4-FFF2-40B4-BE49-F238E27FC236}">
              <a16:creationId xmlns:a16="http://schemas.microsoft.com/office/drawing/2014/main" id="{00000000-0008-0000-0600-00006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a:extLst>
            <a:ext uri="{FF2B5EF4-FFF2-40B4-BE49-F238E27FC236}">
              <a16:creationId xmlns:a16="http://schemas.microsoft.com/office/drawing/2014/main" id="{00000000-0008-0000-0600-00006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a:extLst>
            <a:ext uri="{FF2B5EF4-FFF2-40B4-BE49-F238E27FC236}">
              <a16:creationId xmlns:a16="http://schemas.microsoft.com/office/drawing/2014/main" id="{00000000-0008-0000-0600-00006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a:extLst>
            <a:ext uri="{FF2B5EF4-FFF2-40B4-BE49-F238E27FC236}">
              <a16:creationId xmlns:a16="http://schemas.microsoft.com/office/drawing/2014/main" id="{00000000-0008-0000-0600-00006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a:extLst>
            <a:ext uri="{FF2B5EF4-FFF2-40B4-BE49-F238E27FC236}">
              <a16:creationId xmlns:a16="http://schemas.microsoft.com/office/drawing/2014/main" id="{00000000-0008-0000-0600-00006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a:extLst>
            <a:ext uri="{FF2B5EF4-FFF2-40B4-BE49-F238E27FC236}">
              <a16:creationId xmlns:a16="http://schemas.microsoft.com/office/drawing/2014/main" id="{00000000-0008-0000-0600-00006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a:extLst>
            <a:ext uri="{FF2B5EF4-FFF2-40B4-BE49-F238E27FC236}">
              <a16:creationId xmlns:a16="http://schemas.microsoft.com/office/drawing/2014/main" id="{00000000-0008-0000-0600-00006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a:extLst>
            <a:ext uri="{FF2B5EF4-FFF2-40B4-BE49-F238E27FC236}">
              <a16:creationId xmlns:a16="http://schemas.microsoft.com/office/drawing/2014/main" id="{00000000-0008-0000-0600-00006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a:extLst>
            <a:ext uri="{FF2B5EF4-FFF2-40B4-BE49-F238E27FC236}">
              <a16:creationId xmlns:a16="http://schemas.microsoft.com/office/drawing/2014/main" id="{00000000-0008-0000-0600-00006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a:extLst>
            <a:ext uri="{FF2B5EF4-FFF2-40B4-BE49-F238E27FC236}">
              <a16:creationId xmlns:a16="http://schemas.microsoft.com/office/drawing/2014/main" id="{00000000-0008-0000-0600-00006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a:extLst>
            <a:ext uri="{FF2B5EF4-FFF2-40B4-BE49-F238E27FC236}">
              <a16:creationId xmlns:a16="http://schemas.microsoft.com/office/drawing/2014/main" id="{00000000-0008-0000-0600-00007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a:extLst>
            <a:ext uri="{FF2B5EF4-FFF2-40B4-BE49-F238E27FC236}">
              <a16:creationId xmlns:a16="http://schemas.microsoft.com/office/drawing/2014/main" id="{00000000-0008-0000-0600-00007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a:extLst>
            <a:ext uri="{FF2B5EF4-FFF2-40B4-BE49-F238E27FC236}">
              <a16:creationId xmlns:a16="http://schemas.microsoft.com/office/drawing/2014/main" id="{00000000-0008-0000-0600-00007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a:extLst>
            <a:ext uri="{FF2B5EF4-FFF2-40B4-BE49-F238E27FC236}">
              <a16:creationId xmlns:a16="http://schemas.microsoft.com/office/drawing/2014/main" id="{00000000-0008-0000-0600-00007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a:extLst>
            <a:ext uri="{FF2B5EF4-FFF2-40B4-BE49-F238E27FC236}">
              <a16:creationId xmlns:a16="http://schemas.microsoft.com/office/drawing/2014/main" id="{00000000-0008-0000-0600-00007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a:extLst>
            <a:ext uri="{FF2B5EF4-FFF2-40B4-BE49-F238E27FC236}">
              <a16:creationId xmlns:a16="http://schemas.microsoft.com/office/drawing/2014/main" id="{00000000-0008-0000-0600-00007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a:extLst>
            <a:ext uri="{FF2B5EF4-FFF2-40B4-BE49-F238E27FC236}">
              <a16:creationId xmlns:a16="http://schemas.microsoft.com/office/drawing/2014/main" id="{00000000-0008-0000-0600-00007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a:extLst>
            <a:ext uri="{FF2B5EF4-FFF2-40B4-BE49-F238E27FC236}">
              <a16:creationId xmlns:a16="http://schemas.microsoft.com/office/drawing/2014/main" id="{00000000-0008-0000-0600-00007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a:extLst>
            <a:ext uri="{FF2B5EF4-FFF2-40B4-BE49-F238E27FC236}">
              <a16:creationId xmlns:a16="http://schemas.microsoft.com/office/drawing/2014/main" id="{00000000-0008-0000-0600-00007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a:extLst>
            <a:ext uri="{FF2B5EF4-FFF2-40B4-BE49-F238E27FC236}">
              <a16:creationId xmlns:a16="http://schemas.microsoft.com/office/drawing/2014/main" id="{00000000-0008-0000-0600-00007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a:extLst>
            <a:ext uri="{FF2B5EF4-FFF2-40B4-BE49-F238E27FC236}">
              <a16:creationId xmlns:a16="http://schemas.microsoft.com/office/drawing/2014/main" id="{00000000-0008-0000-0600-00007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a:extLst>
            <a:ext uri="{FF2B5EF4-FFF2-40B4-BE49-F238E27FC236}">
              <a16:creationId xmlns:a16="http://schemas.microsoft.com/office/drawing/2014/main" id="{00000000-0008-0000-0600-00007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a:extLst>
            <a:ext uri="{FF2B5EF4-FFF2-40B4-BE49-F238E27FC236}">
              <a16:creationId xmlns:a16="http://schemas.microsoft.com/office/drawing/2014/main" id="{00000000-0008-0000-0600-00007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a:extLst>
            <a:ext uri="{FF2B5EF4-FFF2-40B4-BE49-F238E27FC236}">
              <a16:creationId xmlns:a16="http://schemas.microsoft.com/office/drawing/2014/main" id="{00000000-0008-0000-0600-00007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a:extLst>
            <a:ext uri="{FF2B5EF4-FFF2-40B4-BE49-F238E27FC236}">
              <a16:creationId xmlns:a16="http://schemas.microsoft.com/office/drawing/2014/main" id="{00000000-0008-0000-0600-00007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a:extLst>
            <a:ext uri="{FF2B5EF4-FFF2-40B4-BE49-F238E27FC236}">
              <a16:creationId xmlns:a16="http://schemas.microsoft.com/office/drawing/2014/main" id="{00000000-0008-0000-0600-00007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a:extLst>
            <a:ext uri="{FF2B5EF4-FFF2-40B4-BE49-F238E27FC236}">
              <a16:creationId xmlns:a16="http://schemas.microsoft.com/office/drawing/2014/main" id="{00000000-0008-0000-0600-00008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a:extLst>
            <a:ext uri="{FF2B5EF4-FFF2-40B4-BE49-F238E27FC236}">
              <a16:creationId xmlns:a16="http://schemas.microsoft.com/office/drawing/2014/main" id="{00000000-0008-0000-0600-00008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a:extLst>
            <a:ext uri="{FF2B5EF4-FFF2-40B4-BE49-F238E27FC236}">
              <a16:creationId xmlns:a16="http://schemas.microsoft.com/office/drawing/2014/main" id="{00000000-0008-0000-0600-00008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a:extLst>
            <a:ext uri="{FF2B5EF4-FFF2-40B4-BE49-F238E27FC236}">
              <a16:creationId xmlns:a16="http://schemas.microsoft.com/office/drawing/2014/main" id="{00000000-0008-0000-0600-00008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a:extLst>
            <a:ext uri="{FF2B5EF4-FFF2-40B4-BE49-F238E27FC236}">
              <a16:creationId xmlns:a16="http://schemas.microsoft.com/office/drawing/2014/main" id="{00000000-0008-0000-0600-00008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a:extLst>
            <a:ext uri="{FF2B5EF4-FFF2-40B4-BE49-F238E27FC236}">
              <a16:creationId xmlns:a16="http://schemas.microsoft.com/office/drawing/2014/main" id="{00000000-0008-0000-0600-00008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a:extLst>
            <a:ext uri="{FF2B5EF4-FFF2-40B4-BE49-F238E27FC236}">
              <a16:creationId xmlns:a16="http://schemas.microsoft.com/office/drawing/2014/main" id="{00000000-0008-0000-0600-00008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a:extLst>
            <a:ext uri="{FF2B5EF4-FFF2-40B4-BE49-F238E27FC236}">
              <a16:creationId xmlns:a16="http://schemas.microsoft.com/office/drawing/2014/main" id="{00000000-0008-0000-0600-00008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a:extLst>
            <a:ext uri="{FF2B5EF4-FFF2-40B4-BE49-F238E27FC236}">
              <a16:creationId xmlns:a16="http://schemas.microsoft.com/office/drawing/2014/main" id="{00000000-0008-0000-0600-00008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a:extLst>
            <a:ext uri="{FF2B5EF4-FFF2-40B4-BE49-F238E27FC236}">
              <a16:creationId xmlns:a16="http://schemas.microsoft.com/office/drawing/2014/main" id="{00000000-0008-0000-0600-00008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a:extLst>
            <a:ext uri="{FF2B5EF4-FFF2-40B4-BE49-F238E27FC236}">
              <a16:creationId xmlns:a16="http://schemas.microsoft.com/office/drawing/2014/main" id="{00000000-0008-0000-0600-00008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a:extLst>
            <a:ext uri="{FF2B5EF4-FFF2-40B4-BE49-F238E27FC236}">
              <a16:creationId xmlns:a16="http://schemas.microsoft.com/office/drawing/2014/main" id="{00000000-0008-0000-0600-00008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a:extLst>
            <a:ext uri="{FF2B5EF4-FFF2-40B4-BE49-F238E27FC236}">
              <a16:creationId xmlns:a16="http://schemas.microsoft.com/office/drawing/2014/main" id="{00000000-0008-0000-0600-00008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a:extLst>
            <a:ext uri="{FF2B5EF4-FFF2-40B4-BE49-F238E27FC236}">
              <a16:creationId xmlns:a16="http://schemas.microsoft.com/office/drawing/2014/main" id="{00000000-0008-0000-0600-00008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a:extLst>
            <a:ext uri="{FF2B5EF4-FFF2-40B4-BE49-F238E27FC236}">
              <a16:creationId xmlns:a16="http://schemas.microsoft.com/office/drawing/2014/main" id="{00000000-0008-0000-0600-00008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a:extLst>
            <a:ext uri="{FF2B5EF4-FFF2-40B4-BE49-F238E27FC236}">
              <a16:creationId xmlns:a16="http://schemas.microsoft.com/office/drawing/2014/main" id="{00000000-0008-0000-0600-00008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a:extLst>
            <a:ext uri="{FF2B5EF4-FFF2-40B4-BE49-F238E27FC236}">
              <a16:creationId xmlns:a16="http://schemas.microsoft.com/office/drawing/2014/main" id="{00000000-0008-0000-0600-00009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a:extLst>
            <a:ext uri="{FF2B5EF4-FFF2-40B4-BE49-F238E27FC236}">
              <a16:creationId xmlns:a16="http://schemas.microsoft.com/office/drawing/2014/main" id="{00000000-0008-0000-0600-00009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a:extLst>
            <a:ext uri="{FF2B5EF4-FFF2-40B4-BE49-F238E27FC236}">
              <a16:creationId xmlns:a16="http://schemas.microsoft.com/office/drawing/2014/main" id="{00000000-0008-0000-0600-00009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a:extLst>
            <a:ext uri="{FF2B5EF4-FFF2-40B4-BE49-F238E27FC236}">
              <a16:creationId xmlns:a16="http://schemas.microsoft.com/office/drawing/2014/main" id="{00000000-0008-0000-0600-00009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a:extLst>
            <a:ext uri="{FF2B5EF4-FFF2-40B4-BE49-F238E27FC236}">
              <a16:creationId xmlns:a16="http://schemas.microsoft.com/office/drawing/2014/main" id="{00000000-0008-0000-0600-00009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a:extLst>
            <a:ext uri="{FF2B5EF4-FFF2-40B4-BE49-F238E27FC236}">
              <a16:creationId xmlns:a16="http://schemas.microsoft.com/office/drawing/2014/main" id="{00000000-0008-0000-0600-00009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a:extLst>
            <a:ext uri="{FF2B5EF4-FFF2-40B4-BE49-F238E27FC236}">
              <a16:creationId xmlns:a16="http://schemas.microsoft.com/office/drawing/2014/main" id="{00000000-0008-0000-0600-00009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a:extLst>
            <a:ext uri="{FF2B5EF4-FFF2-40B4-BE49-F238E27FC236}">
              <a16:creationId xmlns:a16="http://schemas.microsoft.com/office/drawing/2014/main" id="{00000000-0008-0000-0600-00009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a:extLst>
            <a:ext uri="{FF2B5EF4-FFF2-40B4-BE49-F238E27FC236}">
              <a16:creationId xmlns:a16="http://schemas.microsoft.com/office/drawing/2014/main" id="{00000000-0008-0000-0600-00009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a:extLst>
            <a:ext uri="{FF2B5EF4-FFF2-40B4-BE49-F238E27FC236}">
              <a16:creationId xmlns:a16="http://schemas.microsoft.com/office/drawing/2014/main" id="{00000000-0008-0000-0600-00009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a:extLst>
            <a:ext uri="{FF2B5EF4-FFF2-40B4-BE49-F238E27FC236}">
              <a16:creationId xmlns:a16="http://schemas.microsoft.com/office/drawing/2014/main" id="{00000000-0008-0000-0600-00009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a:extLst>
            <a:ext uri="{FF2B5EF4-FFF2-40B4-BE49-F238E27FC236}">
              <a16:creationId xmlns:a16="http://schemas.microsoft.com/office/drawing/2014/main" id="{00000000-0008-0000-0600-00009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a:extLst>
            <a:ext uri="{FF2B5EF4-FFF2-40B4-BE49-F238E27FC236}">
              <a16:creationId xmlns:a16="http://schemas.microsoft.com/office/drawing/2014/main" id="{00000000-0008-0000-0600-00009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a:extLst>
            <a:ext uri="{FF2B5EF4-FFF2-40B4-BE49-F238E27FC236}">
              <a16:creationId xmlns:a16="http://schemas.microsoft.com/office/drawing/2014/main" id="{00000000-0008-0000-0600-00009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a:extLst>
            <a:ext uri="{FF2B5EF4-FFF2-40B4-BE49-F238E27FC236}">
              <a16:creationId xmlns:a16="http://schemas.microsoft.com/office/drawing/2014/main" id="{00000000-0008-0000-0600-00009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a:extLst>
            <a:ext uri="{FF2B5EF4-FFF2-40B4-BE49-F238E27FC236}">
              <a16:creationId xmlns:a16="http://schemas.microsoft.com/office/drawing/2014/main" id="{00000000-0008-0000-0600-00009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a:extLst>
            <a:ext uri="{FF2B5EF4-FFF2-40B4-BE49-F238E27FC236}">
              <a16:creationId xmlns:a16="http://schemas.microsoft.com/office/drawing/2014/main" id="{00000000-0008-0000-0600-0000A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a:extLst>
            <a:ext uri="{FF2B5EF4-FFF2-40B4-BE49-F238E27FC236}">
              <a16:creationId xmlns:a16="http://schemas.microsoft.com/office/drawing/2014/main" id="{00000000-0008-0000-0600-0000A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a:extLst>
            <a:ext uri="{FF2B5EF4-FFF2-40B4-BE49-F238E27FC236}">
              <a16:creationId xmlns:a16="http://schemas.microsoft.com/office/drawing/2014/main" id="{00000000-0008-0000-0600-0000A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a:extLst>
            <a:ext uri="{FF2B5EF4-FFF2-40B4-BE49-F238E27FC236}">
              <a16:creationId xmlns:a16="http://schemas.microsoft.com/office/drawing/2014/main" id="{00000000-0008-0000-0600-0000A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a:extLst>
            <a:ext uri="{FF2B5EF4-FFF2-40B4-BE49-F238E27FC236}">
              <a16:creationId xmlns:a16="http://schemas.microsoft.com/office/drawing/2014/main" id="{00000000-0008-0000-0600-0000A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a:extLst>
            <a:ext uri="{FF2B5EF4-FFF2-40B4-BE49-F238E27FC236}">
              <a16:creationId xmlns:a16="http://schemas.microsoft.com/office/drawing/2014/main" id="{00000000-0008-0000-0600-0000A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a:extLst>
            <a:ext uri="{FF2B5EF4-FFF2-40B4-BE49-F238E27FC236}">
              <a16:creationId xmlns:a16="http://schemas.microsoft.com/office/drawing/2014/main" id="{00000000-0008-0000-0600-0000A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a:extLst>
            <a:ext uri="{FF2B5EF4-FFF2-40B4-BE49-F238E27FC236}">
              <a16:creationId xmlns:a16="http://schemas.microsoft.com/office/drawing/2014/main" id="{00000000-0008-0000-0600-0000A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a:extLst>
            <a:ext uri="{FF2B5EF4-FFF2-40B4-BE49-F238E27FC236}">
              <a16:creationId xmlns:a16="http://schemas.microsoft.com/office/drawing/2014/main" id="{00000000-0008-0000-0600-0000A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a:extLst>
            <a:ext uri="{FF2B5EF4-FFF2-40B4-BE49-F238E27FC236}">
              <a16:creationId xmlns:a16="http://schemas.microsoft.com/office/drawing/2014/main" id="{00000000-0008-0000-0600-0000A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a:extLst>
            <a:ext uri="{FF2B5EF4-FFF2-40B4-BE49-F238E27FC236}">
              <a16:creationId xmlns:a16="http://schemas.microsoft.com/office/drawing/2014/main" id="{00000000-0008-0000-0600-0000A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a:extLst>
            <a:ext uri="{FF2B5EF4-FFF2-40B4-BE49-F238E27FC236}">
              <a16:creationId xmlns:a16="http://schemas.microsoft.com/office/drawing/2014/main" id="{00000000-0008-0000-0600-0000A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a:extLst>
            <a:ext uri="{FF2B5EF4-FFF2-40B4-BE49-F238E27FC236}">
              <a16:creationId xmlns:a16="http://schemas.microsoft.com/office/drawing/2014/main" id="{00000000-0008-0000-0600-0000A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a:extLst>
            <a:ext uri="{FF2B5EF4-FFF2-40B4-BE49-F238E27FC236}">
              <a16:creationId xmlns:a16="http://schemas.microsoft.com/office/drawing/2014/main" id="{00000000-0008-0000-0600-0000A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a:extLst>
            <a:ext uri="{FF2B5EF4-FFF2-40B4-BE49-F238E27FC236}">
              <a16:creationId xmlns:a16="http://schemas.microsoft.com/office/drawing/2014/main" id="{00000000-0008-0000-0600-0000A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a:extLst>
            <a:ext uri="{FF2B5EF4-FFF2-40B4-BE49-F238E27FC236}">
              <a16:creationId xmlns:a16="http://schemas.microsoft.com/office/drawing/2014/main" id="{00000000-0008-0000-0600-0000A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a:extLst>
            <a:ext uri="{FF2B5EF4-FFF2-40B4-BE49-F238E27FC236}">
              <a16:creationId xmlns:a16="http://schemas.microsoft.com/office/drawing/2014/main" id="{00000000-0008-0000-0600-0000B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a:extLst>
            <a:ext uri="{FF2B5EF4-FFF2-40B4-BE49-F238E27FC236}">
              <a16:creationId xmlns:a16="http://schemas.microsoft.com/office/drawing/2014/main" id="{00000000-0008-0000-0600-0000B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a:extLst>
            <a:ext uri="{FF2B5EF4-FFF2-40B4-BE49-F238E27FC236}">
              <a16:creationId xmlns:a16="http://schemas.microsoft.com/office/drawing/2014/main" id="{00000000-0008-0000-0600-0000B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a:extLst>
            <a:ext uri="{FF2B5EF4-FFF2-40B4-BE49-F238E27FC236}">
              <a16:creationId xmlns:a16="http://schemas.microsoft.com/office/drawing/2014/main" id="{00000000-0008-0000-0600-0000B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a:extLst>
            <a:ext uri="{FF2B5EF4-FFF2-40B4-BE49-F238E27FC236}">
              <a16:creationId xmlns:a16="http://schemas.microsoft.com/office/drawing/2014/main" id="{00000000-0008-0000-0600-0000B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a:extLst>
            <a:ext uri="{FF2B5EF4-FFF2-40B4-BE49-F238E27FC236}">
              <a16:creationId xmlns:a16="http://schemas.microsoft.com/office/drawing/2014/main" id="{00000000-0008-0000-0600-0000B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a:extLst>
            <a:ext uri="{FF2B5EF4-FFF2-40B4-BE49-F238E27FC236}">
              <a16:creationId xmlns:a16="http://schemas.microsoft.com/office/drawing/2014/main" id="{00000000-0008-0000-0600-0000B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a:extLst>
            <a:ext uri="{FF2B5EF4-FFF2-40B4-BE49-F238E27FC236}">
              <a16:creationId xmlns:a16="http://schemas.microsoft.com/office/drawing/2014/main" id="{00000000-0008-0000-0600-0000B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a:extLst>
            <a:ext uri="{FF2B5EF4-FFF2-40B4-BE49-F238E27FC236}">
              <a16:creationId xmlns:a16="http://schemas.microsoft.com/office/drawing/2014/main" id="{00000000-0008-0000-0600-0000B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a:extLst>
            <a:ext uri="{FF2B5EF4-FFF2-40B4-BE49-F238E27FC236}">
              <a16:creationId xmlns:a16="http://schemas.microsoft.com/office/drawing/2014/main" id="{00000000-0008-0000-0600-0000B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a:extLst>
            <a:ext uri="{FF2B5EF4-FFF2-40B4-BE49-F238E27FC236}">
              <a16:creationId xmlns:a16="http://schemas.microsoft.com/office/drawing/2014/main" id="{00000000-0008-0000-0600-0000B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a:extLst>
            <a:ext uri="{FF2B5EF4-FFF2-40B4-BE49-F238E27FC236}">
              <a16:creationId xmlns:a16="http://schemas.microsoft.com/office/drawing/2014/main" id="{00000000-0008-0000-0600-0000B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a:extLst>
            <a:ext uri="{FF2B5EF4-FFF2-40B4-BE49-F238E27FC236}">
              <a16:creationId xmlns:a16="http://schemas.microsoft.com/office/drawing/2014/main" id="{00000000-0008-0000-0600-0000B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a:extLst>
            <a:ext uri="{FF2B5EF4-FFF2-40B4-BE49-F238E27FC236}">
              <a16:creationId xmlns:a16="http://schemas.microsoft.com/office/drawing/2014/main" id="{00000000-0008-0000-0600-0000B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a:extLst>
            <a:ext uri="{FF2B5EF4-FFF2-40B4-BE49-F238E27FC236}">
              <a16:creationId xmlns:a16="http://schemas.microsoft.com/office/drawing/2014/main" id="{00000000-0008-0000-0600-0000B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a:extLst>
            <a:ext uri="{FF2B5EF4-FFF2-40B4-BE49-F238E27FC236}">
              <a16:creationId xmlns:a16="http://schemas.microsoft.com/office/drawing/2014/main" id="{00000000-0008-0000-0600-0000B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a:extLst>
            <a:ext uri="{FF2B5EF4-FFF2-40B4-BE49-F238E27FC236}">
              <a16:creationId xmlns:a16="http://schemas.microsoft.com/office/drawing/2014/main" id="{00000000-0008-0000-0600-0000C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a:extLst>
            <a:ext uri="{FF2B5EF4-FFF2-40B4-BE49-F238E27FC236}">
              <a16:creationId xmlns:a16="http://schemas.microsoft.com/office/drawing/2014/main" id="{00000000-0008-0000-0600-0000C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a:extLst>
            <a:ext uri="{FF2B5EF4-FFF2-40B4-BE49-F238E27FC236}">
              <a16:creationId xmlns:a16="http://schemas.microsoft.com/office/drawing/2014/main" id="{00000000-0008-0000-0600-0000C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a:extLst>
            <a:ext uri="{FF2B5EF4-FFF2-40B4-BE49-F238E27FC236}">
              <a16:creationId xmlns:a16="http://schemas.microsoft.com/office/drawing/2014/main" id="{00000000-0008-0000-0600-0000C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a:extLst>
            <a:ext uri="{FF2B5EF4-FFF2-40B4-BE49-F238E27FC236}">
              <a16:creationId xmlns:a16="http://schemas.microsoft.com/office/drawing/2014/main" id="{00000000-0008-0000-0600-0000C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a:extLst>
            <a:ext uri="{FF2B5EF4-FFF2-40B4-BE49-F238E27FC236}">
              <a16:creationId xmlns:a16="http://schemas.microsoft.com/office/drawing/2014/main" id="{00000000-0008-0000-0600-0000C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a:extLst>
            <a:ext uri="{FF2B5EF4-FFF2-40B4-BE49-F238E27FC236}">
              <a16:creationId xmlns:a16="http://schemas.microsoft.com/office/drawing/2014/main" id="{00000000-0008-0000-0600-0000C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a:extLst>
            <a:ext uri="{FF2B5EF4-FFF2-40B4-BE49-F238E27FC236}">
              <a16:creationId xmlns:a16="http://schemas.microsoft.com/office/drawing/2014/main" id="{00000000-0008-0000-0600-0000C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a:extLst>
            <a:ext uri="{FF2B5EF4-FFF2-40B4-BE49-F238E27FC236}">
              <a16:creationId xmlns:a16="http://schemas.microsoft.com/office/drawing/2014/main" id="{00000000-0008-0000-0600-0000C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a:extLst>
            <a:ext uri="{FF2B5EF4-FFF2-40B4-BE49-F238E27FC236}">
              <a16:creationId xmlns:a16="http://schemas.microsoft.com/office/drawing/2014/main" id="{00000000-0008-0000-0600-0000C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a:extLst>
            <a:ext uri="{FF2B5EF4-FFF2-40B4-BE49-F238E27FC236}">
              <a16:creationId xmlns:a16="http://schemas.microsoft.com/office/drawing/2014/main" id="{00000000-0008-0000-0600-0000C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a:extLst>
            <a:ext uri="{FF2B5EF4-FFF2-40B4-BE49-F238E27FC236}">
              <a16:creationId xmlns:a16="http://schemas.microsoft.com/office/drawing/2014/main" id="{00000000-0008-0000-0600-0000C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a:extLst>
            <a:ext uri="{FF2B5EF4-FFF2-40B4-BE49-F238E27FC236}">
              <a16:creationId xmlns:a16="http://schemas.microsoft.com/office/drawing/2014/main" id="{00000000-0008-0000-0600-0000C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a:extLst>
            <a:ext uri="{FF2B5EF4-FFF2-40B4-BE49-F238E27FC236}">
              <a16:creationId xmlns:a16="http://schemas.microsoft.com/office/drawing/2014/main" id="{00000000-0008-0000-0600-0000C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a:extLst>
            <a:ext uri="{FF2B5EF4-FFF2-40B4-BE49-F238E27FC236}">
              <a16:creationId xmlns:a16="http://schemas.microsoft.com/office/drawing/2014/main" id="{00000000-0008-0000-0600-0000C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a:extLst>
            <a:ext uri="{FF2B5EF4-FFF2-40B4-BE49-F238E27FC236}">
              <a16:creationId xmlns:a16="http://schemas.microsoft.com/office/drawing/2014/main" id="{00000000-0008-0000-0600-0000C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a:extLst>
            <a:ext uri="{FF2B5EF4-FFF2-40B4-BE49-F238E27FC236}">
              <a16:creationId xmlns:a16="http://schemas.microsoft.com/office/drawing/2014/main" id="{00000000-0008-0000-0600-0000D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a:extLst>
            <a:ext uri="{FF2B5EF4-FFF2-40B4-BE49-F238E27FC236}">
              <a16:creationId xmlns:a16="http://schemas.microsoft.com/office/drawing/2014/main" id="{00000000-0008-0000-0600-0000D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a:extLst>
            <a:ext uri="{FF2B5EF4-FFF2-40B4-BE49-F238E27FC236}">
              <a16:creationId xmlns:a16="http://schemas.microsoft.com/office/drawing/2014/main" id="{00000000-0008-0000-0600-0000D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a:extLst>
            <a:ext uri="{FF2B5EF4-FFF2-40B4-BE49-F238E27FC236}">
              <a16:creationId xmlns:a16="http://schemas.microsoft.com/office/drawing/2014/main" id="{00000000-0008-0000-0600-0000D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a:extLst>
            <a:ext uri="{FF2B5EF4-FFF2-40B4-BE49-F238E27FC236}">
              <a16:creationId xmlns:a16="http://schemas.microsoft.com/office/drawing/2014/main" id="{00000000-0008-0000-0600-0000D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a:extLst>
            <a:ext uri="{FF2B5EF4-FFF2-40B4-BE49-F238E27FC236}">
              <a16:creationId xmlns:a16="http://schemas.microsoft.com/office/drawing/2014/main" id="{00000000-0008-0000-0600-0000D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a:extLst>
            <a:ext uri="{FF2B5EF4-FFF2-40B4-BE49-F238E27FC236}">
              <a16:creationId xmlns:a16="http://schemas.microsoft.com/office/drawing/2014/main" id="{00000000-0008-0000-0600-0000D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a:extLst>
            <a:ext uri="{FF2B5EF4-FFF2-40B4-BE49-F238E27FC236}">
              <a16:creationId xmlns:a16="http://schemas.microsoft.com/office/drawing/2014/main" id="{00000000-0008-0000-0600-0000D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a:extLst>
            <a:ext uri="{FF2B5EF4-FFF2-40B4-BE49-F238E27FC236}">
              <a16:creationId xmlns:a16="http://schemas.microsoft.com/office/drawing/2014/main" id="{00000000-0008-0000-0600-0000D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a:extLst>
            <a:ext uri="{FF2B5EF4-FFF2-40B4-BE49-F238E27FC236}">
              <a16:creationId xmlns:a16="http://schemas.microsoft.com/office/drawing/2014/main" id="{00000000-0008-0000-0600-0000D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a:extLst>
            <a:ext uri="{FF2B5EF4-FFF2-40B4-BE49-F238E27FC236}">
              <a16:creationId xmlns:a16="http://schemas.microsoft.com/office/drawing/2014/main" id="{00000000-0008-0000-0600-0000D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a:extLst>
            <a:ext uri="{FF2B5EF4-FFF2-40B4-BE49-F238E27FC236}">
              <a16:creationId xmlns:a16="http://schemas.microsoft.com/office/drawing/2014/main" id="{00000000-0008-0000-0600-0000D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a:extLst>
            <a:ext uri="{FF2B5EF4-FFF2-40B4-BE49-F238E27FC236}">
              <a16:creationId xmlns:a16="http://schemas.microsoft.com/office/drawing/2014/main" id="{00000000-0008-0000-0600-0000D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a:extLst>
            <a:ext uri="{FF2B5EF4-FFF2-40B4-BE49-F238E27FC236}">
              <a16:creationId xmlns:a16="http://schemas.microsoft.com/office/drawing/2014/main" id="{00000000-0008-0000-0600-0000D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a:extLst>
            <a:ext uri="{FF2B5EF4-FFF2-40B4-BE49-F238E27FC236}">
              <a16:creationId xmlns:a16="http://schemas.microsoft.com/office/drawing/2014/main" id="{00000000-0008-0000-0600-0000D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a:extLst>
            <a:ext uri="{FF2B5EF4-FFF2-40B4-BE49-F238E27FC236}">
              <a16:creationId xmlns:a16="http://schemas.microsoft.com/office/drawing/2014/main" id="{00000000-0008-0000-0600-0000D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a:extLst>
            <a:ext uri="{FF2B5EF4-FFF2-40B4-BE49-F238E27FC236}">
              <a16:creationId xmlns:a16="http://schemas.microsoft.com/office/drawing/2014/main" id="{00000000-0008-0000-0600-0000E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a:extLst>
            <a:ext uri="{FF2B5EF4-FFF2-40B4-BE49-F238E27FC236}">
              <a16:creationId xmlns:a16="http://schemas.microsoft.com/office/drawing/2014/main" id="{00000000-0008-0000-0600-0000E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a:extLst>
            <a:ext uri="{FF2B5EF4-FFF2-40B4-BE49-F238E27FC236}">
              <a16:creationId xmlns:a16="http://schemas.microsoft.com/office/drawing/2014/main" id="{00000000-0008-0000-0600-0000E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a:extLst>
            <a:ext uri="{FF2B5EF4-FFF2-40B4-BE49-F238E27FC236}">
              <a16:creationId xmlns:a16="http://schemas.microsoft.com/office/drawing/2014/main" id="{00000000-0008-0000-0600-0000E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a:extLst>
            <a:ext uri="{FF2B5EF4-FFF2-40B4-BE49-F238E27FC236}">
              <a16:creationId xmlns:a16="http://schemas.microsoft.com/office/drawing/2014/main" id="{00000000-0008-0000-0600-0000E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a:extLst>
            <a:ext uri="{FF2B5EF4-FFF2-40B4-BE49-F238E27FC236}">
              <a16:creationId xmlns:a16="http://schemas.microsoft.com/office/drawing/2014/main" id="{00000000-0008-0000-0600-0000E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a:extLst>
            <a:ext uri="{FF2B5EF4-FFF2-40B4-BE49-F238E27FC236}">
              <a16:creationId xmlns:a16="http://schemas.microsoft.com/office/drawing/2014/main" id="{00000000-0008-0000-0600-0000E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a:extLst>
            <a:ext uri="{FF2B5EF4-FFF2-40B4-BE49-F238E27FC236}">
              <a16:creationId xmlns:a16="http://schemas.microsoft.com/office/drawing/2014/main" id="{00000000-0008-0000-0600-0000E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a:extLst>
            <a:ext uri="{FF2B5EF4-FFF2-40B4-BE49-F238E27FC236}">
              <a16:creationId xmlns:a16="http://schemas.microsoft.com/office/drawing/2014/main" id="{00000000-0008-0000-0600-0000E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a:extLst>
            <a:ext uri="{FF2B5EF4-FFF2-40B4-BE49-F238E27FC236}">
              <a16:creationId xmlns:a16="http://schemas.microsoft.com/office/drawing/2014/main" id="{00000000-0008-0000-0600-0000E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a:extLst>
            <a:ext uri="{FF2B5EF4-FFF2-40B4-BE49-F238E27FC236}">
              <a16:creationId xmlns:a16="http://schemas.microsoft.com/office/drawing/2014/main" id="{00000000-0008-0000-0600-0000E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a:extLst>
            <a:ext uri="{FF2B5EF4-FFF2-40B4-BE49-F238E27FC236}">
              <a16:creationId xmlns:a16="http://schemas.microsoft.com/office/drawing/2014/main" id="{00000000-0008-0000-0600-0000E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a:extLst>
            <a:ext uri="{FF2B5EF4-FFF2-40B4-BE49-F238E27FC236}">
              <a16:creationId xmlns:a16="http://schemas.microsoft.com/office/drawing/2014/main" id="{00000000-0008-0000-0600-0000E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a:extLst>
            <a:ext uri="{FF2B5EF4-FFF2-40B4-BE49-F238E27FC236}">
              <a16:creationId xmlns:a16="http://schemas.microsoft.com/office/drawing/2014/main" id="{00000000-0008-0000-0600-0000E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a:extLst>
            <a:ext uri="{FF2B5EF4-FFF2-40B4-BE49-F238E27FC236}">
              <a16:creationId xmlns:a16="http://schemas.microsoft.com/office/drawing/2014/main" id="{00000000-0008-0000-0600-0000E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a:extLst>
            <a:ext uri="{FF2B5EF4-FFF2-40B4-BE49-F238E27FC236}">
              <a16:creationId xmlns:a16="http://schemas.microsoft.com/office/drawing/2014/main" id="{00000000-0008-0000-0600-0000E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a:extLst>
            <a:ext uri="{FF2B5EF4-FFF2-40B4-BE49-F238E27FC236}">
              <a16:creationId xmlns:a16="http://schemas.microsoft.com/office/drawing/2014/main" id="{00000000-0008-0000-0600-0000F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a:extLst>
            <a:ext uri="{FF2B5EF4-FFF2-40B4-BE49-F238E27FC236}">
              <a16:creationId xmlns:a16="http://schemas.microsoft.com/office/drawing/2014/main" id="{00000000-0008-0000-0600-0000F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a:extLst>
            <a:ext uri="{FF2B5EF4-FFF2-40B4-BE49-F238E27FC236}">
              <a16:creationId xmlns:a16="http://schemas.microsoft.com/office/drawing/2014/main" id="{00000000-0008-0000-0600-0000F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a:extLst>
            <a:ext uri="{FF2B5EF4-FFF2-40B4-BE49-F238E27FC236}">
              <a16:creationId xmlns:a16="http://schemas.microsoft.com/office/drawing/2014/main" id="{00000000-0008-0000-0600-0000F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a:extLst>
            <a:ext uri="{FF2B5EF4-FFF2-40B4-BE49-F238E27FC236}">
              <a16:creationId xmlns:a16="http://schemas.microsoft.com/office/drawing/2014/main" id="{00000000-0008-0000-0600-0000F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a:extLst>
            <a:ext uri="{FF2B5EF4-FFF2-40B4-BE49-F238E27FC236}">
              <a16:creationId xmlns:a16="http://schemas.microsoft.com/office/drawing/2014/main" id="{00000000-0008-0000-0600-0000F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a:extLst>
            <a:ext uri="{FF2B5EF4-FFF2-40B4-BE49-F238E27FC236}">
              <a16:creationId xmlns:a16="http://schemas.microsoft.com/office/drawing/2014/main" id="{00000000-0008-0000-0600-0000F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a:extLst>
            <a:ext uri="{FF2B5EF4-FFF2-40B4-BE49-F238E27FC236}">
              <a16:creationId xmlns:a16="http://schemas.microsoft.com/office/drawing/2014/main" id="{00000000-0008-0000-0600-0000F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a:extLst>
            <a:ext uri="{FF2B5EF4-FFF2-40B4-BE49-F238E27FC236}">
              <a16:creationId xmlns:a16="http://schemas.microsoft.com/office/drawing/2014/main" id="{00000000-0008-0000-0600-0000F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a:extLst>
            <a:ext uri="{FF2B5EF4-FFF2-40B4-BE49-F238E27FC236}">
              <a16:creationId xmlns:a16="http://schemas.microsoft.com/office/drawing/2014/main" id="{00000000-0008-0000-0600-0000F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a:extLst>
            <a:ext uri="{FF2B5EF4-FFF2-40B4-BE49-F238E27FC236}">
              <a16:creationId xmlns:a16="http://schemas.microsoft.com/office/drawing/2014/main" id="{00000000-0008-0000-0600-0000F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a:extLst>
            <a:ext uri="{FF2B5EF4-FFF2-40B4-BE49-F238E27FC236}">
              <a16:creationId xmlns:a16="http://schemas.microsoft.com/office/drawing/2014/main" id="{00000000-0008-0000-0600-0000F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a:extLst>
            <a:ext uri="{FF2B5EF4-FFF2-40B4-BE49-F238E27FC236}">
              <a16:creationId xmlns:a16="http://schemas.microsoft.com/office/drawing/2014/main" id="{00000000-0008-0000-0600-0000F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a:extLst>
            <a:ext uri="{FF2B5EF4-FFF2-40B4-BE49-F238E27FC236}">
              <a16:creationId xmlns:a16="http://schemas.microsoft.com/office/drawing/2014/main" id="{00000000-0008-0000-0600-0000F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a:extLst>
            <a:ext uri="{FF2B5EF4-FFF2-40B4-BE49-F238E27FC236}">
              <a16:creationId xmlns:a16="http://schemas.microsoft.com/office/drawing/2014/main" id="{00000000-0008-0000-0600-0000F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a:extLst>
            <a:ext uri="{FF2B5EF4-FFF2-40B4-BE49-F238E27FC236}">
              <a16:creationId xmlns:a16="http://schemas.microsoft.com/office/drawing/2014/main" id="{00000000-0008-0000-0600-0000F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a:extLst>
            <a:ext uri="{FF2B5EF4-FFF2-40B4-BE49-F238E27FC236}">
              <a16:creationId xmlns:a16="http://schemas.microsoft.com/office/drawing/2014/main" id="{00000000-0008-0000-0600-00000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a:extLst>
            <a:ext uri="{FF2B5EF4-FFF2-40B4-BE49-F238E27FC236}">
              <a16:creationId xmlns:a16="http://schemas.microsoft.com/office/drawing/2014/main" id="{00000000-0008-0000-0600-00000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a:extLst>
            <a:ext uri="{FF2B5EF4-FFF2-40B4-BE49-F238E27FC236}">
              <a16:creationId xmlns:a16="http://schemas.microsoft.com/office/drawing/2014/main" id="{00000000-0008-0000-0600-00000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a:extLst>
            <a:ext uri="{FF2B5EF4-FFF2-40B4-BE49-F238E27FC236}">
              <a16:creationId xmlns:a16="http://schemas.microsoft.com/office/drawing/2014/main" id="{00000000-0008-0000-0600-00000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a:extLst>
            <a:ext uri="{FF2B5EF4-FFF2-40B4-BE49-F238E27FC236}">
              <a16:creationId xmlns:a16="http://schemas.microsoft.com/office/drawing/2014/main" id="{00000000-0008-0000-0600-00000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a:extLst>
            <a:ext uri="{FF2B5EF4-FFF2-40B4-BE49-F238E27FC236}">
              <a16:creationId xmlns:a16="http://schemas.microsoft.com/office/drawing/2014/main" id="{00000000-0008-0000-0600-00000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a:extLst>
            <a:ext uri="{FF2B5EF4-FFF2-40B4-BE49-F238E27FC236}">
              <a16:creationId xmlns:a16="http://schemas.microsoft.com/office/drawing/2014/main" id="{00000000-0008-0000-0600-00000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a:extLst>
            <a:ext uri="{FF2B5EF4-FFF2-40B4-BE49-F238E27FC236}">
              <a16:creationId xmlns:a16="http://schemas.microsoft.com/office/drawing/2014/main" id="{00000000-0008-0000-0600-00000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a:extLst>
            <a:ext uri="{FF2B5EF4-FFF2-40B4-BE49-F238E27FC236}">
              <a16:creationId xmlns:a16="http://schemas.microsoft.com/office/drawing/2014/main" id="{00000000-0008-0000-0600-00000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a:extLst>
            <a:ext uri="{FF2B5EF4-FFF2-40B4-BE49-F238E27FC236}">
              <a16:creationId xmlns:a16="http://schemas.microsoft.com/office/drawing/2014/main" id="{00000000-0008-0000-0600-00000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a:extLst>
            <a:ext uri="{FF2B5EF4-FFF2-40B4-BE49-F238E27FC236}">
              <a16:creationId xmlns:a16="http://schemas.microsoft.com/office/drawing/2014/main" id="{00000000-0008-0000-0600-00000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a:extLst>
            <a:ext uri="{FF2B5EF4-FFF2-40B4-BE49-F238E27FC236}">
              <a16:creationId xmlns:a16="http://schemas.microsoft.com/office/drawing/2014/main" id="{00000000-0008-0000-0600-00000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a:extLst>
            <a:ext uri="{FF2B5EF4-FFF2-40B4-BE49-F238E27FC236}">
              <a16:creationId xmlns:a16="http://schemas.microsoft.com/office/drawing/2014/main" id="{00000000-0008-0000-0600-00000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a:extLst>
            <a:ext uri="{FF2B5EF4-FFF2-40B4-BE49-F238E27FC236}">
              <a16:creationId xmlns:a16="http://schemas.microsoft.com/office/drawing/2014/main" id="{00000000-0008-0000-0600-00000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a:extLst>
            <a:ext uri="{FF2B5EF4-FFF2-40B4-BE49-F238E27FC236}">
              <a16:creationId xmlns:a16="http://schemas.microsoft.com/office/drawing/2014/main" id="{00000000-0008-0000-0600-00000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a:extLst>
            <a:ext uri="{FF2B5EF4-FFF2-40B4-BE49-F238E27FC236}">
              <a16:creationId xmlns:a16="http://schemas.microsoft.com/office/drawing/2014/main" id="{00000000-0008-0000-0600-00000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a:extLst>
            <a:ext uri="{FF2B5EF4-FFF2-40B4-BE49-F238E27FC236}">
              <a16:creationId xmlns:a16="http://schemas.microsoft.com/office/drawing/2014/main" id="{00000000-0008-0000-0600-00001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a:extLst>
            <a:ext uri="{FF2B5EF4-FFF2-40B4-BE49-F238E27FC236}">
              <a16:creationId xmlns:a16="http://schemas.microsoft.com/office/drawing/2014/main" id="{00000000-0008-0000-0600-00001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a:extLst>
            <a:ext uri="{FF2B5EF4-FFF2-40B4-BE49-F238E27FC236}">
              <a16:creationId xmlns:a16="http://schemas.microsoft.com/office/drawing/2014/main" id="{00000000-0008-0000-0600-00001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a:extLst>
            <a:ext uri="{FF2B5EF4-FFF2-40B4-BE49-F238E27FC236}">
              <a16:creationId xmlns:a16="http://schemas.microsoft.com/office/drawing/2014/main" id="{00000000-0008-0000-0600-00001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a:extLst>
            <a:ext uri="{FF2B5EF4-FFF2-40B4-BE49-F238E27FC236}">
              <a16:creationId xmlns:a16="http://schemas.microsoft.com/office/drawing/2014/main" id="{00000000-0008-0000-0600-00001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a:extLst>
            <a:ext uri="{FF2B5EF4-FFF2-40B4-BE49-F238E27FC236}">
              <a16:creationId xmlns:a16="http://schemas.microsoft.com/office/drawing/2014/main" id="{00000000-0008-0000-0600-00001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a:extLst>
            <a:ext uri="{FF2B5EF4-FFF2-40B4-BE49-F238E27FC236}">
              <a16:creationId xmlns:a16="http://schemas.microsoft.com/office/drawing/2014/main" id="{00000000-0008-0000-0600-00001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a:extLst>
            <a:ext uri="{FF2B5EF4-FFF2-40B4-BE49-F238E27FC236}">
              <a16:creationId xmlns:a16="http://schemas.microsoft.com/office/drawing/2014/main" id="{00000000-0008-0000-0600-00001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a:extLst>
            <a:ext uri="{FF2B5EF4-FFF2-40B4-BE49-F238E27FC236}">
              <a16:creationId xmlns:a16="http://schemas.microsoft.com/office/drawing/2014/main" id="{00000000-0008-0000-0600-00001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a:extLst>
            <a:ext uri="{FF2B5EF4-FFF2-40B4-BE49-F238E27FC236}">
              <a16:creationId xmlns:a16="http://schemas.microsoft.com/office/drawing/2014/main" id="{00000000-0008-0000-0600-00001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a:extLst>
            <a:ext uri="{FF2B5EF4-FFF2-40B4-BE49-F238E27FC236}">
              <a16:creationId xmlns:a16="http://schemas.microsoft.com/office/drawing/2014/main" id="{00000000-0008-0000-0600-00001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a:extLst>
            <a:ext uri="{FF2B5EF4-FFF2-40B4-BE49-F238E27FC236}">
              <a16:creationId xmlns:a16="http://schemas.microsoft.com/office/drawing/2014/main" id="{00000000-0008-0000-0600-00001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a:extLst>
            <a:ext uri="{FF2B5EF4-FFF2-40B4-BE49-F238E27FC236}">
              <a16:creationId xmlns:a16="http://schemas.microsoft.com/office/drawing/2014/main" id="{00000000-0008-0000-0600-00001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a:extLst>
            <a:ext uri="{FF2B5EF4-FFF2-40B4-BE49-F238E27FC236}">
              <a16:creationId xmlns:a16="http://schemas.microsoft.com/office/drawing/2014/main" id="{00000000-0008-0000-0600-00001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a:extLst>
            <a:ext uri="{FF2B5EF4-FFF2-40B4-BE49-F238E27FC236}">
              <a16:creationId xmlns:a16="http://schemas.microsoft.com/office/drawing/2014/main" id="{00000000-0008-0000-0600-00001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a:extLst>
            <a:ext uri="{FF2B5EF4-FFF2-40B4-BE49-F238E27FC236}">
              <a16:creationId xmlns:a16="http://schemas.microsoft.com/office/drawing/2014/main" id="{00000000-0008-0000-0600-00001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a:extLst>
            <a:ext uri="{FF2B5EF4-FFF2-40B4-BE49-F238E27FC236}">
              <a16:creationId xmlns:a16="http://schemas.microsoft.com/office/drawing/2014/main" id="{00000000-0008-0000-0600-00002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a:extLst>
            <a:ext uri="{FF2B5EF4-FFF2-40B4-BE49-F238E27FC236}">
              <a16:creationId xmlns:a16="http://schemas.microsoft.com/office/drawing/2014/main" id="{00000000-0008-0000-0600-00002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a:extLst>
            <a:ext uri="{FF2B5EF4-FFF2-40B4-BE49-F238E27FC236}">
              <a16:creationId xmlns:a16="http://schemas.microsoft.com/office/drawing/2014/main" id="{00000000-0008-0000-0600-00002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a:extLst>
            <a:ext uri="{FF2B5EF4-FFF2-40B4-BE49-F238E27FC236}">
              <a16:creationId xmlns:a16="http://schemas.microsoft.com/office/drawing/2014/main" id="{00000000-0008-0000-0600-00002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a:extLst>
            <a:ext uri="{FF2B5EF4-FFF2-40B4-BE49-F238E27FC236}">
              <a16:creationId xmlns:a16="http://schemas.microsoft.com/office/drawing/2014/main" id="{00000000-0008-0000-0600-00002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a:extLst>
            <a:ext uri="{FF2B5EF4-FFF2-40B4-BE49-F238E27FC236}">
              <a16:creationId xmlns:a16="http://schemas.microsoft.com/office/drawing/2014/main" id="{00000000-0008-0000-0600-00002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a:extLst>
            <a:ext uri="{FF2B5EF4-FFF2-40B4-BE49-F238E27FC236}">
              <a16:creationId xmlns:a16="http://schemas.microsoft.com/office/drawing/2014/main" id="{00000000-0008-0000-0600-00002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a:extLst>
            <a:ext uri="{FF2B5EF4-FFF2-40B4-BE49-F238E27FC236}">
              <a16:creationId xmlns:a16="http://schemas.microsoft.com/office/drawing/2014/main" id="{00000000-0008-0000-0600-00002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a:extLst>
            <a:ext uri="{FF2B5EF4-FFF2-40B4-BE49-F238E27FC236}">
              <a16:creationId xmlns:a16="http://schemas.microsoft.com/office/drawing/2014/main" id="{00000000-0008-0000-0600-00002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a:extLst>
            <a:ext uri="{FF2B5EF4-FFF2-40B4-BE49-F238E27FC236}">
              <a16:creationId xmlns:a16="http://schemas.microsoft.com/office/drawing/2014/main" id="{00000000-0008-0000-0600-00002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a:extLst>
            <a:ext uri="{FF2B5EF4-FFF2-40B4-BE49-F238E27FC236}">
              <a16:creationId xmlns:a16="http://schemas.microsoft.com/office/drawing/2014/main" id="{00000000-0008-0000-0600-00002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a:extLst>
            <a:ext uri="{FF2B5EF4-FFF2-40B4-BE49-F238E27FC236}">
              <a16:creationId xmlns:a16="http://schemas.microsoft.com/office/drawing/2014/main" id="{00000000-0008-0000-0600-00002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a:extLst>
            <a:ext uri="{FF2B5EF4-FFF2-40B4-BE49-F238E27FC236}">
              <a16:creationId xmlns:a16="http://schemas.microsoft.com/office/drawing/2014/main" id="{00000000-0008-0000-0600-00002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a:extLst>
            <a:ext uri="{FF2B5EF4-FFF2-40B4-BE49-F238E27FC236}">
              <a16:creationId xmlns:a16="http://schemas.microsoft.com/office/drawing/2014/main" id="{00000000-0008-0000-0600-00002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a:extLst>
            <a:ext uri="{FF2B5EF4-FFF2-40B4-BE49-F238E27FC236}">
              <a16:creationId xmlns:a16="http://schemas.microsoft.com/office/drawing/2014/main" id="{00000000-0008-0000-0600-00002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a:extLst>
            <a:ext uri="{FF2B5EF4-FFF2-40B4-BE49-F238E27FC236}">
              <a16:creationId xmlns:a16="http://schemas.microsoft.com/office/drawing/2014/main" id="{00000000-0008-0000-0600-00002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a:extLst>
            <a:ext uri="{FF2B5EF4-FFF2-40B4-BE49-F238E27FC236}">
              <a16:creationId xmlns:a16="http://schemas.microsoft.com/office/drawing/2014/main" id="{00000000-0008-0000-0600-00003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a:extLst>
            <a:ext uri="{FF2B5EF4-FFF2-40B4-BE49-F238E27FC236}">
              <a16:creationId xmlns:a16="http://schemas.microsoft.com/office/drawing/2014/main" id="{00000000-0008-0000-0600-00003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a:extLst>
            <a:ext uri="{FF2B5EF4-FFF2-40B4-BE49-F238E27FC236}">
              <a16:creationId xmlns:a16="http://schemas.microsoft.com/office/drawing/2014/main" id="{00000000-0008-0000-0600-00003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a:extLst>
            <a:ext uri="{FF2B5EF4-FFF2-40B4-BE49-F238E27FC236}">
              <a16:creationId xmlns:a16="http://schemas.microsoft.com/office/drawing/2014/main" id="{00000000-0008-0000-0600-00003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a:extLst>
            <a:ext uri="{FF2B5EF4-FFF2-40B4-BE49-F238E27FC236}">
              <a16:creationId xmlns:a16="http://schemas.microsoft.com/office/drawing/2014/main" id="{00000000-0008-0000-0600-00003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a:extLst>
            <a:ext uri="{FF2B5EF4-FFF2-40B4-BE49-F238E27FC236}">
              <a16:creationId xmlns:a16="http://schemas.microsoft.com/office/drawing/2014/main" id="{00000000-0008-0000-0600-00003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a:extLst>
            <a:ext uri="{FF2B5EF4-FFF2-40B4-BE49-F238E27FC236}">
              <a16:creationId xmlns:a16="http://schemas.microsoft.com/office/drawing/2014/main" id="{00000000-0008-0000-0600-00003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a:extLst>
            <a:ext uri="{FF2B5EF4-FFF2-40B4-BE49-F238E27FC236}">
              <a16:creationId xmlns:a16="http://schemas.microsoft.com/office/drawing/2014/main" id="{00000000-0008-0000-0600-00003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a:extLst>
            <a:ext uri="{FF2B5EF4-FFF2-40B4-BE49-F238E27FC236}">
              <a16:creationId xmlns:a16="http://schemas.microsoft.com/office/drawing/2014/main" id="{00000000-0008-0000-0600-00003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a:extLst>
            <a:ext uri="{FF2B5EF4-FFF2-40B4-BE49-F238E27FC236}">
              <a16:creationId xmlns:a16="http://schemas.microsoft.com/office/drawing/2014/main" id="{00000000-0008-0000-0600-00003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a:extLst>
            <a:ext uri="{FF2B5EF4-FFF2-40B4-BE49-F238E27FC236}">
              <a16:creationId xmlns:a16="http://schemas.microsoft.com/office/drawing/2014/main" id="{00000000-0008-0000-0600-00003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a:extLst>
            <a:ext uri="{FF2B5EF4-FFF2-40B4-BE49-F238E27FC236}">
              <a16:creationId xmlns:a16="http://schemas.microsoft.com/office/drawing/2014/main" id="{00000000-0008-0000-0600-00003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a:extLst>
            <a:ext uri="{FF2B5EF4-FFF2-40B4-BE49-F238E27FC236}">
              <a16:creationId xmlns:a16="http://schemas.microsoft.com/office/drawing/2014/main" id="{00000000-0008-0000-0600-00003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a:extLst>
            <a:ext uri="{FF2B5EF4-FFF2-40B4-BE49-F238E27FC236}">
              <a16:creationId xmlns:a16="http://schemas.microsoft.com/office/drawing/2014/main" id="{00000000-0008-0000-0600-00003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a:extLst>
            <a:ext uri="{FF2B5EF4-FFF2-40B4-BE49-F238E27FC236}">
              <a16:creationId xmlns:a16="http://schemas.microsoft.com/office/drawing/2014/main" id="{00000000-0008-0000-0600-00003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a:extLst>
            <a:ext uri="{FF2B5EF4-FFF2-40B4-BE49-F238E27FC236}">
              <a16:creationId xmlns:a16="http://schemas.microsoft.com/office/drawing/2014/main" id="{00000000-0008-0000-0600-00003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a:extLst>
            <a:ext uri="{FF2B5EF4-FFF2-40B4-BE49-F238E27FC236}">
              <a16:creationId xmlns:a16="http://schemas.microsoft.com/office/drawing/2014/main" id="{00000000-0008-0000-0600-00004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a:extLst>
            <a:ext uri="{FF2B5EF4-FFF2-40B4-BE49-F238E27FC236}">
              <a16:creationId xmlns:a16="http://schemas.microsoft.com/office/drawing/2014/main" id="{00000000-0008-0000-0600-00004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a:extLst>
            <a:ext uri="{FF2B5EF4-FFF2-40B4-BE49-F238E27FC236}">
              <a16:creationId xmlns:a16="http://schemas.microsoft.com/office/drawing/2014/main" id="{00000000-0008-0000-0600-00004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a:extLst>
            <a:ext uri="{FF2B5EF4-FFF2-40B4-BE49-F238E27FC236}">
              <a16:creationId xmlns:a16="http://schemas.microsoft.com/office/drawing/2014/main" id="{00000000-0008-0000-0600-00004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a:extLst>
            <a:ext uri="{FF2B5EF4-FFF2-40B4-BE49-F238E27FC236}">
              <a16:creationId xmlns:a16="http://schemas.microsoft.com/office/drawing/2014/main" id="{00000000-0008-0000-0600-00004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a:extLst>
            <a:ext uri="{FF2B5EF4-FFF2-40B4-BE49-F238E27FC236}">
              <a16:creationId xmlns:a16="http://schemas.microsoft.com/office/drawing/2014/main" id="{00000000-0008-0000-0600-00004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a:extLst>
            <a:ext uri="{FF2B5EF4-FFF2-40B4-BE49-F238E27FC236}">
              <a16:creationId xmlns:a16="http://schemas.microsoft.com/office/drawing/2014/main" id="{00000000-0008-0000-0600-00004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a:extLst>
            <a:ext uri="{FF2B5EF4-FFF2-40B4-BE49-F238E27FC236}">
              <a16:creationId xmlns:a16="http://schemas.microsoft.com/office/drawing/2014/main" id="{00000000-0008-0000-0600-00004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a:extLst>
            <a:ext uri="{FF2B5EF4-FFF2-40B4-BE49-F238E27FC236}">
              <a16:creationId xmlns:a16="http://schemas.microsoft.com/office/drawing/2014/main" id="{00000000-0008-0000-0600-00004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a:extLst>
            <a:ext uri="{FF2B5EF4-FFF2-40B4-BE49-F238E27FC236}">
              <a16:creationId xmlns:a16="http://schemas.microsoft.com/office/drawing/2014/main" id="{00000000-0008-0000-0600-00004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a:extLst>
            <a:ext uri="{FF2B5EF4-FFF2-40B4-BE49-F238E27FC236}">
              <a16:creationId xmlns:a16="http://schemas.microsoft.com/office/drawing/2014/main" id="{00000000-0008-0000-0600-00004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a:extLst>
            <a:ext uri="{FF2B5EF4-FFF2-40B4-BE49-F238E27FC236}">
              <a16:creationId xmlns:a16="http://schemas.microsoft.com/office/drawing/2014/main" id="{00000000-0008-0000-0600-00004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a:extLst>
            <a:ext uri="{FF2B5EF4-FFF2-40B4-BE49-F238E27FC236}">
              <a16:creationId xmlns:a16="http://schemas.microsoft.com/office/drawing/2014/main" id="{00000000-0008-0000-0600-00004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a:extLst>
            <a:ext uri="{FF2B5EF4-FFF2-40B4-BE49-F238E27FC236}">
              <a16:creationId xmlns:a16="http://schemas.microsoft.com/office/drawing/2014/main" id="{00000000-0008-0000-0600-00004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a:extLst>
            <a:ext uri="{FF2B5EF4-FFF2-40B4-BE49-F238E27FC236}">
              <a16:creationId xmlns:a16="http://schemas.microsoft.com/office/drawing/2014/main" id="{00000000-0008-0000-0600-00004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a:extLst>
            <a:ext uri="{FF2B5EF4-FFF2-40B4-BE49-F238E27FC236}">
              <a16:creationId xmlns:a16="http://schemas.microsoft.com/office/drawing/2014/main" id="{00000000-0008-0000-0600-00004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a:extLst>
            <a:ext uri="{FF2B5EF4-FFF2-40B4-BE49-F238E27FC236}">
              <a16:creationId xmlns:a16="http://schemas.microsoft.com/office/drawing/2014/main" id="{00000000-0008-0000-0600-00005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a:extLst>
            <a:ext uri="{FF2B5EF4-FFF2-40B4-BE49-F238E27FC236}">
              <a16:creationId xmlns:a16="http://schemas.microsoft.com/office/drawing/2014/main" id="{00000000-0008-0000-0600-00005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a:extLst>
            <a:ext uri="{FF2B5EF4-FFF2-40B4-BE49-F238E27FC236}">
              <a16:creationId xmlns:a16="http://schemas.microsoft.com/office/drawing/2014/main" id="{00000000-0008-0000-0600-00005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a:extLst>
            <a:ext uri="{FF2B5EF4-FFF2-40B4-BE49-F238E27FC236}">
              <a16:creationId xmlns:a16="http://schemas.microsoft.com/office/drawing/2014/main" id="{00000000-0008-0000-0600-00005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a:extLst>
            <a:ext uri="{FF2B5EF4-FFF2-40B4-BE49-F238E27FC236}">
              <a16:creationId xmlns:a16="http://schemas.microsoft.com/office/drawing/2014/main" id="{00000000-0008-0000-0600-00005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a:extLst>
            <a:ext uri="{FF2B5EF4-FFF2-40B4-BE49-F238E27FC236}">
              <a16:creationId xmlns:a16="http://schemas.microsoft.com/office/drawing/2014/main" id="{00000000-0008-0000-0600-00005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a:extLst>
            <a:ext uri="{FF2B5EF4-FFF2-40B4-BE49-F238E27FC236}">
              <a16:creationId xmlns:a16="http://schemas.microsoft.com/office/drawing/2014/main" id="{00000000-0008-0000-0600-00005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a:extLst>
            <a:ext uri="{FF2B5EF4-FFF2-40B4-BE49-F238E27FC236}">
              <a16:creationId xmlns:a16="http://schemas.microsoft.com/office/drawing/2014/main" id="{00000000-0008-0000-0600-00005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a:extLst>
            <a:ext uri="{FF2B5EF4-FFF2-40B4-BE49-F238E27FC236}">
              <a16:creationId xmlns:a16="http://schemas.microsoft.com/office/drawing/2014/main" id="{00000000-0008-0000-0600-00005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a:extLst>
            <a:ext uri="{FF2B5EF4-FFF2-40B4-BE49-F238E27FC236}">
              <a16:creationId xmlns:a16="http://schemas.microsoft.com/office/drawing/2014/main" id="{00000000-0008-0000-0600-00005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a:extLst>
            <a:ext uri="{FF2B5EF4-FFF2-40B4-BE49-F238E27FC236}">
              <a16:creationId xmlns:a16="http://schemas.microsoft.com/office/drawing/2014/main" id="{00000000-0008-0000-0600-00005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a:extLst>
            <a:ext uri="{FF2B5EF4-FFF2-40B4-BE49-F238E27FC236}">
              <a16:creationId xmlns:a16="http://schemas.microsoft.com/office/drawing/2014/main" id="{00000000-0008-0000-0600-00005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a:extLst>
            <a:ext uri="{FF2B5EF4-FFF2-40B4-BE49-F238E27FC236}">
              <a16:creationId xmlns:a16="http://schemas.microsoft.com/office/drawing/2014/main" id="{00000000-0008-0000-0600-00005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a:extLst>
            <a:ext uri="{FF2B5EF4-FFF2-40B4-BE49-F238E27FC236}">
              <a16:creationId xmlns:a16="http://schemas.microsoft.com/office/drawing/2014/main" id="{00000000-0008-0000-0600-00005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a:extLst>
            <a:ext uri="{FF2B5EF4-FFF2-40B4-BE49-F238E27FC236}">
              <a16:creationId xmlns:a16="http://schemas.microsoft.com/office/drawing/2014/main" id="{00000000-0008-0000-0600-00005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a:extLst>
            <a:ext uri="{FF2B5EF4-FFF2-40B4-BE49-F238E27FC236}">
              <a16:creationId xmlns:a16="http://schemas.microsoft.com/office/drawing/2014/main" id="{00000000-0008-0000-0600-00005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a:extLst>
            <a:ext uri="{FF2B5EF4-FFF2-40B4-BE49-F238E27FC236}">
              <a16:creationId xmlns:a16="http://schemas.microsoft.com/office/drawing/2014/main" id="{00000000-0008-0000-0600-00006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a:extLst>
            <a:ext uri="{FF2B5EF4-FFF2-40B4-BE49-F238E27FC236}">
              <a16:creationId xmlns:a16="http://schemas.microsoft.com/office/drawing/2014/main" id="{00000000-0008-0000-0600-00006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a:extLst>
            <a:ext uri="{FF2B5EF4-FFF2-40B4-BE49-F238E27FC236}">
              <a16:creationId xmlns:a16="http://schemas.microsoft.com/office/drawing/2014/main" id="{00000000-0008-0000-0600-00006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a:extLst>
            <a:ext uri="{FF2B5EF4-FFF2-40B4-BE49-F238E27FC236}">
              <a16:creationId xmlns:a16="http://schemas.microsoft.com/office/drawing/2014/main" id="{00000000-0008-0000-0600-00006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a:extLst>
            <a:ext uri="{FF2B5EF4-FFF2-40B4-BE49-F238E27FC236}">
              <a16:creationId xmlns:a16="http://schemas.microsoft.com/office/drawing/2014/main" id="{00000000-0008-0000-0600-00006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a:extLst>
            <a:ext uri="{FF2B5EF4-FFF2-40B4-BE49-F238E27FC236}">
              <a16:creationId xmlns:a16="http://schemas.microsoft.com/office/drawing/2014/main" id="{00000000-0008-0000-0600-00006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a:extLst>
            <a:ext uri="{FF2B5EF4-FFF2-40B4-BE49-F238E27FC236}">
              <a16:creationId xmlns:a16="http://schemas.microsoft.com/office/drawing/2014/main" id="{00000000-0008-0000-0600-00006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a:extLst>
            <a:ext uri="{FF2B5EF4-FFF2-40B4-BE49-F238E27FC236}">
              <a16:creationId xmlns:a16="http://schemas.microsoft.com/office/drawing/2014/main" id="{00000000-0008-0000-0600-00006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a:extLst>
            <a:ext uri="{FF2B5EF4-FFF2-40B4-BE49-F238E27FC236}">
              <a16:creationId xmlns:a16="http://schemas.microsoft.com/office/drawing/2014/main" id="{00000000-0008-0000-0600-00006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a:extLst>
            <a:ext uri="{FF2B5EF4-FFF2-40B4-BE49-F238E27FC236}">
              <a16:creationId xmlns:a16="http://schemas.microsoft.com/office/drawing/2014/main" id="{00000000-0008-0000-0600-00006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a:extLst>
            <a:ext uri="{FF2B5EF4-FFF2-40B4-BE49-F238E27FC236}">
              <a16:creationId xmlns:a16="http://schemas.microsoft.com/office/drawing/2014/main" id="{00000000-0008-0000-0600-00006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a:extLst>
            <a:ext uri="{FF2B5EF4-FFF2-40B4-BE49-F238E27FC236}">
              <a16:creationId xmlns:a16="http://schemas.microsoft.com/office/drawing/2014/main" id="{00000000-0008-0000-0600-00006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a:extLst>
            <a:ext uri="{FF2B5EF4-FFF2-40B4-BE49-F238E27FC236}">
              <a16:creationId xmlns:a16="http://schemas.microsoft.com/office/drawing/2014/main" id="{00000000-0008-0000-0600-00006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a:extLst>
            <a:ext uri="{FF2B5EF4-FFF2-40B4-BE49-F238E27FC236}">
              <a16:creationId xmlns:a16="http://schemas.microsoft.com/office/drawing/2014/main" id="{00000000-0008-0000-0600-00006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a:extLst>
            <a:ext uri="{FF2B5EF4-FFF2-40B4-BE49-F238E27FC236}">
              <a16:creationId xmlns:a16="http://schemas.microsoft.com/office/drawing/2014/main" id="{00000000-0008-0000-0600-00006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a:extLst>
            <a:ext uri="{FF2B5EF4-FFF2-40B4-BE49-F238E27FC236}">
              <a16:creationId xmlns:a16="http://schemas.microsoft.com/office/drawing/2014/main" id="{00000000-0008-0000-0600-00006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a:extLst>
            <a:ext uri="{FF2B5EF4-FFF2-40B4-BE49-F238E27FC236}">
              <a16:creationId xmlns:a16="http://schemas.microsoft.com/office/drawing/2014/main" id="{00000000-0008-0000-0600-00007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a:extLst>
            <a:ext uri="{FF2B5EF4-FFF2-40B4-BE49-F238E27FC236}">
              <a16:creationId xmlns:a16="http://schemas.microsoft.com/office/drawing/2014/main" id="{00000000-0008-0000-0600-00007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a:extLst>
            <a:ext uri="{FF2B5EF4-FFF2-40B4-BE49-F238E27FC236}">
              <a16:creationId xmlns:a16="http://schemas.microsoft.com/office/drawing/2014/main" id="{00000000-0008-0000-0600-00007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a:extLst>
            <a:ext uri="{FF2B5EF4-FFF2-40B4-BE49-F238E27FC236}">
              <a16:creationId xmlns:a16="http://schemas.microsoft.com/office/drawing/2014/main" id="{00000000-0008-0000-0600-00007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a:extLst>
            <a:ext uri="{FF2B5EF4-FFF2-40B4-BE49-F238E27FC236}">
              <a16:creationId xmlns:a16="http://schemas.microsoft.com/office/drawing/2014/main" id="{00000000-0008-0000-0600-00007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a:extLst>
            <a:ext uri="{FF2B5EF4-FFF2-40B4-BE49-F238E27FC236}">
              <a16:creationId xmlns:a16="http://schemas.microsoft.com/office/drawing/2014/main" id="{00000000-0008-0000-0600-00007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a:extLst>
            <a:ext uri="{FF2B5EF4-FFF2-40B4-BE49-F238E27FC236}">
              <a16:creationId xmlns:a16="http://schemas.microsoft.com/office/drawing/2014/main" id="{00000000-0008-0000-0600-00007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a:extLst>
            <a:ext uri="{FF2B5EF4-FFF2-40B4-BE49-F238E27FC236}">
              <a16:creationId xmlns:a16="http://schemas.microsoft.com/office/drawing/2014/main" id="{00000000-0008-0000-0600-00007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a:extLst>
            <a:ext uri="{FF2B5EF4-FFF2-40B4-BE49-F238E27FC236}">
              <a16:creationId xmlns:a16="http://schemas.microsoft.com/office/drawing/2014/main" id="{00000000-0008-0000-0600-00007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a:extLst>
            <a:ext uri="{FF2B5EF4-FFF2-40B4-BE49-F238E27FC236}">
              <a16:creationId xmlns:a16="http://schemas.microsoft.com/office/drawing/2014/main" id="{00000000-0008-0000-0600-00007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a:extLst>
            <a:ext uri="{FF2B5EF4-FFF2-40B4-BE49-F238E27FC236}">
              <a16:creationId xmlns:a16="http://schemas.microsoft.com/office/drawing/2014/main" id="{00000000-0008-0000-0600-00007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a:extLst>
            <a:ext uri="{FF2B5EF4-FFF2-40B4-BE49-F238E27FC236}">
              <a16:creationId xmlns:a16="http://schemas.microsoft.com/office/drawing/2014/main" id="{00000000-0008-0000-0600-00007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a:extLst>
            <a:ext uri="{FF2B5EF4-FFF2-40B4-BE49-F238E27FC236}">
              <a16:creationId xmlns:a16="http://schemas.microsoft.com/office/drawing/2014/main" id="{00000000-0008-0000-0600-00007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a:extLst>
            <a:ext uri="{FF2B5EF4-FFF2-40B4-BE49-F238E27FC236}">
              <a16:creationId xmlns:a16="http://schemas.microsoft.com/office/drawing/2014/main" id="{00000000-0008-0000-0600-00007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a:extLst>
            <a:ext uri="{FF2B5EF4-FFF2-40B4-BE49-F238E27FC236}">
              <a16:creationId xmlns:a16="http://schemas.microsoft.com/office/drawing/2014/main" id="{00000000-0008-0000-0600-00007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a:extLst>
            <a:ext uri="{FF2B5EF4-FFF2-40B4-BE49-F238E27FC236}">
              <a16:creationId xmlns:a16="http://schemas.microsoft.com/office/drawing/2014/main" id="{00000000-0008-0000-0600-00007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a:extLst>
            <a:ext uri="{FF2B5EF4-FFF2-40B4-BE49-F238E27FC236}">
              <a16:creationId xmlns:a16="http://schemas.microsoft.com/office/drawing/2014/main" id="{00000000-0008-0000-0600-00008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a:extLst>
            <a:ext uri="{FF2B5EF4-FFF2-40B4-BE49-F238E27FC236}">
              <a16:creationId xmlns:a16="http://schemas.microsoft.com/office/drawing/2014/main" id="{00000000-0008-0000-0600-00008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a:extLst>
            <a:ext uri="{FF2B5EF4-FFF2-40B4-BE49-F238E27FC236}">
              <a16:creationId xmlns:a16="http://schemas.microsoft.com/office/drawing/2014/main" id="{00000000-0008-0000-0600-00008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a:extLst>
            <a:ext uri="{FF2B5EF4-FFF2-40B4-BE49-F238E27FC236}">
              <a16:creationId xmlns:a16="http://schemas.microsoft.com/office/drawing/2014/main" id="{00000000-0008-0000-0600-00008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a:extLst>
            <a:ext uri="{FF2B5EF4-FFF2-40B4-BE49-F238E27FC236}">
              <a16:creationId xmlns:a16="http://schemas.microsoft.com/office/drawing/2014/main" id="{00000000-0008-0000-0600-00008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a:extLst>
            <a:ext uri="{FF2B5EF4-FFF2-40B4-BE49-F238E27FC236}">
              <a16:creationId xmlns:a16="http://schemas.microsoft.com/office/drawing/2014/main" id="{00000000-0008-0000-0600-00008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a:extLst>
            <a:ext uri="{FF2B5EF4-FFF2-40B4-BE49-F238E27FC236}">
              <a16:creationId xmlns:a16="http://schemas.microsoft.com/office/drawing/2014/main" id="{00000000-0008-0000-0600-00008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a:extLst>
            <a:ext uri="{FF2B5EF4-FFF2-40B4-BE49-F238E27FC236}">
              <a16:creationId xmlns:a16="http://schemas.microsoft.com/office/drawing/2014/main" id="{00000000-0008-0000-0600-00008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a:extLst>
            <a:ext uri="{FF2B5EF4-FFF2-40B4-BE49-F238E27FC236}">
              <a16:creationId xmlns:a16="http://schemas.microsoft.com/office/drawing/2014/main" id="{00000000-0008-0000-0600-00008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a:extLst>
            <a:ext uri="{FF2B5EF4-FFF2-40B4-BE49-F238E27FC236}">
              <a16:creationId xmlns:a16="http://schemas.microsoft.com/office/drawing/2014/main" id="{00000000-0008-0000-0600-00008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a:extLst>
            <a:ext uri="{FF2B5EF4-FFF2-40B4-BE49-F238E27FC236}">
              <a16:creationId xmlns:a16="http://schemas.microsoft.com/office/drawing/2014/main" id="{00000000-0008-0000-0600-00008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a:extLst>
            <a:ext uri="{FF2B5EF4-FFF2-40B4-BE49-F238E27FC236}">
              <a16:creationId xmlns:a16="http://schemas.microsoft.com/office/drawing/2014/main" id="{00000000-0008-0000-0600-00008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a:extLst>
            <a:ext uri="{FF2B5EF4-FFF2-40B4-BE49-F238E27FC236}">
              <a16:creationId xmlns:a16="http://schemas.microsoft.com/office/drawing/2014/main" id="{00000000-0008-0000-0600-00008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a:extLst>
            <a:ext uri="{FF2B5EF4-FFF2-40B4-BE49-F238E27FC236}">
              <a16:creationId xmlns:a16="http://schemas.microsoft.com/office/drawing/2014/main" id="{00000000-0008-0000-0600-00008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a:extLst>
            <a:ext uri="{FF2B5EF4-FFF2-40B4-BE49-F238E27FC236}">
              <a16:creationId xmlns:a16="http://schemas.microsoft.com/office/drawing/2014/main" id="{00000000-0008-0000-0600-00008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a:extLst>
            <a:ext uri="{FF2B5EF4-FFF2-40B4-BE49-F238E27FC236}">
              <a16:creationId xmlns:a16="http://schemas.microsoft.com/office/drawing/2014/main" id="{00000000-0008-0000-0600-00008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a:extLst>
            <a:ext uri="{FF2B5EF4-FFF2-40B4-BE49-F238E27FC236}">
              <a16:creationId xmlns:a16="http://schemas.microsoft.com/office/drawing/2014/main" id="{00000000-0008-0000-0600-00009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a:extLst>
            <a:ext uri="{FF2B5EF4-FFF2-40B4-BE49-F238E27FC236}">
              <a16:creationId xmlns:a16="http://schemas.microsoft.com/office/drawing/2014/main" id="{00000000-0008-0000-0600-00009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a:extLst>
            <a:ext uri="{FF2B5EF4-FFF2-40B4-BE49-F238E27FC236}">
              <a16:creationId xmlns:a16="http://schemas.microsoft.com/office/drawing/2014/main" id="{00000000-0008-0000-0600-00009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a:extLst>
            <a:ext uri="{FF2B5EF4-FFF2-40B4-BE49-F238E27FC236}">
              <a16:creationId xmlns:a16="http://schemas.microsoft.com/office/drawing/2014/main" id="{00000000-0008-0000-0600-00009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a:extLst>
            <a:ext uri="{FF2B5EF4-FFF2-40B4-BE49-F238E27FC236}">
              <a16:creationId xmlns:a16="http://schemas.microsoft.com/office/drawing/2014/main" id="{00000000-0008-0000-0600-00009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a:extLst>
            <a:ext uri="{FF2B5EF4-FFF2-40B4-BE49-F238E27FC236}">
              <a16:creationId xmlns:a16="http://schemas.microsoft.com/office/drawing/2014/main" id="{00000000-0008-0000-0600-00009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a:extLst>
            <a:ext uri="{FF2B5EF4-FFF2-40B4-BE49-F238E27FC236}">
              <a16:creationId xmlns:a16="http://schemas.microsoft.com/office/drawing/2014/main" id="{00000000-0008-0000-0600-00009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a:extLst>
            <a:ext uri="{FF2B5EF4-FFF2-40B4-BE49-F238E27FC236}">
              <a16:creationId xmlns:a16="http://schemas.microsoft.com/office/drawing/2014/main" id="{00000000-0008-0000-0600-00009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a:extLst>
            <a:ext uri="{FF2B5EF4-FFF2-40B4-BE49-F238E27FC236}">
              <a16:creationId xmlns:a16="http://schemas.microsoft.com/office/drawing/2014/main" id="{00000000-0008-0000-0600-00009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a:extLst>
            <a:ext uri="{FF2B5EF4-FFF2-40B4-BE49-F238E27FC236}">
              <a16:creationId xmlns:a16="http://schemas.microsoft.com/office/drawing/2014/main" id="{00000000-0008-0000-0600-00009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a:extLst>
            <a:ext uri="{FF2B5EF4-FFF2-40B4-BE49-F238E27FC236}">
              <a16:creationId xmlns:a16="http://schemas.microsoft.com/office/drawing/2014/main" id="{00000000-0008-0000-0600-00009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a:extLst>
            <a:ext uri="{FF2B5EF4-FFF2-40B4-BE49-F238E27FC236}">
              <a16:creationId xmlns:a16="http://schemas.microsoft.com/office/drawing/2014/main" id="{00000000-0008-0000-0600-00009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a:extLst>
            <a:ext uri="{FF2B5EF4-FFF2-40B4-BE49-F238E27FC236}">
              <a16:creationId xmlns:a16="http://schemas.microsoft.com/office/drawing/2014/main" id="{00000000-0008-0000-0600-00009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a:extLst>
            <a:ext uri="{FF2B5EF4-FFF2-40B4-BE49-F238E27FC236}">
              <a16:creationId xmlns:a16="http://schemas.microsoft.com/office/drawing/2014/main" id="{00000000-0008-0000-0600-00009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a:extLst>
            <a:ext uri="{FF2B5EF4-FFF2-40B4-BE49-F238E27FC236}">
              <a16:creationId xmlns:a16="http://schemas.microsoft.com/office/drawing/2014/main" id="{00000000-0008-0000-0600-00009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a:extLst>
            <a:ext uri="{FF2B5EF4-FFF2-40B4-BE49-F238E27FC236}">
              <a16:creationId xmlns:a16="http://schemas.microsoft.com/office/drawing/2014/main" id="{00000000-0008-0000-0600-00009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a:extLst>
            <a:ext uri="{FF2B5EF4-FFF2-40B4-BE49-F238E27FC236}">
              <a16:creationId xmlns:a16="http://schemas.microsoft.com/office/drawing/2014/main" id="{00000000-0008-0000-0600-0000A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a:extLst>
            <a:ext uri="{FF2B5EF4-FFF2-40B4-BE49-F238E27FC236}">
              <a16:creationId xmlns:a16="http://schemas.microsoft.com/office/drawing/2014/main" id="{00000000-0008-0000-0600-0000A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a:extLst>
            <a:ext uri="{FF2B5EF4-FFF2-40B4-BE49-F238E27FC236}">
              <a16:creationId xmlns:a16="http://schemas.microsoft.com/office/drawing/2014/main" id="{00000000-0008-0000-0600-0000A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a:extLst>
            <a:ext uri="{FF2B5EF4-FFF2-40B4-BE49-F238E27FC236}">
              <a16:creationId xmlns:a16="http://schemas.microsoft.com/office/drawing/2014/main" id="{00000000-0008-0000-0600-0000A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a:extLst>
            <a:ext uri="{FF2B5EF4-FFF2-40B4-BE49-F238E27FC236}">
              <a16:creationId xmlns:a16="http://schemas.microsoft.com/office/drawing/2014/main" id="{00000000-0008-0000-0600-0000A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a:extLst>
            <a:ext uri="{FF2B5EF4-FFF2-40B4-BE49-F238E27FC236}">
              <a16:creationId xmlns:a16="http://schemas.microsoft.com/office/drawing/2014/main" id="{00000000-0008-0000-0600-0000A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a:extLst>
            <a:ext uri="{FF2B5EF4-FFF2-40B4-BE49-F238E27FC236}">
              <a16:creationId xmlns:a16="http://schemas.microsoft.com/office/drawing/2014/main" id="{00000000-0008-0000-0600-0000A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a:extLst>
            <a:ext uri="{FF2B5EF4-FFF2-40B4-BE49-F238E27FC236}">
              <a16:creationId xmlns:a16="http://schemas.microsoft.com/office/drawing/2014/main" id="{00000000-0008-0000-0600-0000A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a:extLst>
            <a:ext uri="{FF2B5EF4-FFF2-40B4-BE49-F238E27FC236}">
              <a16:creationId xmlns:a16="http://schemas.microsoft.com/office/drawing/2014/main" id="{00000000-0008-0000-0600-0000A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a:extLst>
            <a:ext uri="{FF2B5EF4-FFF2-40B4-BE49-F238E27FC236}">
              <a16:creationId xmlns:a16="http://schemas.microsoft.com/office/drawing/2014/main" id="{00000000-0008-0000-0600-0000A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a:extLst>
            <a:ext uri="{FF2B5EF4-FFF2-40B4-BE49-F238E27FC236}">
              <a16:creationId xmlns:a16="http://schemas.microsoft.com/office/drawing/2014/main" id="{00000000-0008-0000-0600-0000A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a:extLst>
            <a:ext uri="{FF2B5EF4-FFF2-40B4-BE49-F238E27FC236}">
              <a16:creationId xmlns:a16="http://schemas.microsoft.com/office/drawing/2014/main" id="{00000000-0008-0000-0600-0000A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a:extLst>
            <a:ext uri="{FF2B5EF4-FFF2-40B4-BE49-F238E27FC236}">
              <a16:creationId xmlns:a16="http://schemas.microsoft.com/office/drawing/2014/main" id="{00000000-0008-0000-0600-0000A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a:extLst>
            <a:ext uri="{FF2B5EF4-FFF2-40B4-BE49-F238E27FC236}">
              <a16:creationId xmlns:a16="http://schemas.microsoft.com/office/drawing/2014/main" id="{00000000-0008-0000-0600-0000A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a:extLst>
            <a:ext uri="{FF2B5EF4-FFF2-40B4-BE49-F238E27FC236}">
              <a16:creationId xmlns:a16="http://schemas.microsoft.com/office/drawing/2014/main" id="{00000000-0008-0000-0600-0000A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a:extLst>
            <a:ext uri="{FF2B5EF4-FFF2-40B4-BE49-F238E27FC236}">
              <a16:creationId xmlns:a16="http://schemas.microsoft.com/office/drawing/2014/main" id="{00000000-0008-0000-0600-0000A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a:extLst>
            <a:ext uri="{FF2B5EF4-FFF2-40B4-BE49-F238E27FC236}">
              <a16:creationId xmlns:a16="http://schemas.microsoft.com/office/drawing/2014/main" id="{00000000-0008-0000-0600-0000B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a:extLst>
            <a:ext uri="{FF2B5EF4-FFF2-40B4-BE49-F238E27FC236}">
              <a16:creationId xmlns:a16="http://schemas.microsoft.com/office/drawing/2014/main" id="{00000000-0008-0000-0600-0000B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a:extLst>
            <a:ext uri="{FF2B5EF4-FFF2-40B4-BE49-F238E27FC236}">
              <a16:creationId xmlns:a16="http://schemas.microsoft.com/office/drawing/2014/main" id="{00000000-0008-0000-0600-0000B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a:extLst>
            <a:ext uri="{FF2B5EF4-FFF2-40B4-BE49-F238E27FC236}">
              <a16:creationId xmlns:a16="http://schemas.microsoft.com/office/drawing/2014/main" id="{00000000-0008-0000-0600-0000B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a:extLst>
            <a:ext uri="{FF2B5EF4-FFF2-40B4-BE49-F238E27FC236}">
              <a16:creationId xmlns:a16="http://schemas.microsoft.com/office/drawing/2014/main" id="{00000000-0008-0000-0600-0000B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a:extLst>
            <a:ext uri="{FF2B5EF4-FFF2-40B4-BE49-F238E27FC236}">
              <a16:creationId xmlns:a16="http://schemas.microsoft.com/office/drawing/2014/main" id="{00000000-0008-0000-0600-0000B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a:extLst>
            <a:ext uri="{FF2B5EF4-FFF2-40B4-BE49-F238E27FC236}">
              <a16:creationId xmlns:a16="http://schemas.microsoft.com/office/drawing/2014/main" id="{00000000-0008-0000-0600-0000B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a:extLst>
            <a:ext uri="{FF2B5EF4-FFF2-40B4-BE49-F238E27FC236}">
              <a16:creationId xmlns:a16="http://schemas.microsoft.com/office/drawing/2014/main" id="{00000000-0008-0000-0600-0000B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a:extLst>
            <a:ext uri="{FF2B5EF4-FFF2-40B4-BE49-F238E27FC236}">
              <a16:creationId xmlns:a16="http://schemas.microsoft.com/office/drawing/2014/main" id="{00000000-0008-0000-0600-0000B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a:extLst>
            <a:ext uri="{FF2B5EF4-FFF2-40B4-BE49-F238E27FC236}">
              <a16:creationId xmlns:a16="http://schemas.microsoft.com/office/drawing/2014/main" id="{00000000-0008-0000-0600-0000B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a:extLst>
            <a:ext uri="{FF2B5EF4-FFF2-40B4-BE49-F238E27FC236}">
              <a16:creationId xmlns:a16="http://schemas.microsoft.com/office/drawing/2014/main" id="{00000000-0008-0000-0600-0000B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a:extLst>
            <a:ext uri="{FF2B5EF4-FFF2-40B4-BE49-F238E27FC236}">
              <a16:creationId xmlns:a16="http://schemas.microsoft.com/office/drawing/2014/main" id="{00000000-0008-0000-0600-0000B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a:extLst>
            <a:ext uri="{FF2B5EF4-FFF2-40B4-BE49-F238E27FC236}">
              <a16:creationId xmlns:a16="http://schemas.microsoft.com/office/drawing/2014/main" id="{00000000-0008-0000-0600-0000B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a:extLst>
            <a:ext uri="{FF2B5EF4-FFF2-40B4-BE49-F238E27FC236}">
              <a16:creationId xmlns:a16="http://schemas.microsoft.com/office/drawing/2014/main" id="{00000000-0008-0000-0600-0000B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a:extLst>
            <a:ext uri="{FF2B5EF4-FFF2-40B4-BE49-F238E27FC236}">
              <a16:creationId xmlns:a16="http://schemas.microsoft.com/office/drawing/2014/main" id="{00000000-0008-0000-0600-0000B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a:extLst>
            <a:ext uri="{FF2B5EF4-FFF2-40B4-BE49-F238E27FC236}">
              <a16:creationId xmlns:a16="http://schemas.microsoft.com/office/drawing/2014/main" id="{00000000-0008-0000-0600-0000B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a:extLst>
            <a:ext uri="{FF2B5EF4-FFF2-40B4-BE49-F238E27FC236}">
              <a16:creationId xmlns:a16="http://schemas.microsoft.com/office/drawing/2014/main" id="{00000000-0008-0000-0600-0000C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a:extLst>
            <a:ext uri="{FF2B5EF4-FFF2-40B4-BE49-F238E27FC236}">
              <a16:creationId xmlns:a16="http://schemas.microsoft.com/office/drawing/2014/main" id="{00000000-0008-0000-0600-0000C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a:extLst>
            <a:ext uri="{FF2B5EF4-FFF2-40B4-BE49-F238E27FC236}">
              <a16:creationId xmlns:a16="http://schemas.microsoft.com/office/drawing/2014/main" id="{00000000-0008-0000-0600-0000C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a:extLst>
            <a:ext uri="{FF2B5EF4-FFF2-40B4-BE49-F238E27FC236}">
              <a16:creationId xmlns:a16="http://schemas.microsoft.com/office/drawing/2014/main" id="{00000000-0008-0000-0600-0000C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a:extLst>
            <a:ext uri="{FF2B5EF4-FFF2-40B4-BE49-F238E27FC236}">
              <a16:creationId xmlns:a16="http://schemas.microsoft.com/office/drawing/2014/main" id="{00000000-0008-0000-0600-0000C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a:extLst>
            <a:ext uri="{FF2B5EF4-FFF2-40B4-BE49-F238E27FC236}">
              <a16:creationId xmlns:a16="http://schemas.microsoft.com/office/drawing/2014/main" id="{00000000-0008-0000-0600-0000C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a:extLst>
            <a:ext uri="{FF2B5EF4-FFF2-40B4-BE49-F238E27FC236}">
              <a16:creationId xmlns:a16="http://schemas.microsoft.com/office/drawing/2014/main" id="{00000000-0008-0000-0600-0000C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a:extLst>
            <a:ext uri="{FF2B5EF4-FFF2-40B4-BE49-F238E27FC236}">
              <a16:creationId xmlns:a16="http://schemas.microsoft.com/office/drawing/2014/main" id="{00000000-0008-0000-0600-0000C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a:extLst>
            <a:ext uri="{FF2B5EF4-FFF2-40B4-BE49-F238E27FC236}">
              <a16:creationId xmlns:a16="http://schemas.microsoft.com/office/drawing/2014/main" id="{00000000-0008-0000-0600-0000C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a:extLst>
            <a:ext uri="{FF2B5EF4-FFF2-40B4-BE49-F238E27FC236}">
              <a16:creationId xmlns:a16="http://schemas.microsoft.com/office/drawing/2014/main" id="{00000000-0008-0000-0600-0000C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a:extLst>
            <a:ext uri="{FF2B5EF4-FFF2-40B4-BE49-F238E27FC236}">
              <a16:creationId xmlns:a16="http://schemas.microsoft.com/office/drawing/2014/main" id="{00000000-0008-0000-0600-0000C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a:extLst>
            <a:ext uri="{FF2B5EF4-FFF2-40B4-BE49-F238E27FC236}">
              <a16:creationId xmlns:a16="http://schemas.microsoft.com/office/drawing/2014/main" id="{00000000-0008-0000-0600-0000C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a:extLst>
            <a:ext uri="{FF2B5EF4-FFF2-40B4-BE49-F238E27FC236}">
              <a16:creationId xmlns:a16="http://schemas.microsoft.com/office/drawing/2014/main" id="{00000000-0008-0000-0600-0000C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a:extLst>
            <a:ext uri="{FF2B5EF4-FFF2-40B4-BE49-F238E27FC236}">
              <a16:creationId xmlns:a16="http://schemas.microsoft.com/office/drawing/2014/main" id="{00000000-0008-0000-0600-0000C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a:extLst>
            <a:ext uri="{FF2B5EF4-FFF2-40B4-BE49-F238E27FC236}">
              <a16:creationId xmlns:a16="http://schemas.microsoft.com/office/drawing/2014/main" id="{00000000-0008-0000-0600-0000C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a:extLst>
            <a:ext uri="{FF2B5EF4-FFF2-40B4-BE49-F238E27FC236}">
              <a16:creationId xmlns:a16="http://schemas.microsoft.com/office/drawing/2014/main" id="{00000000-0008-0000-0600-0000C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a:extLst>
            <a:ext uri="{FF2B5EF4-FFF2-40B4-BE49-F238E27FC236}">
              <a16:creationId xmlns:a16="http://schemas.microsoft.com/office/drawing/2014/main" id="{00000000-0008-0000-0600-0000D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a:extLst>
            <a:ext uri="{FF2B5EF4-FFF2-40B4-BE49-F238E27FC236}">
              <a16:creationId xmlns:a16="http://schemas.microsoft.com/office/drawing/2014/main" id="{00000000-0008-0000-0600-0000D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a:extLst>
            <a:ext uri="{FF2B5EF4-FFF2-40B4-BE49-F238E27FC236}">
              <a16:creationId xmlns:a16="http://schemas.microsoft.com/office/drawing/2014/main" id="{00000000-0008-0000-0600-0000D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a:extLst>
            <a:ext uri="{FF2B5EF4-FFF2-40B4-BE49-F238E27FC236}">
              <a16:creationId xmlns:a16="http://schemas.microsoft.com/office/drawing/2014/main" id="{00000000-0008-0000-0600-0000D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a:extLst>
            <a:ext uri="{FF2B5EF4-FFF2-40B4-BE49-F238E27FC236}">
              <a16:creationId xmlns:a16="http://schemas.microsoft.com/office/drawing/2014/main" id="{00000000-0008-0000-0600-0000D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a:extLst>
            <a:ext uri="{FF2B5EF4-FFF2-40B4-BE49-F238E27FC236}">
              <a16:creationId xmlns:a16="http://schemas.microsoft.com/office/drawing/2014/main" id="{00000000-0008-0000-0600-0000D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a:extLst>
            <a:ext uri="{FF2B5EF4-FFF2-40B4-BE49-F238E27FC236}">
              <a16:creationId xmlns:a16="http://schemas.microsoft.com/office/drawing/2014/main" id="{00000000-0008-0000-0600-0000D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a:extLst>
            <a:ext uri="{FF2B5EF4-FFF2-40B4-BE49-F238E27FC236}">
              <a16:creationId xmlns:a16="http://schemas.microsoft.com/office/drawing/2014/main" id="{00000000-0008-0000-0600-0000D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a:extLst>
            <a:ext uri="{FF2B5EF4-FFF2-40B4-BE49-F238E27FC236}">
              <a16:creationId xmlns:a16="http://schemas.microsoft.com/office/drawing/2014/main" id="{00000000-0008-0000-0600-0000D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a:extLst>
            <a:ext uri="{FF2B5EF4-FFF2-40B4-BE49-F238E27FC236}">
              <a16:creationId xmlns:a16="http://schemas.microsoft.com/office/drawing/2014/main" id="{00000000-0008-0000-0600-0000D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a:extLst>
            <a:ext uri="{FF2B5EF4-FFF2-40B4-BE49-F238E27FC236}">
              <a16:creationId xmlns:a16="http://schemas.microsoft.com/office/drawing/2014/main" id="{00000000-0008-0000-0600-0000D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a:extLst>
            <a:ext uri="{FF2B5EF4-FFF2-40B4-BE49-F238E27FC236}">
              <a16:creationId xmlns:a16="http://schemas.microsoft.com/office/drawing/2014/main" id="{00000000-0008-0000-0600-0000D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a:extLst>
            <a:ext uri="{FF2B5EF4-FFF2-40B4-BE49-F238E27FC236}">
              <a16:creationId xmlns:a16="http://schemas.microsoft.com/office/drawing/2014/main" id="{00000000-0008-0000-0600-0000D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a:extLst>
            <a:ext uri="{FF2B5EF4-FFF2-40B4-BE49-F238E27FC236}">
              <a16:creationId xmlns:a16="http://schemas.microsoft.com/office/drawing/2014/main" id="{00000000-0008-0000-0600-0000D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a:extLst>
            <a:ext uri="{FF2B5EF4-FFF2-40B4-BE49-F238E27FC236}">
              <a16:creationId xmlns:a16="http://schemas.microsoft.com/office/drawing/2014/main" id="{00000000-0008-0000-0600-0000D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a:extLst>
            <a:ext uri="{FF2B5EF4-FFF2-40B4-BE49-F238E27FC236}">
              <a16:creationId xmlns:a16="http://schemas.microsoft.com/office/drawing/2014/main" id="{00000000-0008-0000-0600-0000D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a:extLst>
            <a:ext uri="{FF2B5EF4-FFF2-40B4-BE49-F238E27FC236}">
              <a16:creationId xmlns:a16="http://schemas.microsoft.com/office/drawing/2014/main" id="{00000000-0008-0000-0600-0000E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a:extLst>
            <a:ext uri="{FF2B5EF4-FFF2-40B4-BE49-F238E27FC236}">
              <a16:creationId xmlns:a16="http://schemas.microsoft.com/office/drawing/2014/main" id="{00000000-0008-0000-0600-0000E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a:extLst>
            <a:ext uri="{FF2B5EF4-FFF2-40B4-BE49-F238E27FC236}">
              <a16:creationId xmlns:a16="http://schemas.microsoft.com/office/drawing/2014/main" id="{00000000-0008-0000-0600-0000E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a:extLst>
            <a:ext uri="{FF2B5EF4-FFF2-40B4-BE49-F238E27FC236}">
              <a16:creationId xmlns:a16="http://schemas.microsoft.com/office/drawing/2014/main" id="{00000000-0008-0000-0600-0000E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a:extLst>
            <a:ext uri="{FF2B5EF4-FFF2-40B4-BE49-F238E27FC236}">
              <a16:creationId xmlns:a16="http://schemas.microsoft.com/office/drawing/2014/main" id="{00000000-0008-0000-0600-0000E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a:extLst>
            <a:ext uri="{FF2B5EF4-FFF2-40B4-BE49-F238E27FC236}">
              <a16:creationId xmlns:a16="http://schemas.microsoft.com/office/drawing/2014/main" id="{00000000-0008-0000-0600-0000E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a:extLst>
            <a:ext uri="{FF2B5EF4-FFF2-40B4-BE49-F238E27FC236}">
              <a16:creationId xmlns:a16="http://schemas.microsoft.com/office/drawing/2014/main" id="{00000000-0008-0000-0600-0000E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a:extLst>
            <a:ext uri="{FF2B5EF4-FFF2-40B4-BE49-F238E27FC236}">
              <a16:creationId xmlns:a16="http://schemas.microsoft.com/office/drawing/2014/main" id="{00000000-0008-0000-0600-0000E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a:extLst>
            <a:ext uri="{FF2B5EF4-FFF2-40B4-BE49-F238E27FC236}">
              <a16:creationId xmlns:a16="http://schemas.microsoft.com/office/drawing/2014/main" id="{00000000-0008-0000-0600-0000E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a:extLst>
            <a:ext uri="{FF2B5EF4-FFF2-40B4-BE49-F238E27FC236}">
              <a16:creationId xmlns:a16="http://schemas.microsoft.com/office/drawing/2014/main" id="{00000000-0008-0000-0600-0000E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a:extLst>
            <a:ext uri="{FF2B5EF4-FFF2-40B4-BE49-F238E27FC236}">
              <a16:creationId xmlns:a16="http://schemas.microsoft.com/office/drawing/2014/main" id="{00000000-0008-0000-0600-0000E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a:extLst>
            <a:ext uri="{FF2B5EF4-FFF2-40B4-BE49-F238E27FC236}">
              <a16:creationId xmlns:a16="http://schemas.microsoft.com/office/drawing/2014/main" id="{00000000-0008-0000-0600-0000E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a:extLst>
            <a:ext uri="{FF2B5EF4-FFF2-40B4-BE49-F238E27FC236}">
              <a16:creationId xmlns:a16="http://schemas.microsoft.com/office/drawing/2014/main" id="{00000000-0008-0000-0600-0000E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a:extLst>
            <a:ext uri="{FF2B5EF4-FFF2-40B4-BE49-F238E27FC236}">
              <a16:creationId xmlns:a16="http://schemas.microsoft.com/office/drawing/2014/main" id="{00000000-0008-0000-0600-0000E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a:extLst>
            <a:ext uri="{FF2B5EF4-FFF2-40B4-BE49-F238E27FC236}">
              <a16:creationId xmlns:a16="http://schemas.microsoft.com/office/drawing/2014/main" id="{00000000-0008-0000-0600-0000E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a:extLst>
            <a:ext uri="{FF2B5EF4-FFF2-40B4-BE49-F238E27FC236}">
              <a16:creationId xmlns:a16="http://schemas.microsoft.com/office/drawing/2014/main" id="{00000000-0008-0000-0600-0000E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a:extLst>
            <a:ext uri="{FF2B5EF4-FFF2-40B4-BE49-F238E27FC236}">
              <a16:creationId xmlns:a16="http://schemas.microsoft.com/office/drawing/2014/main" id="{00000000-0008-0000-0600-0000F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a:extLst>
            <a:ext uri="{FF2B5EF4-FFF2-40B4-BE49-F238E27FC236}">
              <a16:creationId xmlns:a16="http://schemas.microsoft.com/office/drawing/2014/main" id="{00000000-0008-0000-0600-0000F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a:extLst>
            <a:ext uri="{FF2B5EF4-FFF2-40B4-BE49-F238E27FC236}">
              <a16:creationId xmlns:a16="http://schemas.microsoft.com/office/drawing/2014/main" id="{00000000-0008-0000-0600-0000F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a:extLst>
            <a:ext uri="{FF2B5EF4-FFF2-40B4-BE49-F238E27FC236}">
              <a16:creationId xmlns:a16="http://schemas.microsoft.com/office/drawing/2014/main" id="{00000000-0008-0000-0600-0000F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a:extLst>
            <a:ext uri="{FF2B5EF4-FFF2-40B4-BE49-F238E27FC236}">
              <a16:creationId xmlns:a16="http://schemas.microsoft.com/office/drawing/2014/main" id="{00000000-0008-0000-0600-0000F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a:extLst>
            <a:ext uri="{FF2B5EF4-FFF2-40B4-BE49-F238E27FC236}">
              <a16:creationId xmlns:a16="http://schemas.microsoft.com/office/drawing/2014/main" id="{00000000-0008-0000-0600-0000F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a:extLst>
            <a:ext uri="{FF2B5EF4-FFF2-40B4-BE49-F238E27FC236}">
              <a16:creationId xmlns:a16="http://schemas.microsoft.com/office/drawing/2014/main" id="{00000000-0008-0000-0600-0000F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a:extLst>
            <a:ext uri="{FF2B5EF4-FFF2-40B4-BE49-F238E27FC236}">
              <a16:creationId xmlns:a16="http://schemas.microsoft.com/office/drawing/2014/main" id="{00000000-0008-0000-0600-0000F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a:extLst>
            <a:ext uri="{FF2B5EF4-FFF2-40B4-BE49-F238E27FC236}">
              <a16:creationId xmlns:a16="http://schemas.microsoft.com/office/drawing/2014/main" id="{00000000-0008-0000-0600-0000F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a:extLst>
            <a:ext uri="{FF2B5EF4-FFF2-40B4-BE49-F238E27FC236}">
              <a16:creationId xmlns:a16="http://schemas.microsoft.com/office/drawing/2014/main" id="{00000000-0008-0000-0600-0000F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a:extLst>
            <a:ext uri="{FF2B5EF4-FFF2-40B4-BE49-F238E27FC236}">
              <a16:creationId xmlns:a16="http://schemas.microsoft.com/office/drawing/2014/main" id="{00000000-0008-0000-0600-0000F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a:extLst>
            <a:ext uri="{FF2B5EF4-FFF2-40B4-BE49-F238E27FC236}">
              <a16:creationId xmlns:a16="http://schemas.microsoft.com/office/drawing/2014/main" id="{00000000-0008-0000-0600-0000F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a:extLst>
            <a:ext uri="{FF2B5EF4-FFF2-40B4-BE49-F238E27FC236}">
              <a16:creationId xmlns:a16="http://schemas.microsoft.com/office/drawing/2014/main" id="{00000000-0008-0000-0600-0000F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a:extLst>
            <a:ext uri="{FF2B5EF4-FFF2-40B4-BE49-F238E27FC236}">
              <a16:creationId xmlns:a16="http://schemas.microsoft.com/office/drawing/2014/main" id="{00000000-0008-0000-0600-0000F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a:extLst>
            <a:ext uri="{FF2B5EF4-FFF2-40B4-BE49-F238E27FC236}">
              <a16:creationId xmlns:a16="http://schemas.microsoft.com/office/drawing/2014/main" id="{00000000-0008-0000-0600-0000F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a:extLst>
            <a:ext uri="{FF2B5EF4-FFF2-40B4-BE49-F238E27FC236}">
              <a16:creationId xmlns:a16="http://schemas.microsoft.com/office/drawing/2014/main" id="{00000000-0008-0000-0600-0000F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a:extLst>
            <a:ext uri="{FF2B5EF4-FFF2-40B4-BE49-F238E27FC236}">
              <a16:creationId xmlns:a16="http://schemas.microsoft.com/office/drawing/2014/main" id="{00000000-0008-0000-0600-00000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a:extLst>
            <a:ext uri="{FF2B5EF4-FFF2-40B4-BE49-F238E27FC236}">
              <a16:creationId xmlns:a16="http://schemas.microsoft.com/office/drawing/2014/main" id="{00000000-0008-0000-0600-00000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a:extLst>
            <a:ext uri="{FF2B5EF4-FFF2-40B4-BE49-F238E27FC236}">
              <a16:creationId xmlns:a16="http://schemas.microsoft.com/office/drawing/2014/main" id="{00000000-0008-0000-0600-00000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a:extLst>
            <a:ext uri="{FF2B5EF4-FFF2-40B4-BE49-F238E27FC236}">
              <a16:creationId xmlns:a16="http://schemas.microsoft.com/office/drawing/2014/main" id="{00000000-0008-0000-0600-00000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a:extLst>
            <a:ext uri="{FF2B5EF4-FFF2-40B4-BE49-F238E27FC236}">
              <a16:creationId xmlns:a16="http://schemas.microsoft.com/office/drawing/2014/main" id="{00000000-0008-0000-0600-00000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a:extLst>
            <a:ext uri="{FF2B5EF4-FFF2-40B4-BE49-F238E27FC236}">
              <a16:creationId xmlns:a16="http://schemas.microsoft.com/office/drawing/2014/main" id="{00000000-0008-0000-0600-00000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a:extLst>
            <a:ext uri="{FF2B5EF4-FFF2-40B4-BE49-F238E27FC236}">
              <a16:creationId xmlns:a16="http://schemas.microsoft.com/office/drawing/2014/main" id="{00000000-0008-0000-0600-00000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a:extLst>
            <a:ext uri="{FF2B5EF4-FFF2-40B4-BE49-F238E27FC236}">
              <a16:creationId xmlns:a16="http://schemas.microsoft.com/office/drawing/2014/main" id="{00000000-0008-0000-0600-00000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a:extLst>
            <a:ext uri="{FF2B5EF4-FFF2-40B4-BE49-F238E27FC236}">
              <a16:creationId xmlns:a16="http://schemas.microsoft.com/office/drawing/2014/main" id="{00000000-0008-0000-0600-00000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a:extLst>
            <a:ext uri="{FF2B5EF4-FFF2-40B4-BE49-F238E27FC236}">
              <a16:creationId xmlns:a16="http://schemas.microsoft.com/office/drawing/2014/main" id="{00000000-0008-0000-0600-00000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a:extLst>
            <a:ext uri="{FF2B5EF4-FFF2-40B4-BE49-F238E27FC236}">
              <a16:creationId xmlns:a16="http://schemas.microsoft.com/office/drawing/2014/main" id="{00000000-0008-0000-0600-00000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a:extLst>
            <a:ext uri="{FF2B5EF4-FFF2-40B4-BE49-F238E27FC236}">
              <a16:creationId xmlns:a16="http://schemas.microsoft.com/office/drawing/2014/main" id="{00000000-0008-0000-0600-00000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a:extLst>
            <a:ext uri="{FF2B5EF4-FFF2-40B4-BE49-F238E27FC236}">
              <a16:creationId xmlns:a16="http://schemas.microsoft.com/office/drawing/2014/main" id="{00000000-0008-0000-0600-00000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a:extLst>
            <a:ext uri="{FF2B5EF4-FFF2-40B4-BE49-F238E27FC236}">
              <a16:creationId xmlns:a16="http://schemas.microsoft.com/office/drawing/2014/main" id="{00000000-0008-0000-0600-00000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a:extLst>
            <a:ext uri="{FF2B5EF4-FFF2-40B4-BE49-F238E27FC236}">
              <a16:creationId xmlns:a16="http://schemas.microsoft.com/office/drawing/2014/main" id="{00000000-0008-0000-0600-00000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a:extLst>
            <a:ext uri="{FF2B5EF4-FFF2-40B4-BE49-F238E27FC236}">
              <a16:creationId xmlns:a16="http://schemas.microsoft.com/office/drawing/2014/main" id="{00000000-0008-0000-0600-00000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a:extLst>
            <a:ext uri="{FF2B5EF4-FFF2-40B4-BE49-F238E27FC236}">
              <a16:creationId xmlns:a16="http://schemas.microsoft.com/office/drawing/2014/main" id="{00000000-0008-0000-0600-00001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a:extLst>
            <a:ext uri="{FF2B5EF4-FFF2-40B4-BE49-F238E27FC236}">
              <a16:creationId xmlns:a16="http://schemas.microsoft.com/office/drawing/2014/main" id="{00000000-0008-0000-0600-00001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a:extLst>
            <a:ext uri="{FF2B5EF4-FFF2-40B4-BE49-F238E27FC236}">
              <a16:creationId xmlns:a16="http://schemas.microsoft.com/office/drawing/2014/main" id="{00000000-0008-0000-0600-00001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a:extLst>
            <a:ext uri="{FF2B5EF4-FFF2-40B4-BE49-F238E27FC236}">
              <a16:creationId xmlns:a16="http://schemas.microsoft.com/office/drawing/2014/main" id="{00000000-0008-0000-0600-00001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a:extLst>
            <a:ext uri="{FF2B5EF4-FFF2-40B4-BE49-F238E27FC236}">
              <a16:creationId xmlns:a16="http://schemas.microsoft.com/office/drawing/2014/main" id="{00000000-0008-0000-0600-00001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a:extLst>
            <a:ext uri="{FF2B5EF4-FFF2-40B4-BE49-F238E27FC236}">
              <a16:creationId xmlns:a16="http://schemas.microsoft.com/office/drawing/2014/main" id="{00000000-0008-0000-0600-00001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a:extLst>
            <a:ext uri="{FF2B5EF4-FFF2-40B4-BE49-F238E27FC236}">
              <a16:creationId xmlns:a16="http://schemas.microsoft.com/office/drawing/2014/main" id="{00000000-0008-0000-0600-00001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a:extLst>
            <a:ext uri="{FF2B5EF4-FFF2-40B4-BE49-F238E27FC236}">
              <a16:creationId xmlns:a16="http://schemas.microsoft.com/office/drawing/2014/main" id="{00000000-0008-0000-0600-00001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a:extLst>
            <a:ext uri="{FF2B5EF4-FFF2-40B4-BE49-F238E27FC236}">
              <a16:creationId xmlns:a16="http://schemas.microsoft.com/office/drawing/2014/main" id="{00000000-0008-0000-0600-00001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a:extLst>
            <a:ext uri="{FF2B5EF4-FFF2-40B4-BE49-F238E27FC236}">
              <a16:creationId xmlns:a16="http://schemas.microsoft.com/office/drawing/2014/main" id="{00000000-0008-0000-0600-00001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a:extLst>
            <a:ext uri="{FF2B5EF4-FFF2-40B4-BE49-F238E27FC236}">
              <a16:creationId xmlns:a16="http://schemas.microsoft.com/office/drawing/2014/main" id="{00000000-0008-0000-0600-00001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a:extLst>
            <a:ext uri="{FF2B5EF4-FFF2-40B4-BE49-F238E27FC236}">
              <a16:creationId xmlns:a16="http://schemas.microsoft.com/office/drawing/2014/main" id="{00000000-0008-0000-0600-00001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a:extLst>
            <a:ext uri="{FF2B5EF4-FFF2-40B4-BE49-F238E27FC236}">
              <a16:creationId xmlns:a16="http://schemas.microsoft.com/office/drawing/2014/main" id="{00000000-0008-0000-0600-00001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a:extLst>
            <a:ext uri="{FF2B5EF4-FFF2-40B4-BE49-F238E27FC236}">
              <a16:creationId xmlns:a16="http://schemas.microsoft.com/office/drawing/2014/main" id="{00000000-0008-0000-0600-00001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a:extLst>
            <a:ext uri="{FF2B5EF4-FFF2-40B4-BE49-F238E27FC236}">
              <a16:creationId xmlns:a16="http://schemas.microsoft.com/office/drawing/2014/main" id="{00000000-0008-0000-0600-00001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a:extLst>
            <a:ext uri="{FF2B5EF4-FFF2-40B4-BE49-F238E27FC236}">
              <a16:creationId xmlns:a16="http://schemas.microsoft.com/office/drawing/2014/main" id="{00000000-0008-0000-0600-00001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a:extLst>
            <a:ext uri="{FF2B5EF4-FFF2-40B4-BE49-F238E27FC236}">
              <a16:creationId xmlns:a16="http://schemas.microsoft.com/office/drawing/2014/main" id="{00000000-0008-0000-0600-00002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a:extLst>
            <a:ext uri="{FF2B5EF4-FFF2-40B4-BE49-F238E27FC236}">
              <a16:creationId xmlns:a16="http://schemas.microsoft.com/office/drawing/2014/main" id="{00000000-0008-0000-0600-00002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a:extLst>
            <a:ext uri="{FF2B5EF4-FFF2-40B4-BE49-F238E27FC236}">
              <a16:creationId xmlns:a16="http://schemas.microsoft.com/office/drawing/2014/main" id="{00000000-0008-0000-0600-00002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a:extLst>
            <a:ext uri="{FF2B5EF4-FFF2-40B4-BE49-F238E27FC236}">
              <a16:creationId xmlns:a16="http://schemas.microsoft.com/office/drawing/2014/main" id="{00000000-0008-0000-0600-00002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a:extLst>
            <a:ext uri="{FF2B5EF4-FFF2-40B4-BE49-F238E27FC236}">
              <a16:creationId xmlns:a16="http://schemas.microsoft.com/office/drawing/2014/main" id="{00000000-0008-0000-0600-00002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a:extLst>
            <a:ext uri="{FF2B5EF4-FFF2-40B4-BE49-F238E27FC236}">
              <a16:creationId xmlns:a16="http://schemas.microsoft.com/office/drawing/2014/main" id="{00000000-0008-0000-0600-00002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a:extLst>
            <a:ext uri="{FF2B5EF4-FFF2-40B4-BE49-F238E27FC236}">
              <a16:creationId xmlns:a16="http://schemas.microsoft.com/office/drawing/2014/main" id="{00000000-0008-0000-0600-00002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a:extLst>
            <a:ext uri="{FF2B5EF4-FFF2-40B4-BE49-F238E27FC236}">
              <a16:creationId xmlns:a16="http://schemas.microsoft.com/office/drawing/2014/main" id="{00000000-0008-0000-0600-00002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a:extLst>
            <a:ext uri="{FF2B5EF4-FFF2-40B4-BE49-F238E27FC236}">
              <a16:creationId xmlns:a16="http://schemas.microsoft.com/office/drawing/2014/main" id="{00000000-0008-0000-0600-00002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a:extLst>
            <a:ext uri="{FF2B5EF4-FFF2-40B4-BE49-F238E27FC236}">
              <a16:creationId xmlns:a16="http://schemas.microsoft.com/office/drawing/2014/main" id="{00000000-0008-0000-0600-00002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a:extLst>
            <a:ext uri="{FF2B5EF4-FFF2-40B4-BE49-F238E27FC236}">
              <a16:creationId xmlns:a16="http://schemas.microsoft.com/office/drawing/2014/main" id="{00000000-0008-0000-0600-00002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a:extLst>
            <a:ext uri="{FF2B5EF4-FFF2-40B4-BE49-F238E27FC236}">
              <a16:creationId xmlns:a16="http://schemas.microsoft.com/office/drawing/2014/main" id="{00000000-0008-0000-0600-00002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a:extLst>
            <a:ext uri="{FF2B5EF4-FFF2-40B4-BE49-F238E27FC236}">
              <a16:creationId xmlns:a16="http://schemas.microsoft.com/office/drawing/2014/main" id="{00000000-0008-0000-0600-00002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a:extLst>
            <a:ext uri="{FF2B5EF4-FFF2-40B4-BE49-F238E27FC236}">
              <a16:creationId xmlns:a16="http://schemas.microsoft.com/office/drawing/2014/main" id="{00000000-0008-0000-0600-00002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a:extLst>
            <a:ext uri="{FF2B5EF4-FFF2-40B4-BE49-F238E27FC236}">
              <a16:creationId xmlns:a16="http://schemas.microsoft.com/office/drawing/2014/main" id="{00000000-0008-0000-0600-00002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a:extLst>
            <a:ext uri="{FF2B5EF4-FFF2-40B4-BE49-F238E27FC236}">
              <a16:creationId xmlns:a16="http://schemas.microsoft.com/office/drawing/2014/main" id="{00000000-0008-0000-0600-00002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a:extLst>
            <a:ext uri="{FF2B5EF4-FFF2-40B4-BE49-F238E27FC236}">
              <a16:creationId xmlns:a16="http://schemas.microsoft.com/office/drawing/2014/main" id="{00000000-0008-0000-0600-00003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a:extLst>
            <a:ext uri="{FF2B5EF4-FFF2-40B4-BE49-F238E27FC236}">
              <a16:creationId xmlns:a16="http://schemas.microsoft.com/office/drawing/2014/main" id="{00000000-0008-0000-0600-00003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a:extLst>
            <a:ext uri="{FF2B5EF4-FFF2-40B4-BE49-F238E27FC236}">
              <a16:creationId xmlns:a16="http://schemas.microsoft.com/office/drawing/2014/main" id="{00000000-0008-0000-0600-00003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a:extLst>
            <a:ext uri="{FF2B5EF4-FFF2-40B4-BE49-F238E27FC236}">
              <a16:creationId xmlns:a16="http://schemas.microsoft.com/office/drawing/2014/main" id="{00000000-0008-0000-0600-00003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a:extLst>
            <a:ext uri="{FF2B5EF4-FFF2-40B4-BE49-F238E27FC236}">
              <a16:creationId xmlns:a16="http://schemas.microsoft.com/office/drawing/2014/main" id="{00000000-0008-0000-0600-00003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a:extLst>
            <a:ext uri="{FF2B5EF4-FFF2-40B4-BE49-F238E27FC236}">
              <a16:creationId xmlns:a16="http://schemas.microsoft.com/office/drawing/2014/main" id="{00000000-0008-0000-0600-00003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a:extLst>
            <a:ext uri="{FF2B5EF4-FFF2-40B4-BE49-F238E27FC236}">
              <a16:creationId xmlns:a16="http://schemas.microsoft.com/office/drawing/2014/main" id="{00000000-0008-0000-0600-00003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a:extLst>
            <a:ext uri="{FF2B5EF4-FFF2-40B4-BE49-F238E27FC236}">
              <a16:creationId xmlns:a16="http://schemas.microsoft.com/office/drawing/2014/main" id="{00000000-0008-0000-0600-00003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a:extLst>
            <a:ext uri="{FF2B5EF4-FFF2-40B4-BE49-F238E27FC236}">
              <a16:creationId xmlns:a16="http://schemas.microsoft.com/office/drawing/2014/main" id="{00000000-0008-0000-0600-00003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a:extLst>
            <a:ext uri="{FF2B5EF4-FFF2-40B4-BE49-F238E27FC236}">
              <a16:creationId xmlns:a16="http://schemas.microsoft.com/office/drawing/2014/main" id="{00000000-0008-0000-0600-00003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a:extLst>
            <a:ext uri="{FF2B5EF4-FFF2-40B4-BE49-F238E27FC236}">
              <a16:creationId xmlns:a16="http://schemas.microsoft.com/office/drawing/2014/main" id="{00000000-0008-0000-0600-00003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a:extLst>
            <a:ext uri="{FF2B5EF4-FFF2-40B4-BE49-F238E27FC236}">
              <a16:creationId xmlns:a16="http://schemas.microsoft.com/office/drawing/2014/main" id="{00000000-0008-0000-0600-00003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a:extLst>
            <a:ext uri="{FF2B5EF4-FFF2-40B4-BE49-F238E27FC236}">
              <a16:creationId xmlns:a16="http://schemas.microsoft.com/office/drawing/2014/main" id="{00000000-0008-0000-0600-00003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a:extLst>
            <a:ext uri="{FF2B5EF4-FFF2-40B4-BE49-F238E27FC236}">
              <a16:creationId xmlns:a16="http://schemas.microsoft.com/office/drawing/2014/main" id="{00000000-0008-0000-0600-00003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a:extLst>
            <a:ext uri="{FF2B5EF4-FFF2-40B4-BE49-F238E27FC236}">
              <a16:creationId xmlns:a16="http://schemas.microsoft.com/office/drawing/2014/main" id="{00000000-0008-0000-0600-00003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a:extLst>
            <a:ext uri="{FF2B5EF4-FFF2-40B4-BE49-F238E27FC236}">
              <a16:creationId xmlns:a16="http://schemas.microsoft.com/office/drawing/2014/main" id="{00000000-0008-0000-0600-00003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a:extLst>
            <a:ext uri="{FF2B5EF4-FFF2-40B4-BE49-F238E27FC236}">
              <a16:creationId xmlns:a16="http://schemas.microsoft.com/office/drawing/2014/main" id="{00000000-0008-0000-0600-00004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a:extLst>
            <a:ext uri="{FF2B5EF4-FFF2-40B4-BE49-F238E27FC236}">
              <a16:creationId xmlns:a16="http://schemas.microsoft.com/office/drawing/2014/main" id="{00000000-0008-0000-0600-00004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a:extLst>
            <a:ext uri="{FF2B5EF4-FFF2-40B4-BE49-F238E27FC236}">
              <a16:creationId xmlns:a16="http://schemas.microsoft.com/office/drawing/2014/main" id="{00000000-0008-0000-0600-00004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a:extLst>
            <a:ext uri="{FF2B5EF4-FFF2-40B4-BE49-F238E27FC236}">
              <a16:creationId xmlns:a16="http://schemas.microsoft.com/office/drawing/2014/main" id="{00000000-0008-0000-0600-00004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a:extLst>
            <a:ext uri="{FF2B5EF4-FFF2-40B4-BE49-F238E27FC236}">
              <a16:creationId xmlns:a16="http://schemas.microsoft.com/office/drawing/2014/main" id="{00000000-0008-0000-0600-00004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a:extLst>
            <a:ext uri="{FF2B5EF4-FFF2-40B4-BE49-F238E27FC236}">
              <a16:creationId xmlns:a16="http://schemas.microsoft.com/office/drawing/2014/main" id="{00000000-0008-0000-0600-00004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a:extLst>
            <a:ext uri="{FF2B5EF4-FFF2-40B4-BE49-F238E27FC236}">
              <a16:creationId xmlns:a16="http://schemas.microsoft.com/office/drawing/2014/main" id="{00000000-0008-0000-0600-00004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a:extLst>
            <a:ext uri="{FF2B5EF4-FFF2-40B4-BE49-F238E27FC236}">
              <a16:creationId xmlns:a16="http://schemas.microsoft.com/office/drawing/2014/main" id="{00000000-0008-0000-0600-00004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a:extLst>
            <a:ext uri="{FF2B5EF4-FFF2-40B4-BE49-F238E27FC236}">
              <a16:creationId xmlns:a16="http://schemas.microsoft.com/office/drawing/2014/main" id="{00000000-0008-0000-0600-00004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a:extLst>
            <a:ext uri="{FF2B5EF4-FFF2-40B4-BE49-F238E27FC236}">
              <a16:creationId xmlns:a16="http://schemas.microsoft.com/office/drawing/2014/main" id="{00000000-0008-0000-0600-00004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a:extLst>
            <a:ext uri="{FF2B5EF4-FFF2-40B4-BE49-F238E27FC236}">
              <a16:creationId xmlns:a16="http://schemas.microsoft.com/office/drawing/2014/main" id="{00000000-0008-0000-0600-00004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a:extLst>
            <a:ext uri="{FF2B5EF4-FFF2-40B4-BE49-F238E27FC236}">
              <a16:creationId xmlns:a16="http://schemas.microsoft.com/office/drawing/2014/main" id="{00000000-0008-0000-0600-00004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a:extLst>
            <a:ext uri="{FF2B5EF4-FFF2-40B4-BE49-F238E27FC236}">
              <a16:creationId xmlns:a16="http://schemas.microsoft.com/office/drawing/2014/main" id="{00000000-0008-0000-0600-00004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a:extLst>
            <a:ext uri="{FF2B5EF4-FFF2-40B4-BE49-F238E27FC236}">
              <a16:creationId xmlns:a16="http://schemas.microsoft.com/office/drawing/2014/main" id="{00000000-0008-0000-0600-00004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a:extLst>
            <a:ext uri="{FF2B5EF4-FFF2-40B4-BE49-F238E27FC236}">
              <a16:creationId xmlns:a16="http://schemas.microsoft.com/office/drawing/2014/main" id="{00000000-0008-0000-0600-00004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a:extLst>
            <a:ext uri="{FF2B5EF4-FFF2-40B4-BE49-F238E27FC236}">
              <a16:creationId xmlns:a16="http://schemas.microsoft.com/office/drawing/2014/main" id="{00000000-0008-0000-0600-00004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a:extLst>
            <a:ext uri="{FF2B5EF4-FFF2-40B4-BE49-F238E27FC236}">
              <a16:creationId xmlns:a16="http://schemas.microsoft.com/office/drawing/2014/main" id="{00000000-0008-0000-0600-00005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a:extLst>
            <a:ext uri="{FF2B5EF4-FFF2-40B4-BE49-F238E27FC236}">
              <a16:creationId xmlns:a16="http://schemas.microsoft.com/office/drawing/2014/main" id="{00000000-0008-0000-0600-00005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a:extLst>
            <a:ext uri="{FF2B5EF4-FFF2-40B4-BE49-F238E27FC236}">
              <a16:creationId xmlns:a16="http://schemas.microsoft.com/office/drawing/2014/main" id="{00000000-0008-0000-0600-00005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a:extLst>
            <a:ext uri="{FF2B5EF4-FFF2-40B4-BE49-F238E27FC236}">
              <a16:creationId xmlns:a16="http://schemas.microsoft.com/office/drawing/2014/main" id="{00000000-0008-0000-0600-00005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a:extLst>
            <a:ext uri="{FF2B5EF4-FFF2-40B4-BE49-F238E27FC236}">
              <a16:creationId xmlns:a16="http://schemas.microsoft.com/office/drawing/2014/main" id="{00000000-0008-0000-0600-00005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a:extLst>
            <a:ext uri="{FF2B5EF4-FFF2-40B4-BE49-F238E27FC236}">
              <a16:creationId xmlns:a16="http://schemas.microsoft.com/office/drawing/2014/main" id="{00000000-0008-0000-0600-00005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a:extLst>
            <a:ext uri="{FF2B5EF4-FFF2-40B4-BE49-F238E27FC236}">
              <a16:creationId xmlns:a16="http://schemas.microsoft.com/office/drawing/2014/main" id="{00000000-0008-0000-0600-00005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a:extLst>
            <a:ext uri="{FF2B5EF4-FFF2-40B4-BE49-F238E27FC236}">
              <a16:creationId xmlns:a16="http://schemas.microsoft.com/office/drawing/2014/main" id="{00000000-0008-0000-0600-00005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a:extLst>
            <a:ext uri="{FF2B5EF4-FFF2-40B4-BE49-F238E27FC236}">
              <a16:creationId xmlns:a16="http://schemas.microsoft.com/office/drawing/2014/main" id="{00000000-0008-0000-0600-00005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a:extLst>
            <a:ext uri="{FF2B5EF4-FFF2-40B4-BE49-F238E27FC236}">
              <a16:creationId xmlns:a16="http://schemas.microsoft.com/office/drawing/2014/main" id="{00000000-0008-0000-0600-00005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a:extLst>
            <a:ext uri="{FF2B5EF4-FFF2-40B4-BE49-F238E27FC236}">
              <a16:creationId xmlns:a16="http://schemas.microsoft.com/office/drawing/2014/main" id="{00000000-0008-0000-0600-00005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a:extLst>
            <a:ext uri="{FF2B5EF4-FFF2-40B4-BE49-F238E27FC236}">
              <a16:creationId xmlns:a16="http://schemas.microsoft.com/office/drawing/2014/main" id="{00000000-0008-0000-0600-00005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a:extLst>
            <a:ext uri="{FF2B5EF4-FFF2-40B4-BE49-F238E27FC236}">
              <a16:creationId xmlns:a16="http://schemas.microsoft.com/office/drawing/2014/main" id="{00000000-0008-0000-0600-00005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a:extLst>
            <a:ext uri="{FF2B5EF4-FFF2-40B4-BE49-F238E27FC236}">
              <a16:creationId xmlns:a16="http://schemas.microsoft.com/office/drawing/2014/main" id="{00000000-0008-0000-0600-00005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a:extLst>
            <a:ext uri="{FF2B5EF4-FFF2-40B4-BE49-F238E27FC236}">
              <a16:creationId xmlns:a16="http://schemas.microsoft.com/office/drawing/2014/main" id="{00000000-0008-0000-0600-00005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a:extLst>
            <a:ext uri="{FF2B5EF4-FFF2-40B4-BE49-F238E27FC236}">
              <a16:creationId xmlns:a16="http://schemas.microsoft.com/office/drawing/2014/main" id="{00000000-0008-0000-0600-00005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a:extLst>
            <a:ext uri="{FF2B5EF4-FFF2-40B4-BE49-F238E27FC236}">
              <a16:creationId xmlns:a16="http://schemas.microsoft.com/office/drawing/2014/main" id="{00000000-0008-0000-0600-00006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a:extLst>
            <a:ext uri="{FF2B5EF4-FFF2-40B4-BE49-F238E27FC236}">
              <a16:creationId xmlns:a16="http://schemas.microsoft.com/office/drawing/2014/main" id="{00000000-0008-0000-0600-00006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a:extLst>
            <a:ext uri="{FF2B5EF4-FFF2-40B4-BE49-F238E27FC236}">
              <a16:creationId xmlns:a16="http://schemas.microsoft.com/office/drawing/2014/main" id="{00000000-0008-0000-0600-00006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a:extLst>
            <a:ext uri="{FF2B5EF4-FFF2-40B4-BE49-F238E27FC236}">
              <a16:creationId xmlns:a16="http://schemas.microsoft.com/office/drawing/2014/main" id="{00000000-0008-0000-0600-00006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a:extLst>
            <a:ext uri="{FF2B5EF4-FFF2-40B4-BE49-F238E27FC236}">
              <a16:creationId xmlns:a16="http://schemas.microsoft.com/office/drawing/2014/main" id="{00000000-0008-0000-0600-00006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a:extLst>
            <a:ext uri="{FF2B5EF4-FFF2-40B4-BE49-F238E27FC236}">
              <a16:creationId xmlns:a16="http://schemas.microsoft.com/office/drawing/2014/main" id="{00000000-0008-0000-0600-00006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a:extLst>
            <a:ext uri="{FF2B5EF4-FFF2-40B4-BE49-F238E27FC236}">
              <a16:creationId xmlns:a16="http://schemas.microsoft.com/office/drawing/2014/main" id="{00000000-0008-0000-0600-00006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a:extLst>
            <a:ext uri="{FF2B5EF4-FFF2-40B4-BE49-F238E27FC236}">
              <a16:creationId xmlns:a16="http://schemas.microsoft.com/office/drawing/2014/main" id="{00000000-0008-0000-0600-00006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a:extLst>
            <a:ext uri="{FF2B5EF4-FFF2-40B4-BE49-F238E27FC236}">
              <a16:creationId xmlns:a16="http://schemas.microsoft.com/office/drawing/2014/main" id="{00000000-0008-0000-0600-00006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a:extLst>
            <a:ext uri="{FF2B5EF4-FFF2-40B4-BE49-F238E27FC236}">
              <a16:creationId xmlns:a16="http://schemas.microsoft.com/office/drawing/2014/main" id="{00000000-0008-0000-0600-00006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a:extLst>
            <a:ext uri="{FF2B5EF4-FFF2-40B4-BE49-F238E27FC236}">
              <a16:creationId xmlns:a16="http://schemas.microsoft.com/office/drawing/2014/main" id="{00000000-0008-0000-0600-00006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a:extLst>
            <a:ext uri="{FF2B5EF4-FFF2-40B4-BE49-F238E27FC236}">
              <a16:creationId xmlns:a16="http://schemas.microsoft.com/office/drawing/2014/main" id="{00000000-0008-0000-0600-00006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a:extLst>
            <a:ext uri="{FF2B5EF4-FFF2-40B4-BE49-F238E27FC236}">
              <a16:creationId xmlns:a16="http://schemas.microsoft.com/office/drawing/2014/main" id="{00000000-0008-0000-0600-00006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a:extLst>
            <a:ext uri="{FF2B5EF4-FFF2-40B4-BE49-F238E27FC236}">
              <a16:creationId xmlns:a16="http://schemas.microsoft.com/office/drawing/2014/main" id="{00000000-0008-0000-0600-00006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a:extLst>
            <a:ext uri="{FF2B5EF4-FFF2-40B4-BE49-F238E27FC236}">
              <a16:creationId xmlns:a16="http://schemas.microsoft.com/office/drawing/2014/main" id="{00000000-0008-0000-0600-00006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a:extLst>
            <a:ext uri="{FF2B5EF4-FFF2-40B4-BE49-F238E27FC236}">
              <a16:creationId xmlns:a16="http://schemas.microsoft.com/office/drawing/2014/main" id="{00000000-0008-0000-0600-00006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a:extLst>
            <a:ext uri="{FF2B5EF4-FFF2-40B4-BE49-F238E27FC236}">
              <a16:creationId xmlns:a16="http://schemas.microsoft.com/office/drawing/2014/main" id="{00000000-0008-0000-0600-00007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a:extLst>
            <a:ext uri="{FF2B5EF4-FFF2-40B4-BE49-F238E27FC236}">
              <a16:creationId xmlns:a16="http://schemas.microsoft.com/office/drawing/2014/main" id="{00000000-0008-0000-0600-00007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a:extLst>
            <a:ext uri="{FF2B5EF4-FFF2-40B4-BE49-F238E27FC236}">
              <a16:creationId xmlns:a16="http://schemas.microsoft.com/office/drawing/2014/main" id="{00000000-0008-0000-0600-00007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a:extLst>
            <a:ext uri="{FF2B5EF4-FFF2-40B4-BE49-F238E27FC236}">
              <a16:creationId xmlns:a16="http://schemas.microsoft.com/office/drawing/2014/main" id="{00000000-0008-0000-0600-00007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a:extLst>
            <a:ext uri="{FF2B5EF4-FFF2-40B4-BE49-F238E27FC236}">
              <a16:creationId xmlns:a16="http://schemas.microsoft.com/office/drawing/2014/main" id="{00000000-0008-0000-0600-00007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a:extLst>
            <a:ext uri="{FF2B5EF4-FFF2-40B4-BE49-F238E27FC236}">
              <a16:creationId xmlns:a16="http://schemas.microsoft.com/office/drawing/2014/main" id="{00000000-0008-0000-0600-00007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a:extLst>
            <a:ext uri="{FF2B5EF4-FFF2-40B4-BE49-F238E27FC236}">
              <a16:creationId xmlns:a16="http://schemas.microsoft.com/office/drawing/2014/main" id="{00000000-0008-0000-0600-00007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a:extLst>
            <a:ext uri="{FF2B5EF4-FFF2-40B4-BE49-F238E27FC236}">
              <a16:creationId xmlns:a16="http://schemas.microsoft.com/office/drawing/2014/main" id="{00000000-0008-0000-0600-00007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a:extLst>
            <a:ext uri="{FF2B5EF4-FFF2-40B4-BE49-F238E27FC236}">
              <a16:creationId xmlns:a16="http://schemas.microsoft.com/office/drawing/2014/main" id="{00000000-0008-0000-0600-00007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a:extLst>
            <a:ext uri="{FF2B5EF4-FFF2-40B4-BE49-F238E27FC236}">
              <a16:creationId xmlns:a16="http://schemas.microsoft.com/office/drawing/2014/main" id="{00000000-0008-0000-0600-00007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a:extLst>
            <a:ext uri="{FF2B5EF4-FFF2-40B4-BE49-F238E27FC236}">
              <a16:creationId xmlns:a16="http://schemas.microsoft.com/office/drawing/2014/main" id="{00000000-0008-0000-0600-00007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a:extLst>
            <a:ext uri="{FF2B5EF4-FFF2-40B4-BE49-F238E27FC236}">
              <a16:creationId xmlns:a16="http://schemas.microsoft.com/office/drawing/2014/main" id="{00000000-0008-0000-0600-00007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a:extLst>
            <a:ext uri="{FF2B5EF4-FFF2-40B4-BE49-F238E27FC236}">
              <a16:creationId xmlns:a16="http://schemas.microsoft.com/office/drawing/2014/main" id="{00000000-0008-0000-0600-00007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a:extLst>
            <a:ext uri="{FF2B5EF4-FFF2-40B4-BE49-F238E27FC236}">
              <a16:creationId xmlns:a16="http://schemas.microsoft.com/office/drawing/2014/main" id="{00000000-0008-0000-0600-00007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a:extLst>
            <a:ext uri="{FF2B5EF4-FFF2-40B4-BE49-F238E27FC236}">
              <a16:creationId xmlns:a16="http://schemas.microsoft.com/office/drawing/2014/main" id="{00000000-0008-0000-0600-00007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a:extLst>
            <a:ext uri="{FF2B5EF4-FFF2-40B4-BE49-F238E27FC236}">
              <a16:creationId xmlns:a16="http://schemas.microsoft.com/office/drawing/2014/main" id="{00000000-0008-0000-0600-00007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a:extLst>
            <a:ext uri="{FF2B5EF4-FFF2-40B4-BE49-F238E27FC236}">
              <a16:creationId xmlns:a16="http://schemas.microsoft.com/office/drawing/2014/main" id="{00000000-0008-0000-0600-00008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a:extLst>
            <a:ext uri="{FF2B5EF4-FFF2-40B4-BE49-F238E27FC236}">
              <a16:creationId xmlns:a16="http://schemas.microsoft.com/office/drawing/2014/main" id="{00000000-0008-0000-0600-00008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a:extLst>
            <a:ext uri="{FF2B5EF4-FFF2-40B4-BE49-F238E27FC236}">
              <a16:creationId xmlns:a16="http://schemas.microsoft.com/office/drawing/2014/main" id="{00000000-0008-0000-0600-00008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a:extLst>
            <a:ext uri="{FF2B5EF4-FFF2-40B4-BE49-F238E27FC236}">
              <a16:creationId xmlns:a16="http://schemas.microsoft.com/office/drawing/2014/main" id="{00000000-0008-0000-0600-00008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a:extLst>
            <a:ext uri="{FF2B5EF4-FFF2-40B4-BE49-F238E27FC236}">
              <a16:creationId xmlns:a16="http://schemas.microsoft.com/office/drawing/2014/main" id="{00000000-0008-0000-0600-00008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a:extLst>
            <a:ext uri="{FF2B5EF4-FFF2-40B4-BE49-F238E27FC236}">
              <a16:creationId xmlns:a16="http://schemas.microsoft.com/office/drawing/2014/main" id="{00000000-0008-0000-0600-00008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a:extLst>
            <a:ext uri="{FF2B5EF4-FFF2-40B4-BE49-F238E27FC236}">
              <a16:creationId xmlns:a16="http://schemas.microsoft.com/office/drawing/2014/main" id="{00000000-0008-0000-0600-00008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a:extLst>
            <a:ext uri="{FF2B5EF4-FFF2-40B4-BE49-F238E27FC236}">
              <a16:creationId xmlns:a16="http://schemas.microsoft.com/office/drawing/2014/main" id="{00000000-0008-0000-0600-00008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a:extLst>
            <a:ext uri="{FF2B5EF4-FFF2-40B4-BE49-F238E27FC236}">
              <a16:creationId xmlns:a16="http://schemas.microsoft.com/office/drawing/2014/main" id="{00000000-0008-0000-0600-00008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a:extLst>
            <a:ext uri="{FF2B5EF4-FFF2-40B4-BE49-F238E27FC236}">
              <a16:creationId xmlns:a16="http://schemas.microsoft.com/office/drawing/2014/main" id="{00000000-0008-0000-0600-00008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a:extLst>
            <a:ext uri="{FF2B5EF4-FFF2-40B4-BE49-F238E27FC236}">
              <a16:creationId xmlns:a16="http://schemas.microsoft.com/office/drawing/2014/main" id="{00000000-0008-0000-0600-00008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a:extLst>
            <a:ext uri="{FF2B5EF4-FFF2-40B4-BE49-F238E27FC236}">
              <a16:creationId xmlns:a16="http://schemas.microsoft.com/office/drawing/2014/main" id="{00000000-0008-0000-0600-00008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a:extLst>
            <a:ext uri="{FF2B5EF4-FFF2-40B4-BE49-F238E27FC236}">
              <a16:creationId xmlns:a16="http://schemas.microsoft.com/office/drawing/2014/main" id="{00000000-0008-0000-0600-00008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a:extLst>
            <a:ext uri="{FF2B5EF4-FFF2-40B4-BE49-F238E27FC236}">
              <a16:creationId xmlns:a16="http://schemas.microsoft.com/office/drawing/2014/main" id="{00000000-0008-0000-0600-00008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a:extLst>
            <a:ext uri="{FF2B5EF4-FFF2-40B4-BE49-F238E27FC236}">
              <a16:creationId xmlns:a16="http://schemas.microsoft.com/office/drawing/2014/main" id="{00000000-0008-0000-0600-00008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a:extLst>
            <a:ext uri="{FF2B5EF4-FFF2-40B4-BE49-F238E27FC236}">
              <a16:creationId xmlns:a16="http://schemas.microsoft.com/office/drawing/2014/main" id="{00000000-0008-0000-0600-00008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a:extLst>
            <a:ext uri="{FF2B5EF4-FFF2-40B4-BE49-F238E27FC236}">
              <a16:creationId xmlns:a16="http://schemas.microsoft.com/office/drawing/2014/main" id="{00000000-0008-0000-0600-00009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a:extLst>
            <a:ext uri="{FF2B5EF4-FFF2-40B4-BE49-F238E27FC236}">
              <a16:creationId xmlns:a16="http://schemas.microsoft.com/office/drawing/2014/main" id="{00000000-0008-0000-0600-00009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a:extLst>
            <a:ext uri="{FF2B5EF4-FFF2-40B4-BE49-F238E27FC236}">
              <a16:creationId xmlns:a16="http://schemas.microsoft.com/office/drawing/2014/main" id="{00000000-0008-0000-0600-00009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a:extLst>
            <a:ext uri="{FF2B5EF4-FFF2-40B4-BE49-F238E27FC236}">
              <a16:creationId xmlns:a16="http://schemas.microsoft.com/office/drawing/2014/main" id="{00000000-0008-0000-0600-00009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a:extLst>
            <a:ext uri="{FF2B5EF4-FFF2-40B4-BE49-F238E27FC236}">
              <a16:creationId xmlns:a16="http://schemas.microsoft.com/office/drawing/2014/main" id="{00000000-0008-0000-0600-00009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a:extLst>
            <a:ext uri="{FF2B5EF4-FFF2-40B4-BE49-F238E27FC236}">
              <a16:creationId xmlns:a16="http://schemas.microsoft.com/office/drawing/2014/main" id="{00000000-0008-0000-0600-00009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a:extLst>
            <a:ext uri="{FF2B5EF4-FFF2-40B4-BE49-F238E27FC236}">
              <a16:creationId xmlns:a16="http://schemas.microsoft.com/office/drawing/2014/main" id="{00000000-0008-0000-0600-00009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a:extLst>
            <a:ext uri="{FF2B5EF4-FFF2-40B4-BE49-F238E27FC236}">
              <a16:creationId xmlns:a16="http://schemas.microsoft.com/office/drawing/2014/main" id="{00000000-0008-0000-0600-00009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a:extLst>
            <a:ext uri="{FF2B5EF4-FFF2-40B4-BE49-F238E27FC236}">
              <a16:creationId xmlns:a16="http://schemas.microsoft.com/office/drawing/2014/main" id="{00000000-0008-0000-0600-00009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a:extLst>
            <a:ext uri="{FF2B5EF4-FFF2-40B4-BE49-F238E27FC236}">
              <a16:creationId xmlns:a16="http://schemas.microsoft.com/office/drawing/2014/main" id="{00000000-0008-0000-0600-00009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a:extLst>
            <a:ext uri="{FF2B5EF4-FFF2-40B4-BE49-F238E27FC236}">
              <a16:creationId xmlns:a16="http://schemas.microsoft.com/office/drawing/2014/main" id="{00000000-0008-0000-0600-00009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a:extLst>
            <a:ext uri="{FF2B5EF4-FFF2-40B4-BE49-F238E27FC236}">
              <a16:creationId xmlns:a16="http://schemas.microsoft.com/office/drawing/2014/main" id="{00000000-0008-0000-0600-00009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a:extLst>
            <a:ext uri="{FF2B5EF4-FFF2-40B4-BE49-F238E27FC236}">
              <a16:creationId xmlns:a16="http://schemas.microsoft.com/office/drawing/2014/main" id="{00000000-0008-0000-0600-00009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a:extLst>
            <a:ext uri="{FF2B5EF4-FFF2-40B4-BE49-F238E27FC236}">
              <a16:creationId xmlns:a16="http://schemas.microsoft.com/office/drawing/2014/main" id="{00000000-0008-0000-0600-00009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a:extLst>
            <a:ext uri="{FF2B5EF4-FFF2-40B4-BE49-F238E27FC236}">
              <a16:creationId xmlns:a16="http://schemas.microsoft.com/office/drawing/2014/main" id="{00000000-0008-0000-0600-00009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a:extLst>
            <a:ext uri="{FF2B5EF4-FFF2-40B4-BE49-F238E27FC236}">
              <a16:creationId xmlns:a16="http://schemas.microsoft.com/office/drawing/2014/main" id="{00000000-0008-0000-0600-00009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a:extLst>
            <a:ext uri="{FF2B5EF4-FFF2-40B4-BE49-F238E27FC236}">
              <a16:creationId xmlns:a16="http://schemas.microsoft.com/office/drawing/2014/main" id="{00000000-0008-0000-0600-0000A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a:extLst>
            <a:ext uri="{FF2B5EF4-FFF2-40B4-BE49-F238E27FC236}">
              <a16:creationId xmlns:a16="http://schemas.microsoft.com/office/drawing/2014/main" id="{00000000-0008-0000-0600-0000A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a:extLst>
            <a:ext uri="{FF2B5EF4-FFF2-40B4-BE49-F238E27FC236}">
              <a16:creationId xmlns:a16="http://schemas.microsoft.com/office/drawing/2014/main" id="{00000000-0008-0000-0600-0000A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a:extLst>
            <a:ext uri="{FF2B5EF4-FFF2-40B4-BE49-F238E27FC236}">
              <a16:creationId xmlns:a16="http://schemas.microsoft.com/office/drawing/2014/main" id="{00000000-0008-0000-0600-0000A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a:extLst>
            <a:ext uri="{FF2B5EF4-FFF2-40B4-BE49-F238E27FC236}">
              <a16:creationId xmlns:a16="http://schemas.microsoft.com/office/drawing/2014/main" id="{00000000-0008-0000-0600-0000A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a:extLst>
            <a:ext uri="{FF2B5EF4-FFF2-40B4-BE49-F238E27FC236}">
              <a16:creationId xmlns:a16="http://schemas.microsoft.com/office/drawing/2014/main" id="{00000000-0008-0000-0600-0000A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a:extLst>
            <a:ext uri="{FF2B5EF4-FFF2-40B4-BE49-F238E27FC236}">
              <a16:creationId xmlns:a16="http://schemas.microsoft.com/office/drawing/2014/main" id="{00000000-0008-0000-0600-0000A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a:extLst>
            <a:ext uri="{FF2B5EF4-FFF2-40B4-BE49-F238E27FC236}">
              <a16:creationId xmlns:a16="http://schemas.microsoft.com/office/drawing/2014/main" id="{00000000-0008-0000-0600-0000A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a:extLst>
            <a:ext uri="{FF2B5EF4-FFF2-40B4-BE49-F238E27FC236}">
              <a16:creationId xmlns:a16="http://schemas.microsoft.com/office/drawing/2014/main" id="{00000000-0008-0000-0600-0000A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a:extLst>
            <a:ext uri="{FF2B5EF4-FFF2-40B4-BE49-F238E27FC236}">
              <a16:creationId xmlns:a16="http://schemas.microsoft.com/office/drawing/2014/main" id="{00000000-0008-0000-0600-0000A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a:extLst>
            <a:ext uri="{FF2B5EF4-FFF2-40B4-BE49-F238E27FC236}">
              <a16:creationId xmlns:a16="http://schemas.microsoft.com/office/drawing/2014/main" id="{00000000-0008-0000-0600-0000A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a:extLst>
            <a:ext uri="{FF2B5EF4-FFF2-40B4-BE49-F238E27FC236}">
              <a16:creationId xmlns:a16="http://schemas.microsoft.com/office/drawing/2014/main" id="{00000000-0008-0000-0600-0000A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a:extLst>
            <a:ext uri="{FF2B5EF4-FFF2-40B4-BE49-F238E27FC236}">
              <a16:creationId xmlns:a16="http://schemas.microsoft.com/office/drawing/2014/main" id="{00000000-0008-0000-0600-0000A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a:extLst>
            <a:ext uri="{FF2B5EF4-FFF2-40B4-BE49-F238E27FC236}">
              <a16:creationId xmlns:a16="http://schemas.microsoft.com/office/drawing/2014/main" id="{00000000-0008-0000-0600-0000A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a:extLst>
            <a:ext uri="{FF2B5EF4-FFF2-40B4-BE49-F238E27FC236}">
              <a16:creationId xmlns:a16="http://schemas.microsoft.com/office/drawing/2014/main" id="{00000000-0008-0000-0600-0000A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a:extLst>
            <a:ext uri="{FF2B5EF4-FFF2-40B4-BE49-F238E27FC236}">
              <a16:creationId xmlns:a16="http://schemas.microsoft.com/office/drawing/2014/main" id="{00000000-0008-0000-0600-0000A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a:extLst>
            <a:ext uri="{FF2B5EF4-FFF2-40B4-BE49-F238E27FC236}">
              <a16:creationId xmlns:a16="http://schemas.microsoft.com/office/drawing/2014/main" id="{00000000-0008-0000-0600-0000B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a:extLst>
            <a:ext uri="{FF2B5EF4-FFF2-40B4-BE49-F238E27FC236}">
              <a16:creationId xmlns:a16="http://schemas.microsoft.com/office/drawing/2014/main" id="{00000000-0008-0000-0600-0000B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a:extLst>
            <a:ext uri="{FF2B5EF4-FFF2-40B4-BE49-F238E27FC236}">
              <a16:creationId xmlns:a16="http://schemas.microsoft.com/office/drawing/2014/main" id="{00000000-0008-0000-0600-0000B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a:extLst>
            <a:ext uri="{FF2B5EF4-FFF2-40B4-BE49-F238E27FC236}">
              <a16:creationId xmlns:a16="http://schemas.microsoft.com/office/drawing/2014/main" id="{00000000-0008-0000-0600-0000B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a:extLst>
            <a:ext uri="{FF2B5EF4-FFF2-40B4-BE49-F238E27FC236}">
              <a16:creationId xmlns:a16="http://schemas.microsoft.com/office/drawing/2014/main" id="{00000000-0008-0000-0600-0000B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a:extLst>
            <a:ext uri="{FF2B5EF4-FFF2-40B4-BE49-F238E27FC236}">
              <a16:creationId xmlns:a16="http://schemas.microsoft.com/office/drawing/2014/main" id="{00000000-0008-0000-0600-0000B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a:extLst>
            <a:ext uri="{FF2B5EF4-FFF2-40B4-BE49-F238E27FC236}">
              <a16:creationId xmlns:a16="http://schemas.microsoft.com/office/drawing/2014/main" id="{00000000-0008-0000-0600-0000B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a:extLst>
            <a:ext uri="{FF2B5EF4-FFF2-40B4-BE49-F238E27FC236}">
              <a16:creationId xmlns:a16="http://schemas.microsoft.com/office/drawing/2014/main" id="{00000000-0008-0000-0600-0000B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a:extLst>
            <a:ext uri="{FF2B5EF4-FFF2-40B4-BE49-F238E27FC236}">
              <a16:creationId xmlns:a16="http://schemas.microsoft.com/office/drawing/2014/main" id="{00000000-0008-0000-0600-0000B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a:extLst>
            <a:ext uri="{FF2B5EF4-FFF2-40B4-BE49-F238E27FC236}">
              <a16:creationId xmlns:a16="http://schemas.microsoft.com/office/drawing/2014/main" id="{00000000-0008-0000-0600-0000B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a:extLst>
            <a:ext uri="{FF2B5EF4-FFF2-40B4-BE49-F238E27FC236}">
              <a16:creationId xmlns:a16="http://schemas.microsoft.com/office/drawing/2014/main" id="{00000000-0008-0000-0600-0000B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a:extLst>
            <a:ext uri="{FF2B5EF4-FFF2-40B4-BE49-F238E27FC236}">
              <a16:creationId xmlns:a16="http://schemas.microsoft.com/office/drawing/2014/main" id="{00000000-0008-0000-0600-0000B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a:extLst>
            <a:ext uri="{FF2B5EF4-FFF2-40B4-BE49-F238E27FC236}">
              <a16:creationId xmlns:a16="http://schemas.microsoft.com/office/drawing/2014/main" id="{00000000-0008-0000-0600-0000B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a:extLst>
            <a:ext uri="{FF2B5EF4-FFF2-40B4-BE49-F238E27FC236}">
              <a16:creationId xmlns:a16="http://schemas.microsoft.com/office/drawing/2014/main" id="{00000000-0008-0000-0600-0000B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a:extLst>
            <a:ext uri="{FF2B5EF4-FFF2-40B4-BE49-F238E27FC236}">
              <a16:creationId xmlns:a16="http://schemas.microsoft.com/office/drawing/2014/main" id="{00000000-0008-0000-0600-0000B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a:extLst>
            <a:ext uri="{FF2B5EF4-FFF2-40B4-BE49-F238E27FC236}">
              <a16:creationId xmlns:a16="http://schemas.microsoft.com/office/drawing/2014/main" id="{00000000-0008-0000-0600-0000B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a:extLst>
            <a:ext uri="{FF2B5EF4-FFF2-40B4-BE49-F238E27FC236}">
              <a16:creationId xmlns:a16="http://schemas.microsoft.com/office/drawing/2014/main" id="{00000000-0008-0000-0600-0000C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a:extLst>
            <a:ext uri="{FF2B5EF4-FFF2-40B4-BE49-F238E27FC236}">
              <a16:creationId xmlns:a16="http://schemas.microsoft.com/office/drawing/2014/main" id="{00000000-0008-0000-0600-0000C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7</xdr:row>
      <xdr:rowOff>0</xdr:rowOff>
    </xdr:from>
    <xdr:ext cx="9525" cy="9525"/>
    <xdr:pic>
      <xdr:nvPicPr>
        <xdr:cNvPr id="3010" name="Picture 18" descr="Nederland">
          <a:hlinkClick xmlns:r="http://schemas.openxmlformats.org/officeDocument/2006/relationships" r:id="rId10"/>
          <a:extLst>
            <a:ext uri="{FF2B5EF4-FFF2-40B4-BE49-F238E27FC236}">
              <a16:creationId xmlns:a16="http://schemas.microsoft.com/office/drawing/2014/main" id="{00000000-0008-0000-0600-0000C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1" name="Picture 29" descr="Belgium">
          <a:hlinkClick xmlns:r="http://schemas.openxmlformats.org/officeDocument/2006/relationships" r:id="rId15"/>
          <a:extLst>
            <a:ext uri="{FF2B5EF4-FFF2-40B4-BE49-F238E27FC236}">
              <a16:creationId xmlns:a16="http://schemas.microsoft.com/office/drawing/2014/main" id="{00000000-0008-0000-0600-0000C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2" name="Picture 16" descr="Colombia">
          <a:hlinkClick xmlns:r="http://schemas.openxmlformats.org/officeDocument/2006/relationships" r:id="rId21"/>
          <a:extLst>
            <a:ext uri="{FF2B5EF4-FFF2-40B4-BE49-F238E27FC236}">
              <a16:creationId xmlns:a16="http://schemas.microsoft.com/office/drawing/2014/main" id="{00000000-0008-0000-0600-0000C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3" name="Picture 30" descr="España">
          <a:hlinkClick xmlns:r="http://schemas.openxmlformats.org/officeDocument/2006/relationships" r:id="rId17"/>
          <a:extLst>
            <a:ext uri="{FF2B5EF4-FFF2-40B4-BE49-F238E27FC236}">
              <a16:creationId xmlns:a16="http://schemas.microsoft.com/office/drawing/2014/main" id="{00000000-0008-0000-0600-0000C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4" name="Picture 36" descr="España">
          <a:hlinkClick xmlns:r="http://schemas.openxmlformats.org/officeDocument/2006/relationships" r:id="rId17"/>
          <a:extLst>
            <a:ext uri="{FF2B5EF4-FFF2-40B4-BE49-F238E27FC236}">
              <a16:creationId xmlns:a16="http://schemas.microsoft.com/office/drawing/2014/main" id="{00000000-0008-0000-0600-0000C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5" name="Picture 42" descr="Portugal">
          <a:hlinkClick xmlns:r="http://schemas.openxmlformats.org/officeDocument/2006/relationships" r:id="rId22"/>
          <a:extLst>
            <a:ext uri="{FF2B5EF4-FFF2-40B4-BE49-F238E27FC236}">
              <a16:creationId xmlns:a16="http://schemas.microsoft.com/office/drawing/2014/main" id="{00000000-0008-0000-0600-0000C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6" name="Picture 11" descr="Deutschland">
          <a:hlinkClick xmlns:r="http://schemas.openxmlformats.org/officeDocument/2006/relationships" r:id="rId34"/>
          <a:extLst>
            <a:ext uri="{FF2B5EF4-FFF2-40B4-BE49-F238E27FC236}">
              <a16:creationId xmlns:a16="http://schemas.microsoft.com/office/drawing/2014/main" id="{00000000-0008-0000-0600-0000C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7" name="Picture 22" descr="Deutschland">
          <a:hlinkClick xmlns:r="http://schemas.openxmlformats.org/officeDocument/2006/relationships" r:id="rId34"/>
          <a:extLst>
            <a:ext uri="{FF2B5EF4-FFF2-40B4-BE49-F238E27FC236}">
              <a16:creationId xmlns:a16="http://schemas.microsoft.com/office/drawing/2014/main" id="{00000000-0008-0000-0600-0000C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8" name="Picture 28" descr="España">
          <a:hlinkClick xmlns:r="http://schemas.openxmlformats.org/officeDocument/2006/relationships" r:id="rId31"/>
          <a:extLst>
            <a:ext uri="{FF2B5EF4-FFF2-40B4-BE49-F238E27FC236}">
              <a16:creationId xmlns:a16="http://schemas.microsoft.com/office/drawing/2014/main" id="{00000000-0008-0000-0600-0000C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9" name="Picture 34" descr="România">
          <a:hlinkClick xmlns:r="http://schemas.openxmlformats.org/officeDocument/2006/relationships" r:id="rId44"/>
          <a:extLst>
            <a:ext uri="{FF2B5EF4-FFF2-40B4-BE49-F238E27FC236}">
              <a16:creationId xmlns:a16="http://schemas.microsoft.com/office/drawing/2014/main" id="{00000000-0008-0000-0600-0000C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0" name="Picture 11" descr="Deutschland">
          <a:hlinkClick xmlns:r="http://schemas.openxmlformats.org/officeDocument/2006/relationships" r:id="rId48"/>
          <a:extLst>
            <a:ext uri="{FF2B5EF4-FFF2-40B4-BE49-F238E27FC236}">
              <a16:creationId xmlns:a16="http://schemas.microsoft.com/office/drawing/2014/main" id="{00000000-0008-0000-0600-0000C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1" name="Picture 23" descr="España">
          <a:hlinkClick xmlns:r="http://schemas.openxmlformats.org/officeDocument/2006/relationships" r:id="rId45"/>
          <a:extLst>
            <a:ext uri="{FF2B5EF4-FFF2-40B4-BE49-F238E27FC236}">
              <a16:creationId xmlns:a16="http://schemas.microsoft.com/office/drawing/2014/main" id="{00000000-0008-0000-0600-0000C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2" name="Picture 29" descr="España">
          <a:hlinkClick xmlns:r="http://schemas.openxmlformats.org/officeDocument/2006/relationships" r:id="rId45"/>
          <a:extLst>
            <a:ext uri="{FF2B5EF4-FFF2-40B4-BE49-F238E27FC236}">
              <a16:creationId xmlns:a16="http://schemas.microsoft.com/office/drawing/2014/main" id="{00000000-0008-0000-0600-0000C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3" name="Picture 35" descr="España">
          <a:hlinkClick xmlns:r="http://schemas.openxmlformats.org/officeDocument/2006/relationships" r:id="rId45"/>
          <a:extLst>
            <a:ext uri="{FF2B5EF4-FFF2-40B4-BE49-F238E27FC236}">
              <a16:creationId xmlns:a16="http://schemas.microsoft.com/office/drawing/2014/main" id="{00000000-0008-0000-0600-0000C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4" name="Picture 11" descr="Deutschland">
          <a:hlinkClick xmlns:r="http://schemas.openxmlformats.org/officeDocument/2006/relationships" r:id="rId12"/>
          <a:extLst>
            <a:ext uri="{FF2B5EF4-FFF2-40B4-BE49-F238E27FC236}">
              <a16:creationId xmlns:a16="http://schemas.microsoft.com/office/drawing/2014/main" id="{00000000-0008-0000-0600-0000D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5" name="Picture 23" descr="España">
          <a:hlinkClick xmlns:r="http://schemas.openxmlformats.org/officeDocument/2006/relationships" r:id="rId1"/>
          <a:extLst>
            <a:ext uri="{FF2B5EF4-FFF2-40B4-BE49-F238E27FC236}">
              <a16:creationId xmlns:a16="http://schemas.microsoft.com/office/drawing/2014/main" id="{00000000-0008-0000-0600-0000D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6" name="Picture 27" descr="España">
          <a:hlinkClick xmlns:r="http://schemas.openxmlformats.org/officeDocument/2006/relationships" r:id="rId1"/>
          <a:extLst>
            <a:ext uri="{FF2B5EF4-FFF2-40B4-BE49-F238E27FC236}">
              <a16:creationId xmlns:a16="http://schemas.microsoft.com/office/drawing/2014/main" id="{00000000-0008-0000-0600-0000D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7" name="Picture 34" descr="España">
          <a:hlinkClick xmlns:r="http://schemas.openxmlformats.org/officeDocument/2006/relationships" r:id="rId1"/>
          <a:extLst>
            <a:ext uri="{FF2B5EF4-FFF2-40B4-BE49-F238E27FC236}">
              <a16:creationId xmlns:a16="http://schemas.microsoft.com/office/drawing/2014/main" id="{00000000-0008-0000-0600-0000D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8" name="Picture 11" descr="Deutschland">
          <a:hlinkClick xmlns:r="http://schemas.openxmlformats.org/officeDocument/2006/relationships" r:id="rId66"/>
          <a:extLst>
            <a:ext uri="{FF2B5EF4-FFF2-40B4-BE49-F238E27FC236}">
              <a16:creationId xmlns:a16="http://schemas.microsoft.com/office/drawing/2014/main" id="{00000000-0008-0000-0600-0000D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9" name="Picture 24" descr="España">
          <a:hlinkClick xmlns:r="http://schemas.openxmlformats.org/officeDocument/2006/relationships" r:id="rId63"/>
          <a:extLst>
            <a:ext uri="{FF2B5EF4-FFF2-40B4-BE49-F238E27FC236}">
              <a16:creationId xmlns:a16="http://schemas.microsoft.com/office/drawing/2014/main" id="{00000000-0008-0000-0600-0000D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0" name="Picture 29" descr="España">
          <a:hlinkClick xmlns:r="http://schemas.openxmlformats.org/officeDocument/2006/relationships" r:id="rId63"/>
          <a:extLst>
            <a:ext uri="{FF2B5EF4-FFF2-40B4-BE49-F238E27FC236}">
              <a16:creationId xmlns:a16="http://schemas.microsoft.com/office/drawing/2014/main" id="{00000000-0008-0000-0600-0000D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1" name="Picture 36" descr="España">
          <a:hlinkClick xmlns:r="http://schemas.openxmlformats.org/officeDocument/2006/relationships" r:id="rId63"/>
          <a:extLst>
            <a:ext uri="{FF2B5EF4-FFF2-40B4-BE49-F238E27FC236}">
              <a16:creationId xmlns:a16="http://schemas.microsoft.com/office/drawing/2014/main" id="{00000000-0008-0000-0600-0000D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2" name="Picture 11" descr="Deutschland">
          <a:hlinkClick xmlns:r="http://schemas.openxmlformats.org/officeDocument/2006/relationships" r:id="rId79"/>
          <a:extLst>
            <a:ext uri="{FF2B5EF4-FFF2-40B4-BE49-F238E27FC236}">
              <a16:creationId xmlns:a16="http://schemas.microsoft.com/office/drawing/2014/main" id="{00000000-0008-0000-0600-0000D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3" name="Picture 23" descr="Slovenija">
          <a:hlinkClick xmlns:r="http://schemas.openxmlformats.org/officeDocument/2006/relationships" r:id="rId87"/>
          <a:extLst>
            <a:ext uri="{FF2B5EF4-FFF2-40B4-BE49-F238E27FC236}">
              <a16:creationId xmlns:a16="http://schemas.microsoft.com/office/drawing/2014/main" id="{00000000-0008-0000-0600-0000D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4" name="Picture 27" descr="Polska">
          <a:hlinkClick xmlns:r="http://schemas.openxmlformats.org/officeDocument/2006/relationships" r:id="rId85"/>
          <a:extLst>
            <a:ext uri="{FF2B5EF4-FFF2-40B4-BE49-F238E27FC236}">
              <a16:creationId xmlns:a16="http://schemas.microsoft.com/office/drawing/2014/main" id="{00000000-0008-0000-0600-0000D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5" name="Picture 32" descr="España">
          <a:hlinkClick xmlns:r="http://schemas.openxmlformats.org/officeDocument/2006/relationships" r:id="rId77"/>
          <a:extLst>
            <a:ext uri="{FF2B5EF4-FFF2-40B4-BE49-F238E27FC236}">
              <a16:creationId xmlns:a16="http://schemas.microsoft.com/office/drawing/2014/main" id="{00000000-0008-0000-0600-0000D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3036" name="Picture 14" descr="España">
          <a:hlinkClick xmlns:r="http://schemas.openxmlformats.org/officeDocument/2006/relationships" r:id="rId1"/>
          <a:extLst>
            <a:ext uri="{FF2B5EF4-FFF2-40B4-BE49-F238E27FC236}">
              <a16:creationId xmlns:a16="http://schemas.microsoft.com/office/drawing/2014/main" id="{00000000-0008-0000-0600-0000D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7" name="Picture 16" descr="Nederland">
          <a:hlinkClick xmlns:r="http://schemas.openxmlformats.org/officeDocument/2006/relationships" r:id="rId10"/>
          <a:extLst>
            <a:ext uri="{FF2B5EF4-FFF2-40B4-BE49-F238E27FC236}">
              <a16:creationId xmlns:a16="http://schemas.microsoft.com/office/drawing/2014/main" id="{00000000-0008-0000-0600-0000D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8" name="Picture 17" descr="Polska">
          <a:hlinkClick xmlns:r="http://schemas.openxmlformats.org/officeDocument/2006/relationships" r:id="rId5"/>
          <a:extLst>
            <a:ext uri="{FF2B5EF4-FFF2-40B4-BE49-F238E27FC236}">
              <a16:creationId xmlns:a16="http://schemas.microsoft.com/office/drawing/2014/main" id="{00000000-0008-0000-0600-0000D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9" name="Picture 19" descr="Danmark">
          <a:hlinkClick xmlns:r="http://schemas.openxmlformats.org/officeDocument/2006/relationships" r:id="rId11"/>
          <a:extLst>
            <a:ext uri="{FF2B5EF4-FFF2-40B4-BE49-F238E27FC236}">
              <a16:creationId xmlns:a16="http://schemas.microsoft.com/office/drawing/2014/main" id="{00000000-0008-0000-0600-0000D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0" name="Picture 20" descr="España">
          <a:hlinkClick xmlns:r="http://schemas.openxmlformats.org/officeDocument/2006/relationships" r:id="rId1"/>
          <a:extLst>
            <a:ext uri="{FF2B5EF4-FFF2-40B4-BE49-F238E27FC236}">
              <a16:creationId xmlns:a16="http://schemas.microsoft.com/office/drawing/2014/main" id="{00000000-0008-0000-0600-0000E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1" name="Picture 21" descr="Deutschland">
          <a:hlinkClick xmlns:r="http://schemas.openxmlformats.org/officeDocument/2006/relationships" r:id="rId12"/>
          <a:extLst>
            <a:ext uri="{FF2B5EF4-FFF2-40B4-BE49-F238E27FC236}">
              <a16:creationId xmlns:a16="http://schemas.microsoft.com/office/drawing/2014/main" id="{00000000-0008-0000-0600-0000E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2" name="Picture 22" descr="España">
          <a:hlinkClick xmlns:r="http://schemas.openxmlformats.org/officeDocument/2006/relationships" r:id="rId1"/>
          <a:extLst>
            <a:ext uri="{FF2B5EF4-FFF2-40B4-BE49-F238E27FC236}">
              <a16:creationId xmlns:a16="http://schemas.microsoft.com/office/drawing/2014/main" id="{00000000-0008-0000-0600-0000E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3" name="Picture 23" descr="España">
          <a:hlinkClick xmlns:r="http://schemas.openxmlformats.org/officeDocument/2006/relationships" r:id="rId1"/>
          <a:extLst>
            <a:ext uri="{FF2B5EF4-FFF2-40B4-BE49-F238E27FC236}">
              <a16:creationId xmlns:a16="http://schemas.microsoft.com/office/drawing/2014/main" id="{00000000-0008-0000-0600-0000E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4" name="Picture 24" descr="España">
          <a:hlinkClick xmlns:r="http://schemas.openxmlformats.org/officeDocument/2006/relationships" r:id="rId1"/>
          <a:extLst>
            <a:ext uri="{FF2B5EF4-FFF2-40B4-BE49-F238E27FC236}">
              <a16:creationId xmlns:a16="http://schemas.microsoft.com/office/drawing/2014/main" id="{00000000-0008-0000-0600-0000E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5" name="Picture 25" descr="Israel">
          <a:hlinkClick xmlns:r="http://schemas.openxmlformats.org/officeDocument/2006/relationships" r:id="rId13"/>
          <a:extLst>
            <a:ext uri="{FF2B5EF4-FFF2-40B4-BE49-F238E27FC236}">
              <a16:creationId xmlns:a16="http://schemas.microsoft.com/office/drawing/2014/main" id="{00000000-0008-0000-0600-0000E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6" name="Picture 26" descr="España">
          <a:hlinkClick xmlns:r="http://schemas.openxmlformats.org/officeDocument/2006/relationships" r:id="rId1"/>
          <a:extLst>
            <a:ext uri="{FF2B5EF4-FFF2-40B4-BE49-F238E27FC236}">
              <a16:creationId xmlns:a16="http://schemas.microsoft.com/office/drawing/2014/main" id="{00000000-0008-0000-0600-0000E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7" name="Picture 27" descr="Việt Nam">
          <a:hlinkClick xmlns:r="http://schemas.openxmlformats.org/officeDocument/2006/relationships" r:id="rId14"/>
          <a:extLst>
            <a:ext uri="{FF2B5EF4-FFF2-40B4-BE49-F238E27FC236}">
              <a16:creationId xmlns:a16="http://schemas.microsoft.com/office/drawing/2014/main" id="{00000000-0008-0000-0600-0000E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8" name="Picture 28" descr="Italia">
          <a:hlinkClick xmlns:r="http://schemas.openxmlformats.org/officeDocument/2006/relationships" r:id="rId4"/>
          <a:extLst>
            <a:ext uri="{FF2B5EF4-FFF2-40B4-BE49-F238E27FC236}">
              <a16:creationId xmlns:a16="http://schemas.microsoft.com/office/drawing/2014/main" id="{00000000-0008-0000-0600-0000E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9" name="Picture 30" descr="España">
          <a:hlinkClick xmlns:r="http://schemas.openxmlformats.org/officeDocument/2006/relationships" r:id="rId1"/>
          <a:extLst>
            <a:ext uri="{FF2B5EF4-FFF2-40B4-BE49-F238E27FC236}">
              <a16:creationId xmlns:a16="http://schemas.microsoft.com/office/drawing/2014/main" id="{00000000-0008-0000-0600-0000E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0" name="Picture 32" descr="Portugal">
          <a:hlinkClick xmlns:r="http://schemas.openxmlformats.org/officeDocument/2006/relationships" r:id="rId16"/>
          <a:extLst>
            <a:ext uri="{FF2B5EF4-FFF2-40B4-BE49-F238E27FC236}">
              <a16:creationId xmlns:a16="http://schemas.microsoft.com/office/drawing/2014/main" id="{00000000-0008-0000-0600-0000E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1" name="Picture 12" descr="Suomi">
          <a:hlinkClick xmlns:r="http://schemas.openxmlformats.org/officeDocument/2006/relationships" r:id="rId19"/>
          <a:extLst>
            <a:ext uri="{FF2B5EF4-FFF2-40B4-BE49-F238E27FC236}">
              <a16:creationId xmlns:a16="http://schemas.microsoft.com/office/drawing/2014/main" id="{00000000-0008-0000-0600-0000E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2" name="Picture 14" descr="Deutschland">
          <a:hlinkClick xmlns:r="http://schemas.openxmlformats.org/officeDocument/2006/relationships" r:id="rId20"/>
          <a:extLst>
            <a:ext uri="{FF2B5EF4-FFF2-40B4-BE49-F238E27FC236}">
              <a16:creationId xmlns:a16="http://schemas.microsoft.com/office/drawing/2014/main" id="{00000000-0008-0000-0600-0000E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3" name="Picture 15" descr="España">
          <a:hlinkClick xmlns:r="http://schemas.openxmlformats.org/officeDocument/2006/relationships" r:id="rId17"/>
          <a:extLst>
            <a:ext uri="{FF2B5EF4-FFF2-40B4-BE49-F238E27FC236}">
              <a16:creationId xmlns:a16="http://schemas.microsoft.com/office/drawing/2014/main" id="{00000000-0008-0000-0600-0000E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4" name="Picture 17" descr="Portugal">
          <a:hlinkClick xmlns:r="http://schemas.openxmlformats.org/officeDocument/2006/relationships" r:id="rId22"/>
          <a:extLst>
            <a:ext uri="{FF2B5EF4-FFF2-40B4-BE49-F238E27FC236}">
              <a16:creationId xmlns:a16="http://schemas.microsoft.com/office/drawing/2014/main" id="{00000000-0008-0000-0600-0000E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5" name="Picture 18" descr="Nederland">
          <a:hlinkClick xmlns:r="http://schemas.openxmlformats.org/officeDocument/2006/relationships" r:id="rId23"/>
          <a:extLst>
            <a:ext uri="{FF2B5EF4-FFF2-40B4-BE49-F238E27FC236}">
              <a16:creationId xmlns:a16="http://schemas.microsoft.com/office/drawing/2014/main" id="{00000000-0008-0000-0600-0000E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6" name="Picture 19" descr="Northern Ireland">
          <a:hlinkClick xmlns:r="http://schemas.openxmlformats.org/officeDocument/2006/relationships" r:id="rId24"/>
          <a:extLst>
            <a:ext uri="{FF2B5EF4-FFF2-40B4-BE49-F238E27FC236}">
              <a16:creationId xmlns:a16="http://schemas.microsoft.com/office/drawing/2014/main" id="{00000000-0008-0000-0600-0000F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7" name="Picture 20" descr="China">
          <a:hlinkClick xmlns:r="http://schemas.openxmlformats.org/officeDocument/2006/relationships" r:id="rId25"/>
          <a:extLst>
            <a:ext uri="{FF2B5EF4-FFF2-40B4-BE49-F238E27FC236}">
              <a16:creationId xmlns:a16="http://schemas.microsoft.com/office/drawing/2014/main" id="{00000000-0008-0000-0600-0000F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8" name="Picture 21" descr="Polska">
          <a:hlinkClick xmlns:r="http://schemas.openxmlformats.org/officeDocument/2006/relationships" r:id="rId26"/>
          <a:extLst>
            <a:ext uri="{FF2B5EF4-FFF2-40B4-BE49-F238E27FC236}">
              <a16:creationId xmlns:a16="http://schemas.microsoft.com/office/drawing/2014/main" id="{00000000-0008-0000-0600-0000F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9" name="Picture 23" descr="Nederland">
          <a:hlinkClick xmlns:r="http://schemas.openxmlformats.org/officeDocument/2006/relationships" r:id="rId23"/>
          <a:extLst>
            <a:ext uri="{FF2B5EF4-FFF2-40B4-BE49-F238E27FC236}">
              <a16:creationId xmlns:a16="http://schemas.microsoft.com/office/drawing/2014/main" id="{00000000-0008-0000-0600-0000F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0" name="Picture 25" descr="Danmark">
          <a:hlinkClick xmlns:r="http://schemas.openxmlformats.org/officeDocument/2006/relationships" r:id="rId27"/>
          <a:extLst>
            <a:ext uri="{FF2B5EF4-FFF2-40B4-BE49-F238E27FC236}">
              <a16:creationId xmlns:a16="http://schemas.microsoft.com/office/drawing/2014/main" id="{00000000-0008-0000-0600-0000F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1" name="Picture 26" descr="España">
          <a:hlinkClick xmlns:r="http://schemas.openxmlformats.org/officeDocument/2006/relationships" r:id="rId17"/>
          <a:extLst>
            <a:ext uri="{FF2B5EF4-FFF2-40B4-BE49-F238E27FC236}">
              <a16:creationId xmlns:a16="http://schemas.microsoft.com/office/drawing/2014/main" id="{00000000-0008-0000-0600-0000F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2" name="Picture 27" descr="Deutschland">
          <a:hlinkClick xmlns:r="http://schemas.openxmlformats.org/officeDocument/2006/relationships" r:id="rId20"/>
          <a:extLst>
            <a:ext uri="{FF2B5EF4-FFF2-40B4-BE49-F238E27FC236}">
              <a16:creationId xmlns:a16="http://schemas.microsoft.com/office/drawing/2014/main" id="{00000000-0008-0000-0600-0000F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3" name="Picture 28" descr="Polska">
          <a:hlinkClick xmlns:r="http://schemas.openxmlformats.org/officeDocument/2006/relationships" r:id="rId26"/>
          <a:extLst>
            <a:ext uri="{FF2B5EF4-FFF2-40B4-BE49-F238E27FC236}">
              <a16:creationId xmlns:a16="http://schemas.microsoft.com/office/drawing/2014/main" id="{00000000-0008-0000-0600-0000F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4" name="Picture 31" descr="España">
          <a:hlinkClick xmlns:r="http://schemas.openxmlformats.org/officeDocument/2006/relationships" r:id="rId17"/>
          <a:extLst>
            <a:ext uri="{FF2B5EF4-FFF2-40B4-BE49-F238E27FC236}">
              <a16:creationId xmlns:a16="http://schemas.microsoft.com/office/drawing/2014/main" id="{00000000-0008-0000-0600-0000F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5" name="Picture 33" descr="España">
          <a:hlinkClick xmlns:r="http://schemas.openxmlformats.org/officeDocument/2006/relationships" r:id="rId17"/>
          <a:extLst>
            <a:ext uri="{FF2B5EF4-FFF2-40B4-BE49-F238E27FC236}">
              <a16:creationId xmlns:a16="http://schemas.microsoft.com/office/drawing/2014/main" id="{00000000-0008-0000-0600-0000F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6" name="Picture 37" descr="Việt Nam">
          <a:hlinkClick xmlns:r="http://schemas.openxmlformats.org/officeDocument/2006/relationships" r:id="rId28"/>
          <a:extLst>
            <a:ext uri="{FF2B5EF4-FFF2-40B4-BE49-F238E27FC236}">
              <a16:creationId xmlns:a16="http://schemas.microsoft.com/office/drawing/2014/main" id="{00000000-0008-0000-0600-0000F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7" name="Picture 38" descr="Italia">
          <a:hlinkClick xmlns:r="http://schemas.openxmlformats.org/officeDocument/2006/relationships" r:id="rId29"/>
          <a:extLst>
            <a:ext uri="{FF2B5EF4-FFF2-40B4-BE49-F238E27FC236}">
              <a16:creationId xmlns:a16="http://schemas.microsoft.com/office/drawing/2014/main" id="{00000000-0008-0000-0600-0000F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8" name="Picture 39" descr="España">
          <a:hlinkClick xmlns:r="http://schemas.openxmlformats.org/officeDocument/2006/relationships" r:id="rId17"/>
          <a:extLst>
            <a:ext uri="{FF2B5EF4-FFF2-40B4-BE49-F238E27FC236}">
              <a16:creationId xmlns:a16="http://schemas.microsoft.com/office/drawing/2014/main" id="{00000000-0008-0000-0600-0000F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9" name="Picture 7" descr="España">
          <a:hlinkClick xmlns:r="http://schemas.openxmlformats.org/officeDocument/2006/relationships" r:id="rId31"/>
          <a:extLst>
            <a:ext uri="{FF2B5EF4-FFF2-40B4-BE49-F238E27FC236}">
              <a16:creationId xmlns:a16="http://schemas.microsoft.com/office/drawing/2014/main" id="{00000000-0008-0000-0600-0000F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0" name="Picture 9" descr="España">
          <a:hlinkClick xmlns:r="http://schemas.openxmlformats.org/officeDocument/2006/relationships" r:id="rId31"/>
          <a:extLst>
            <a:ext uri="{FF2B5EF4-FFF2-40B4-BE49-F238E27FC236}">
              <a16:creationId xmlns:a16="http://schemas.microsoft.com/office/drawing/2014/main" id="{00000000-0008-0000-0600-0000F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1" name="Picture 10" descr="Suomi">
          <a:hlinkClick xmlns:r="http://schemas.openxmlformats.org/officeDocument/2006/relationships" r:id="rId33"/>
          <a:extLst>
            <a:ext uri="{FF2B5EF4-FFF2-40B4-BE49-F238E27FC236}">
              <a16:creationId xmlns:a16="http://schemas.microsoft.com/office/drawing/2014/main" id="{00000000-0008-0000-0600-0000F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2" name="Picture 12" descr="Deutschland">
          <a:hlinkClick xmlns:r="http://schemas.openxmlformats.org/officeDocument/2006/relationships" r:id="rId34"/>
          <a:extLst>
            <a:ext uri="{FF2B5EF4-FFF2-40B4-BE49-F238E27FC236}">
              <a16:creationId xmlns:a16="http://schemas.microsoft.com/office/drawing/2014/main" id="{00000000-0008-0000-0600-00000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3" name="Picture 13" descr="España">
          <a:hlinkClick xmlns:r="http://schemas.openxmlformats.org/officeDocument/2006/relationships" r:id="rId31"/>
          <a:extLst>
            <a:ext uri="{FF2B5EF4-FFF2-40B4-BE49-F238E27FC236}">
              <a16:creationId xmlns:a16="http://schemas.microsoft.com/office/drawing/2014/main" id="{00000000-0008-0000-0600-00000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4" name="Picture 14" descr="Colombia">
          <a:hlinkClick xmlns:r="http://schemas.openxmlformats.org/officeDocument/2006/relationships" r:id="rId35"/>
          <a:extLst>
            <a:ext uri="{FF2B5EF4-FFF2-40B4-BE49-F238E27FC236}">
              <a16:creationId xmlns:a16="http://schemas.microsoft.com/office/drawing/2014/main" id="{00000000-0008-0000-0600-00000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5" name="Picture 15" descr="Portugal">
          <a:hlinkClick xmlns:r="http://schemas.openxmlformats.org/officeDocument/2006/relationships" r:id="rId36"/>
          <a:extLst>
            <a:ext uri="{FF2B5EF4-FFF2-40B4-BE49-F238E27FC236}">
              <a16:creationId xmlns:a16="http://schemas.microsoft.com/office/drawing/2014/main" id="{00000000-0008-0000-0600-00000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6" name="Picture 16" descr="Nederland">
          <a:hlinkClick xmlns:r="http://schemas.openxmlformats.org/officeDocument/2006/relationships" r:id="rId37"/>
          <a:extLst>
            <a:ext uri="{FF2B5EF4-FFF2-40B4-BE49-F238E27FC236}">
              <a16:creationId xmlns:a16="http://schemas.microsoft.com/office/drawing/2014/main" id="{00000000-0008-0000-0600-00000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7" name="Picture 17" descr="Northern Ireland">
          <a:hlinkClick xmlns:r="http://schemas.openxmlformats.org/officeDocument/2006/relationships" r:id="rId38"/>
          <a:extLst>
            <a:ext uri="{FF2B5EF4-FFF2-40B4-BE49-F238E27FC236}">
              <a16:creationId xmlns:a16="http://schemas.microsoft.com/office/drawing/2014/main" id="{00000000-0008-0000-0600-00000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8" name="Picture 18" descr="China">
          <a:hlinkClick xmlns:r="http://schemas.openxmlformats.org/officeDocument/2006/relationships" r:id="rId39"/>
          <a:extLst>
            <a:ext uri="{FF2B5EF4-FFF2-40B4-BE49-F238E27FC236}">
              <a16:creationId xmlns:a16="http://schemas.microsoft.com/office/drawing/2014/main" id="{00000000-0008-0000-0600-00000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9" name="Picture 19" descr="Polska">
          <a:hlinkClick xmlns:r="http://schemas.openxmlformats.org/officeDocument/2006/relationships" r:id="rId40"/>
          <a:extLst>
            <a:ext uri="{FF2B5EF4-FFF2-40B4-BE49-F238E27FC236}">
              <a16:creationId xmlns:a16="http://schemas.microsoft.com/office/drawing/2014/main" id="{00000000-0008-0000-0600-00000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0" name="Picture 20" descr="Danmark">
          <a:hlinkClick xmlns:r="http://schemas.openxmlformats.org/officeDocument/2006/relationships" r:id="rId41"/>
          <a:extLst>
            <a:ext uri="{FF2B5EF4-FFF2-40B4-BE49-F238E27FC236}">
              <a16:creationId xmlns:a16="http://schemas.microsoft.com/office/drawing/2014/main" id="{00000000-0008-0000-0600-00000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1" name="Picture 21" descr="España">
          <a:hlinkClick xmlns:r="http://schemas.openxmlformats.org/officeDocument/2006/relationships" r:id="rId31"/>
          <a:extLst>
            <a:ext uri="{FF2B5EF4-FFF2-40B4-BE49-F238E27FC236}">
              <a16:creationId xmlns:a16="http://schemas.microsoft.com/office/drawing/2014/main" id="{00000000-0008-0000-0600-00000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2" name="Picture 24" descr="Polska">
          <a:hlinkClick xmlns:r="http://schemas.openxmlformats.org/officeDocument/2006/relationships" r:id="rId40"/>
          <a:extLst>
            <a:ext uri="{FF2B5EF4-FFF2-40B4-BE49-F238E27FC236}">
              <a16:creationId xmlns:a16="http://schemas.microsoft.com/office/drawing/2014/main" id="{00000000-0008-0000-0600-00000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3" name="Picture 27" descr="España">
          <a:hlinkClick xmlns:r="http://schemas.openxmlformats.org/officeDocument/2006/relationships" r:id="rId31"/>
          <a:extLst>
            <a:ext uri="{FF2B5EF4-FFF2-40B4-BE49-F238E27FC236}">
              <a16:creationId xmlns:a16="http://schemas.microsoft.com/office/drawing/2014/main" id="{00000000-0008-0000-0600-00000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4" name="Picture 29" descr="España">
          <a:hlinkClick xmlns:r="http://schemas.openxmlformats.org/officeDocument/2006/relationships" r:id="rId31"/>
          <a:extLst>
            <a:ext uri="{FF2B5EF4-FFF2-40B4-BE49-F238E27FC236}">
              <a16:creationId xmlns:a16="http://schemas.microsoft.com/office/drawing/2014/main" id="{00000000-0008-0000-0600-00000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5" name="Picture 30" descr="Việt Nam">
          <a:hlinkClick xmlns:r="http://schemas.openxmlformats.org/officeDocument/2006/relationships" r:id="rId42"/>
          <a:extLst>
            <a:ext uri="{FF2B5EF4-FFF2-40B4-BE49-F238E27FC236}">
              <a16:creationId xmlns:a16="http://schemas.microsoft.com/office/drawing/2014/main" id="{00000000-0008-0000-0600-00000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6" name="Picture 31" descr="Italia">
          <a:hlinkClick xmlns:r="http://schemas.openxmlformats.org/officeDocument/2006/relationships" r:id="rId43"/>
          <a:extLst>
            <a:ext uri="{FF2B5EF4-FFF2-40B4-BE49-F238E27FC236}">
              <a16:creationId xmlns:a16="http://schemas.microsoft.com/office/drawing/2014/main" id="{00000000-0008-0000-0600-00000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7" name="Picture 35" descr="España">
          <a:hlinkClick xmlns:r="http://schemas.openxmlformats.org/officeDocument/2006/relationships" r:id="rId31"/>
          <a:extLst>
            <a:ext uri="{FF2B5EF4-FFF2-40B4-BE49-F238E27FC236}">
              <a16:creationId xmlns:a16="http://schemas.microsoft.com/office/drawing/2014/main" id="{00000000-0008-0000-0600-00000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8" name="Picture 7" descr="España">
          <a:hlinkClick xmlns:r="http://schemas.openxmlformats.org/officeDocument/2006/relationships" r:id="rId45"/>
          <a:extLst>
            <a:ext uri="{FF2B5EF4-FFF2-40B4-BE49-F238E27FC236}">
              <a16:creationId xmlns:a16="http://schemas.microsoft.com/office/drawing/2014/main" id="{00000000-0008-0000-0600-00001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9" name="Picture 9" descr="España">
          <a:hlinkClick xmlns:r="http://schemas.openxmlformats.org/officeDocument/2006/relationships" r:id="rId45"/>
          <a:extLst>
            <a:ext uri="{FF2B5EF4-FFF2-40B4-BE49-F238E27FC236}">
              <a16:creationId xmlns:a16="http://schemas.microsoft.com/office/drawing/2014/main" id="{00000000-0008-0000-0600-00001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0" name="Picture 10" descr="Suomi">
          <a:hlinkClick xmlns:r="http://schemas.openxmlformats.org/officeDocument/2006/relationships" r:id="rId47"/>
          <a:extLst>
            <a:ext uri="{FF2B5EF4-FFF2-40B4-BE49-F238E27FC236}">
              <a16:creationId xmlns:a16="http://schemas.microsoft.com/office/drawing/2014/main" id="{00000000-0008-0000-0600-00001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1" name="Picture 12" descr="Deutschland">
          <a:hlinkClick xmlns:r="http://schemas.openxmlformats.org/officeDocument/2006/relationships" r:id="rId48"/>
          <a:extLst>
            <a:ext uri="{FF2B5EF4-FFF2-40B4-BE49-F238E27FC236}">
              <a16:creationId xmlns:a16="http://schemas.microsoft.com/office/drawing/2014/main" id="{00000000-0008-0000-0600-00001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2" name="Picture 13" descr="España">
          <a:hlinkClick xmlns:r="http://schemas.openxmlformats.org/officeDocument/2006/relationships" r:id="rId45"/>
          <a:extLst>
            <a:ext uri="{FF2B5EF4-FFF2-40B4-BE49-F238E27FC236}">
              <a16:creationId xmlns:a16="http://schemas.microsoft.com/office/drawing/2014/main" id="{00000000-0008-0000-0600-00001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3" name="Picture 14" descr="Colombia">
          <a:hlinkClick xmlns:r="http://schemas.openxmlformats.org/officeDocument/2006/relationships" r:id="rId49"/>
          <a:extLst>
            <a:ext uri="{FF2B5EF4-FFF2-40B4-BE49-F238E27FC236}">
              <a16:creationId xmlns:a16="http://schemas.microsoft.com/office/drawing/2014/main" id="{00000000-0008-0000-0600-00001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4" name="Picture 15" descr="Portugal">
          <a:hlinkClick xmlns:r="http://schemas.openxmlformats.org/officeDocument/2006/relationships" r:id="rId50"/>
          <a:extLst>
            <a:ext uri="{FF2B5EF4-FFF2-40B4-BE49-F238E27FC236}">
              <a16:creationId xmlns:a16="http://schemas.microsoft.com/office/drawing/2014/main" id="{00000000-0008-0000-0600-00001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5" name="Picture 16" descr="Nederland">
          <a:hlinkClick xmlns:r="http://schemas.openxmlformats.org/officeDocument/2006/relationships" r:id="rId51"/>
          <a:extLst>
            <a:ext uri="{FF2B5EF4-FFF2-40B4-BE49-F238E27FC236}">
              <a16:creationId xmlns:a16="http://schemas.microsoft.com/office/drawing/2014/main" id="{00000000-0008-0000-0600-00001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6" name="Picture 17" descr="Northern Ireland">
          <a:hlinkClick xmlns:r="http://schemas.openxmlformats.org/officeDocument/2006/relationships" r:id="rId52"/>
          <a:extLst>
            <a:ext uri="{FF2B5EF4-FFF2-40B4-BE49-F238E27FC236}">
              <a16:creationId xmlns:a16="http://schemas.microsoft.com/office/drawing/2014/main" id="{00000000-0008-0000-0600-00001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7" name="Picture 18" descr="China">
          <a:hlinkClick xmlns:r="http://schemas.openxmlformats.org/officeDocument/2006/relationships" r:id="rId53"/>
          <a:extLst>
            <a:ext uri="{FF2B5EF4-FFF2-40B4-BE49-F238E27FC236}">
              <a16:creationId xmlns:a16="http://schemas.microsoft.com/office/drawing/2014/main" id="{00000000-0008-0000-0600-00001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8" name="Picture 19" descr="Polska">
          <a:hlinkClick xmlns:r="http://schemas.openxmlformats.org/officeDocument/2006/relationships" r:id="rId54"/>
          <a:extLst>
            <a:ext uri="{FF2B5EF4-FFF2-40B4-BE49-F238E27FC236}">
              <a16:creationId xmlns:a16="http://schemas.microsoft.com/office/drawing/2014/main" id="{00000000-0008-0000-0600-00001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9" name="Picture 20" descr="Deutschland">
          <a:hlinkClick xmlns:r="http://schemas.openxmlformats.org/officeDocument/2006/relationships" r:id="rId48"/>
          <a:extLst>
            <a:ext uri="{FF2B5EF4-FFF2-40B4-BE49-F238E27FC236}">
              <a16:creationId xmlns:a16="http://schemas.microsoft.com/office/drawing/2014/main" id="{00000000-0008-0000-0600-00001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0" name="Picture 22" descr="Danmark">
          <a:hlinkClick xmlns:r="http://schemas.openxmlformats.org/officeDocument/2006/relationships" r:id="rId55"/>
          <a:extLst>
            <a:ext uri="{FF2B5EF4-FFF2-40B4-BE49-F238E27FC236}">
              <a16:creationId xmlns:a16="http://schemas.microsoft.com/office/drawing/2014/main" id="{00000000-0008-0000-0600-00001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1" name="Picture 24" descr="Deutschland">
          <a:hlinkClick xmlns:r="http://schemas.openxmlformats.org/officeDocument/2006/relationships" r:id="rId48"/>
          <a:extLst>
            <a:ext uri="{FF2B5EF4-FFF2-40B4-BE49-F238E27FC236}">
              <a16:creationId xmlns:a16="http://schemas.microsoft.com/office/drawing/2014/main" id="{00000000-0008-0000-0600-00001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2" name="Picture 28" descr="España">
          <a:hlinkClick xmlns:r="http://schemas.openxmlformats.org/officeDocument/2006/relationships" r:id="rId45"/>
          <a:extLst>
            <a:ext uri="{FF2B5EF4-FFF2-40B4-BE49-F238E27FC236}">
              <a16:creationId xmlns:a16="http://schemas.microsoft.com/office/drawing/2014/main" id="{00000000-0008-0000-0600-00001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3" name="Picture 30" descr="España">
          <a:hlinkClick xmlns:r="http://schemas.openxmlformats.org/officeDocument/2006/relationships" r:id="rId45"/>
          <a:extLst>
            <a:ext uri="{FF2B5EF4-FFF2-40B4-BE49-F238E27FC236}">
              <a16:creationId xmlns:a16="http://schemas.microsoft.com/office/drawing/2014/main" id="{00000000-0008-0000-0600-00001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4" name="Picture 31" descr="España">
          <a:hlinkClick xmlns:r="http://schemas.openxmlformats.org/officeDocument/2006/relationships" r:id="rId45"/>
          <a:extLst>
            <a:ext uri="{FF2B5EF4-FFF2-40B4-BE49-F238E27FC236}">
              <a16:creationId xmlns:a16="http://schemas.microsoft.com/office/drawing/2014/main" id="{00000000-0008-0000-0600-00002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5" name="Picture 32" descr="Việt Nam">
          <a:hlinkClick xmlns:r="http://schemas.openxmlformats.org/officeDocument/2006/relationships" r:id="rId56"/>
          <a:extLst>
            <a:ext uri="{FF2B5EF4-FFF2-40B4-BE49-F238E27FC236}">
              <a16:creationId xmlns:a16="http://schemas.microsoft.com/office/drawing/2014/main" id="{00000000-0008-0000-0600-00002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6" name="Picture 36" descr="España">
          <a:hlinkClick xmlns:r="http://schemas.openxmlformats.org/officeDocument/2006/relationships" r:id="rId45"/>
          <a:extLst>
            <a:ext uri="{FF2B5EF4-FFF2-40B4-BE49-F238E27FC236}">
              <a16:creationId xmlns:a16="http://schemas.microsoft.com/office/drawing/2014/main" id="{00000000-0008-0000-0600-00002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7" name="Picture 7" descr="España">
          <a:hlinkClick xmlns:r="http://schemas.openxmlformats.org/officeDocument/2006/relationships" r:id="rId1"/>
          <a:extLst>
            <a:ext uri="{FF2B5EF4-FFF2-40B4-BE49-F238E27FC236}">
              <a16:creationId xmlns:a16="http://schemas.microsoft.com/office/drawing/2014/main" id="{00000000-0008-0000-0600-00002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8" name="Picture 9" descr="España">
          <a:hlinkClick xmlns:r="http://schemas.openxmlformats.org/officeDocument/2006/relationships" r:id="rId1"/>
          <a:extLst>
            <a:ext uri="{FF2B5EF4-FFF2-40B4-BE49-F238E27FC236}">
              <a16:creationId xmlns:a16="http://schemas.microsoft.com/office/drawing/2014/main" id="{00000000-0008-0000-0600-00002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9" name="Picture 10" descr="Suomi">
          <a:hlinkClick xmlns:r="http://schemas.openxmlformats.org/officeDocument/2006/relationships" r:id="rId59"/>
          <a:extLst>
            <a:ext uri="{FF2B5EF4-FFF2-40B4-BE49-F238E27FC236}">
              <a16:creationId xmlns:a16="http://schemas.microsoft.com/office/drawing/2014/main" id="{00000000-0008-0000-0600-00002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0" name="Picture 12" descr="Deutschland">
          <a:hlinkClick xmlns:r="http://schemas.openxmlformats.org/officeDocument/2006/relationships" r:id="rId12"/>
          <a:extLst>
            <a:ext uri="{FF2B5EF4-FFF2-40B4-BE49-F238E27FC236}">
              <a16:creationId xmlns:a16="http://schemas.microsoft.com/office/drawing/2014/main" id="{00000000-0008-0000-0600-00002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1" name="Picture 13" descr="España">
          <a:hlinkClick xmlns:r="http://schemas.openxmlformats.org/officeDocument/2006/relationships" r:id="rId1"/>
          <a:extLst>
            <a:ext uri="{FF2B5EF4-FFF2-40B4-BE49-F238E27FC236}">
              <a16:creationId xmlns:a16="http://schemas.microsoft.com/office/drawing/2014/main" id="{00000000-0008-0000-0600-00002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2" name="Picture 14" descr="Colombia">
          <a:hlinkClick xmlns:r="http://schemas.openxmlformats.org/officeDocument/2006/relationships" r:id="rId8"/>
          <a:extLst>
            <a:ext uri="{FF2B5EF4-FFF2-40B4-BE49-F238E27FC236}">
              <a16:creationId xmlns:a16="http://schemas.microsoft.com/office/drawing/2014/main" id="{00000000-0008-0000-0600-00002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3" name="Picture 15" descr="Portugal">
          <a:hlinkClick xmlns:r="http://schemas.openxmlformats.org/officeDocument/2006/relationships" r:id="rId16"/>
          <a:extLst>
            <a:ext uri="{FF2B5EF4-FFF2-40B4-BE49-F238E27FC236}">
              <a16:creationId xmlns:a16="http://schemas.microsoft.com/office/drawing/2014/main" id="{00000000-0008-0000-0600-00002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4" name="Picture 16" descr="Nederland">
          <a:hlinkClick xmlns:r="http://schemas.openxmlformats.org/officeDocument/2006/relationships" r:id="rId10"/>
          <a:extLst>
            <a:ext uri="{FF2B5EF4-FFF2-40B4-BE49-F238E27FC236}">
              <a16:creationId xmlns:a16="http://schemas.microsoft.com/office/drawing/2014/main" id="{00000000-0008-0000-0600-00002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5" name="Picture 17" descr="Northern Ireland">
          <a:hlinkClick xmlns:r="http://schemas.openxmlformats.org/officeDocument/2006/relationships" r:id="rId60"/>
          <a:extLst>
            <a:ext uri="{FF2B5EF4-FFF2-40B4-BE49-F238E27FC236}">
              <a16:creationId xmlns:a16="http://schemas.microsoft.com/office/drawing/2014/main" id="{00000000-0008-0000-0600-00002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6" name="Picture 18" descr="China">
          <a:hlinkClick xmlns:r="http://schemas.openxmlformats.org/officeDocument/2006/relationships" r:id="rId61"/>
          <a:extLst>
            <a:ext uri="{FF2B5EF4-FFF2-40B4-BE49-F238E27FC236}">
              <a16:creationId xmlns:a16="http://schemas.microsoft.com/office/drawing/2014/main" id="{00000000-0008-0000-0600-00002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7" name="Picture 19" descr="Polska">
          <a:hlinkClick xmlns:r="http://schemas.openxmlformats.org/officeDocument/2006/relationships" r:id="rId5"/>
          <a:extLst>
            <a:ext uri="{FF2B5EF4-FFF2-40B4-BE49-F238E27FC236}">
              <a16:creationId xmlns:a16="http://schemas.microsoft.com/office/drawing/2014/main" id="{00000000-0008-0000-0600-00002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8" name="Picture 20" descr="Deutschland">
          <a:hlinkClick xmlns:r="http://schemas.openxmlformats.org/officeDocument/2006/relationships" r:id="rId12"/>
          <a:extLst>
            <a:ext uri="{FF2B5EF4-FFF2-40B4-BE49-F238E27FC236}">
              <a16:creationId xmlns:a16="http://schemas.microsoft.com/office/drawing/2014/main" id="{00000000-0008-0000-0600-00002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9" name="Picture 22" descr="Danmark">
          <a:hlinkClick xmlns:r="http://schemas.openxmlformats.org/officeDocument/2006/relationships" r:id="rId11"/>
          <a:extLst>
            <a:ext uri="{FF2B5EF4-FFF2-40B4-BE49-F238E27FC236}">
              <a16:creationId xmlns:a16="http://schemas.microsoft.com/office/drawing/2014/main" id="{00000000-0008-0000-0600-00002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0" name="Picture 26" descr="España">
          <a:hlinkClick xmlns:r="http://schemas.openxmlformats.org/officeDocument/2006/relationships" r:id="rId1"/>
          <a:extLst>
            <a:ext uri="{FF2B5EF4-FFF2-40B4-BE49-F238E27FC236}">
              <a16:creationId xmlns:a16="http://schemas.microsoft.com/office/drawing/2014/main" id="{00000000-0008-0000-0600-00003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1" name="Picture 28" descr="España">
          <a:hlinkClick xmlns:r="http://schemas.openxmlformats.org/officeDocument/2006/relationships" r:id="rId1"/>
          <a:extLst>
            <a:ext uri="{FF2B5EF4-FFF2-40B4-BE49-F238E27FC236}">
              <a16:creationId xmlns:a16="http://schemas.microsoft.com/office/drawing/2014/main" id="{00000000-0008-0000-0600-00003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2" name="Picture 30" descr="España">
          <a:hlinkClick xmlns:r="http://schemas.openxmlformats.org/officeDocument/2006/relationships" r:id="rId1"/>
          <a:extLst>
            <a:ext uri="{FF2B5EF4-FFF2-40B4-BE49-F238E27FC236}">
              <a16:creationId xmlns:a16="http://schemas.microsoft.com/office/drawing/2014/main" id="{00000000-0008-0000-0600-00003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3" name="Picture 35" descr="España">
          <a:hlinkClick xmlns:r="http://schemas.openxmlformats.org/officeDocument/2006/relationships" r:id="rId1"/>
          <a:extLst>
            <a:ext uri="{FF2B5EF4-FFF2-40B4-BE49-F238E27FC236}">
              <a16:creationId xmlns:a16="http://schemas.microsoft.com/office/drawing/2014/main" id="{00000000-0008-0000-0600-00003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4" name="Picture 7" descr="España">
          <a:hlinkClick xmlns:r="http://schemas.openxmlformats.org/officeDocument/2006/relationships" r:id="rId63"/>
          <a:extLst>
            <a:ext uri="{FF2B5EF4-FFF2-40B4-BE49-F238E27FC236}">
              <a16:creationId xmlns:a16="http://schemas.microsoft.com/office/drawing/2014/main" id="{00000000-0008-0000-0600-00003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5" name="Picture 9" descr="España">
          <a:hlinkClick xmlns:r="http://schemas.openxmlformats.org/officeDocument/2006/relationships" r:id="rId63"/>
          <a:extLst>
            <a:ext uri="{FF2B5EF4-FFF2-40B4-BE49-F238E27FC236}">
              <a16:creationId xmlns:a16="http://schemas.microsoft.com/office/drawing/2014/main" id="{00000000-0008-0000-0600-00003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6" name="Picture 10" descr="Suomi">
          <a:hlinkClick xmlns:r="http://schemas.openxmlformats.org/officeDocument/2006/relationships" r:id="rId65"/>
          <a:extLst>
            <a:ext uri="{FF2B5EF4-FFF2-40B4-BE49-F238E27FC236}">
              <a16:creationId xmlns:a16="http://schemas.microsoft.com/office/drawing/2014/main" id="{00000000-0008-0000-0600-00003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7" name="Picture 12" descr="Deutschland">
          <a:hlinkClick xmlns:r="http://schemas.openxmlformats.org/officeDocument/2006/relationships" r:id="rId66"/>
          <a:extLst>
            <a:ext uri="{FF2B5EF4-FFF2-40B4-BE49-F238E27FC236}">
              <a16:creationId xmlns:a16="http://schemas.microsoft.com/office/drawing/2014/main" id="{00000000-0008-0000-0600-00003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8" name="Picture 13" descr="España">
          <a:hlinkClick xmlns:r="http://schemas.openxmlformats.org/officeDocument/2006/relationships" r:id="rId63"/>
          <a:extLst>
            <a:ext uri="{FF2B5EF4-FFF2-40B4-BE49-F238E27FC236}">
              <a16:creationId xmlns:a16="http://schemas.microsoft.com/office/drawing/2014/main" id="{00000000-0008-0000-0600-00003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9" name="Picture 14" descr="Colombia">
          <a:hlinkClick xmlns:r="http://schemas.openxmlformats.org/officeDocument/2006/relationships" r:id="rId67"/>
          <a:extLst>
            <a:ext uri="{FF2B5EF4-FFF2-40B4-BE49-F238E27FC236}">
              <a16:creationId xmlns:a16="http://schemas.microsoft.com/office/drawing/2014/main" id="{00000000-0008-0000-0600-00003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0" name="Picture 15" descr="Portugal">
          <a:hlinkClick xmlns:r="http://schemas.openxmlformats.org/officeDocument/2006/relationships" r:id="rId68"/>
          <a:extLst>
            <a:ext uri="{FF2B5EF4-FFF2-40B4-BE49-F238E27FC236}">
              <a16:creationId xmlns:a16="http://schemas.microsoft.com/office/drawing/2014/main" id="{00000000-0008-0000-0600-00003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1" name="Picture 16" descr="Nederland">
          <a:hlinkClick xmlns:r="http://schemas.openxmlformats.org/officeDocument/2006/relationships" r:id="rId69"/>
          <a:extLst>
            <a:ext uri="{FF2B5EF4-FFF2-40B4-BE49-F238E27FC236}">
              <a16:creationId xmlns:a16="http://schemas.microsoft.com/office/drawing/2014/main" id="{00000000-0008-0000-0600-00003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2" name="Picture 17" descr="Northern Ireland">
          <a:hlinkClick xmlns:r="http://schemas.openxmlformats.org/officeDocument/2006/relationships" r:id="rId70"/>
          <a:extLst>
            <a:ext uri="{FF2B5EF4-FFF2-40B4-BE49-F238E27FC236}">
              <a16:creationId xmlns:a16="http://schemas.microsoft.com/office/drawing/2014/main" id="{00000000-0008-0000-0600-00003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3" name="Picture 19" descr="China">
          <a:hlinkClick xmlns:r="http://schemas.openxmlformats.org/officeDocument/2006/relationships" r:id="rId71"/>
          <a:extLst>
            <a:ext uri="{FF2B5EF4-FFF2-40B4-BE49-F238E27FC236}">
              <a16:creationId xmlns:a16="http://schemas.microsoft.com/office/drawing/2014/main" id="{00000000-0008-0000-0600-00003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4" name="Picture 20" descr="Polska">
          <a:hlinkClick xmlns:r="http://schemas.openxmlformats.org/officeDocument/2006/relationships" r:id="rId72"/>
          <a:extLst>
            <a:ext uri="{FF2B5EF4-FFF2-40B4-BE49-F238E27FC236}">
              <a16:creationId xmlns:a16="http://schemas.microsoft.com/office/drawing/2014/main" id="{00000000-0008-0000-0600-00003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5" name="Picture 21" descr="Deutschland">
          <a:hlinkClick xmlns:r="http://schemas.openxmlformats.org/officeDocument/2006/relationships" r:id="rId66"/>
          <a:extLst>
            <a:ext uri="{FF2B5EF4-FFF2-40B4-BE49-F238E27FC236}">
              <a16:creationId xmlns:a16="http://schemas.microsoft.com/office/drawing/2014/main" id="{00000000-0008-0000-0600-00003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6" name="Picture 23" descr="Danmark">
          <a:hlinkClick xmlns:r="http://schemas.openxmlformats.org/officeDocument/2006/relationships" r:id="rId73"/>
          <a:extLst>
            <a:ext uri="{FF2B5EF4-FFF2-40B4-BE49-F238E27FC236}">
              <a16:creationId xmlns:a16="http://schemas.microsoft.com/office/drawing/2014/main" id="{00000000-0008-0000-0600-00004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7" name="Picture 25" descr="France">
          <a:hlinkClick xmlns:r="http://schemas.openxmlformats.org/officeDocument/2006/relationships" r:id="rId74"/>
          <a:extLst>
            <a:ext uri="{FF2B5EF4-FFF2-40B4-BE49-F238E27FC236}">
              <a16:creationId xmlns:a16="http://schemas.microsoft.com/office/drawing/2014/main" id="{00000000-0008-0000-0600-00004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8" name="Picture 28" descr="España">
          <a:hlinkClick xmlns:r="http://schemas.openxmlformats.org/officeDocument/2006/relationships" r:id="rId63"/>
          <a:extLst>
            <a:ext uri="{FF2B5EF4-FFF2-40B4-BE49-F238E27FC236}">
              <a16:creationId xmlns:a16="http://schemas.microsoft.com/office/drawing/2014/main" id="{00000000-0008-0000-0600-00004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9" name="Picture 30" descr="España">
          <a:hlinkClick xmlns:r="http://schemas.openxmlformats.org/officeDocument/2006/relationships" r:id="rId63"/>
          <a:extLst>
            <a:ext uri="{FF2B5EF4-FFF2-40B4-BE49-F238E27FC236}">
              <a16:creationId xmlns:a16="http://schemas.microsoft.com/office/drawing/2014/main" id="{00000000-0008-0000-0600-00004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0" name="Picture 31" descr="Nederland">
          <a:hlinkClick xmlns:r="http://schemas.openxmlformats.org/officeDocument/2006/relationships" r:id="rId69"/>
          <a:extLst>
            <a:ext uri="{FF2B5EF4-FFF2-40B4-BE49-F238E27FC236}">
              <a16:creationId xmlns:a16="http://schemas.microsoft.com/office/drawing/2014/main" id="{00000000-0008-0000-0600-00004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1" name="Picture 33" descr="España">
          <a:hlinkClick xmlns:r="http://schemas.openxmlformats.org/officeDocument/2006/relationships" r:id="rId63"/>
          <a:extLst>
            <a:ext uri="{FF2B5EF4-FFF2-40B4-BE49-F238E27FC236}">
              <a16:creationId xmlns:a16="http://schemas.microsoft.com/office/drawing/2014/main" id="{00000000-0008-0000-0600-00004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2" name="Picture 37" descr="România">
          <a:hlinkClick xmlns:r="http://schemas.openxmlformats.org/officeDocument/2006/relationships" r:id="rId76"/>
          <a:extLst>
            <a:ext uri="{FF2B5EF4-FFF2-40B4-BE49-F238E27FC236}">
              <a16:creationId xmlns:a16="http://schemas.microsoft.com/office/drawing/2014/main" id="{00000000-0008-0000-0600-00004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3" name="Picture 7" descr="España">
          <a:hlinkClick xmlns:r="http://schemas.openxmlformats.org/officeDocument/2006/relationships" r:id="rId77"/>
          <a:extLst>
            <a:ext uri="{FF2B5EF4-FFF2-40B4-BE49-F238E27FC236}">
              <a16:creationId xmlns:a16="http://schemas.microsoft.com/office/drawing/2014/main" id="{00000000-0008-0000-0600-00004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4" name="Picture 9" descr="España">
          <a:hlinkClick xmlns:r="http://schemas.openxmlformats.org/officeDocument/2006/relationships" r:id="rId77"/>
          <a:extLst>
            <a:ext uri="{FF2B5EF4-FFF2-40B4-BE49-F238E27FC236}">
              <a16:creationId xmlns:a16="http://schemas.microsoft.com/office/drawing/2014/main" id="{00000000-0008-0000-0600-00004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5" name="Picture 10" descr="Suomi">
          <a:hlinkClick xmlns:r="http://schemas.openxmlformats.org/officeDocument/2006/relationships" r:id="rId78"/>
          <a:extLst>
            <a:ext uri="{FF2B5EF4-FFF2-40B4-BE49-F238E27FC236}">
              <a16:creationId xmlns:a16="http://schemas.microsoft.com/office/drawing/2014/main" id="{00000000-0008-0000-0600-00004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6" name="Picture 12" descr="Deutschland">
          <a:hlinkClick xmlns:r="http://schemas.openxmlformats.org/officeDocument/2006/relationships" r:id="rId79"/>
          <a:extLst>
            <a:ext uri="{FF2B5EF4-FFF2-40B4-BE49-F238E27FC236}">
              <a16:creationId xmlns:a16="http://schemas.microsoft.com/office/drawing/2014/main" id="{00000000-0008-0000-0600-00004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7" name="Picture 13" descr="España">
          <a:hlinkClick xmlns:r="http://schemas.openxmlformats.org/officeDocument/2006/relationships" r:id="rId77"/>
          <a:extLst>
            <a:ext uri="{FF2B5EF4-FFF2-40B4-BE49-F238E27FC236}">
              <a16:creationId xmlns:a16="http://schemas.microsoft.com/office/drawing/2014/main" id="{00000000-0008-0000-0600-00004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8" name="Picture 15" descr="Colombia">
          <a:hlinkClick xmlns:r="http://schemas.openxmlformats.org/officeDocument/2006/relationships" r:id="rId80"/>
          <a:extLst>
            <a:ext uri="{FF2B5EF4-FFF2-40B4-BE49-F238E27FC236}">
              <a16:creationId xmlns:a16="http://schemas.microsoft.com/office/drawing/2014/main" id="{00000000-0008-0000-0600-00004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9" name="Picture 16" descr="Portugal">
          <a:hlinkClick xmlns:r="http://schemas.openxmlformats.org/officeDocument/2006/relationships" r:id="rId81"/>
          <a:extLst>
            <a:ext uri="{FF2B5EF4-FFF2-40B4-BE49-F238E27FC236}">
              <a16:creationId xmlns:a16="http://schemas.microsoft.com/office/drawing/2014/main" id="{00000000-0008-0000-0600-00004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0" name="Picture 17" descr="Nederland">
          <a:hlinkClick xmlns:r="http://schemas.openxmlformats.org/officeDocument/2006/relationships" r:id="rId82"/>
          <a:extLst>
            <a:ext uri="{FF2B5EF4-FFF2-40B4-BE49-F238E27FC236}">
              <a16:creationId xmlns:a16="http://schemas.microsoft.com/office/drawing/2014/main" id="{00000000-0008-0000-0600-00004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1" name="Picture 18" descr="Northern Ireland">
          <a:hlinkClick xmlns:r="http://schemas.openxmlformats.org/officeDocument/2006/relationships" r:id="rId83"/>
          <a:extLst>
            <a:ext uri="{FF2B5EF4-FFF2-40B4-BE49-F238E27FC236}">
              <a16:creationId xmlns:a16="http://schemas.microsoft.com/office/drawing/2014/main" id="{00000000-0008-0000-0600-00004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2" name="Picture 19" descr="China">
          <a:hlinkClick xmlns:r="http://schemas.openxmlformats.org/officeDocument/2006/relationships" r:id="rId84"/>
          <a:extLst>
            <a:ext uri="{FF2B5EF4-FFF2-40B4-BE49-F238E27FC236}">
              <a16:creationId xmlns:a16="http://schemas.microsoft.com/office/drawing/2014/main" id="{00000000-0008-0000-0600-00005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3" name="Picture 20" descr="Polska">
          <a:hlinkClick xmlns:r="http://schemas.openxmlformats.org/officeDocument/2006/relationships" r:id="rId85"/>
          <a:extLst>
            <a:ext uri="{FF2B5EF4-FFF2-40B4-BE49-F238E27FC236}">
              <a16:creationId xmlns:a16="http://schemas.microsoft.com/office/drawing/2014/main" id="{00000000-0008-0000-0600-00005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4" name="Picture 21" descr="Deutschland">
          <a:hlinkClick xmlns:r="http://schemas.openxmlformats.org/officeDocument/2006/relationships" r:id="rId79"/>
          <a:extLst>
            <a:ext uri="{FF2B5EF4-FFF2-40B4-BE49-F238E27FC236}">
              <a16:creationId xmlns:a16="http://schemas.microsoft.com/office/drawing/2014/main" id="{00000000-0008-0000-0600-00005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5" name="Picture 22" descr="Danmark">
          <a:hlinkClick xmlns:r="http://schemas.openxmlformats.org/officeDocument/2006/relationships" r:id="rId86"/>
          <a:extLst>
            <a:ext uri="{FF2B5EF4-FFF2-40B4-BE49-F238E27FC236}">
              <a16:creationId xmlns:a16="http://schemas.microsoft.com/office/drawing/2014/main" id="{00000000-0008-0000-0600-00005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6" name="Picture 24" descr="España">
          <a:hlinkClick xmlns:r="http://schemas.openxmlformats.org/officeDocument/2006/relationships" r:id="rId77"/>
          <a:extLst>
            <a:ext uri="{FF2B5EF4-FFF2-40B4-BE49-F238E27FC236}">
              <a16:creationId xmlns:a16="http://schemas.microsoft.com/office/drawing/2014/main" id="{00000000-0008-0000-0600-00005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7" name="Picture 26" descr="România">
          <a:hlinkClick xmlns:r="http://schemas.openxmlformats.org/officeDocument/2006/relationships" r:id="rId89"/>
          <a:extLst>
            <a:ext uri="{FF2B5EF4-FFF2-40B4-BE49-F238E27FC236}">
              <a16:creationId xmlns:a16="http://schemas.microsoft.com/office/drawing/2014/main" id="{00000000-0008-0000-0600-00005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8" name="Picture 28" descr="España">
          <a:hlinkClick xmlns:r="http://schemas.openxmlformats.org/officeDocument/2006/relationships" r:id="rId77"/>
          <a:extLst>
            <a:ext uri="{FF2B5EF4-FFF2-40B4-BE49-F238E27FC236}">
              <a16:creationId xmlns:a16="http://schemas.microsoft.com/office/drawing/2014/main" id="{00000000-0008-0000-0600-00005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9" name="Picture 29" descr="España">
          <a:hlinkClick xmlns:r="http://schemas.openxmlformats.org/officeDocument/2006/relationships" r:id="rId77"/>
          <a:extLst>
            <a:ext uri="{FF2B5EF4-FFF2-40B4-BE49-F238E27FC236}">
              <a16:creationId xmlns:a16="http://schemas.microsoft.com/office/drawing/2014/main" id="{00000000-0008-0000-0600-00005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0" name="Picture 30" descr="España">
          <a:hlinkClick xmlns:r="http://schemas.openxmlformats.org/officeDocument/2006/relationships" r:id="rId77"/>
          <a:extLst>
            <a:ext uri="{FF2B5EF4-FFF2-40B4-BE49-F238E27FC236}">
              <a16:creationId xmlns:a16="http://schemas.microsoft.com/office/drawing/2014/main" id="{00000000-0008-0000-0600-00005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1" name="Picture 33" descr="Polska">
          <a:hlinkClick xmlns:r="http://schemas.openxmlformats.org/officeDocument/2006/relationships" r:id="rId85"/>
          <a:extLst>
            <a:ext uri="{FF2B5EF4-FFF2-40B4-BE49-F238E27FC236}">
              <a16:creationId xmlns:a16="http://schemas.microsoft.com/office/drawing/2014/main" id="{00000000-0008-0000-0600-00005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2" name="Picture 37" descr="Portugal">
          <a:hlinkClick xmlns:r="http://schemas.openxmlformats.org/officeDocument/2006/relationships" r:id="rId81"/>
          <a:extLst>
            <a:ext uri="{FF2B5EF4-FFF2-40B4-BE49-F238E27FC236}">
              <a16:creationId xmlns:a16="http://schemas.microsoft.com/office/drawing/2014/main" id="{00000000-0008-0000-0600-00005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3" name="Picture 2" descr="España">
          <a:hlinkClick xmlns:r="http://schemas.openxmlformats.org/officeDocument/2006/relationships" r:id="rId90"/>
          <a:extLst>
            <a:ext uri="{FF2B5EF4-FFF2-40B4-BE49-F238E27FC236}">
              <a16:creationId xmlns:a16="http://schemas.microsoft.com/office/drawing/2014/main" id="{00000000-0008-0000-0600-00005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4" name="Picture 3" descr="USA">
          <a:hlinkClick xmlns:r="http://schemas.openxmlformats.org/officeDocument/2006/relationships" r:id="rId91"/>
          <a:extLst>
            <a:ext uri="{FF2B5EF4-FFF2-40B4-BE49-F238E27FC236}">
              <a16:creationId xmlns:a16="http://schemas.microsoft.com/office/drawing/2014/main" id="{00000000-0008-0000-0600-00005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5" name="Picture 5" descr="España">
          <a:hlinkClick xmlns:r="http://schemas.openxmlformats.org/officeDocument/2006/relationships" r:id="rId90"/>
          <a:extLst>
            <a:ext uri="{FF2B5EF4-FFF2-40B4-BE49-F238E27FC236}">
              <a16:creationId xmlns:a16="http://schemas.microsoft.com/office/drawing/2014/main" id="{00000000-0008-0000-0600-00005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6" name="Picture 6" descr="España">
          <a:hlinkClick xmlns:r="http://schemas.openxmlformats.org/officeDocument/2006/relationships" r:id="rId90"/>
          <a:extLst>
            <a:ext uri="{FF2B5EF4-FFF2-40B4-BE49-F238E27FC236}">
              <a16:creationId xmlns:a16="http://schemas.microsoft.com/office/drawing/2014/main" id="{00000000-0008-0000-0600-00005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7" name="Picture 8" descr="Česká republika">
          <a:hlinkClick xmlns:r="http://schemas.openxmlformats.org/officeDocument/2006/relationships" r:id="rId92"/>
          <a:extLst>
            <a:ext uri="{FF2B5EF4-FFF2-40B4-BE49-F238E27FC236}">
              <a16:creationId xmlns:a16="http://schemas.microsoft.com/office/drawing/2014/main" id="{00000000-0008-0000-0600-00005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8" name="Picture 9" descr="Sverige">
          <a:hlinkClick xmlns:r="http://schemas.openxmlformats.org/officeDocument/2006/relationships" r:id="rId93"/>
          <a:extLst>
            <a:ext uri="{FF2B5EF4-FFF2-40B4-BE49-F238E27FC236}">
              <a16:creationId xmlns:a16="http://schemas.microsoft.com/office/drawing/2014/main" id="{00000000-0008-0000-0600-00006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9" name="Picture 11" descr="Suomi">
          <a:hlinkClick xmlns:r="http://schemas.openxmlformats.org/officeDocument/2006/relationships" r:id="rId94"/>
          <a:extLst>
            <a:ext uri="{FF2B5EF4-FFF2-40B4-BE49-F238E27FC236}">
              <a16:creationId xmlns:a16="http://schemas.microsoft.com/office/drawing/2014/main" id="{00000000-0008-0000-0600-00006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0" name="Picture 12" descr="España">
          <a:hlinkClick xmlns:r="http://schemas.openxmlformats.org/officeDocument/2006/relationships" r:id="rId90"/>
          <a:extLst>
            <a:ext uri="{FF2B5EF4-FFF2-40B4-BE49-F238E27FC236}">
              <a16:creationId xmlns:a16="http://schemas.microsoft.com/office/drawing/2014/main" id="{00000000-0008-0000-0600-00006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1" name="Picture 13" descr="Nederland">
          <a:hlinkClick xmlns:r="http://schemas.openxmlformats.org/officeDocument/2006/relationships" r:id="rId95"/>
          <a:extLst>
            <a:ext uri="{FF2B5EF4-FFF2-40B4-BE49-F238E27FC236}">
              <a16:creationId xmlns:a16="http://schemas.microsoft.com/office/drawing/2014/main" id="{00000000-0008-0000-0600-00006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2" name="Picture 14" descr="Italia">
          <a:hlinkClick xmlns:r="http://schemas.openxmlformats.org/officeDocument/2006/relationships" r:id="rId96"/>
          <a:extLst>
            <a:ext uri="{FF2B5EF4-FFF2-40B4-BE49-F238E27FC236}">
              <a16:creationId xmlns:a16="http://schemas.microsoft.com/office/drawing/2014/main" id="{00000000-0008-0000-0600-00006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3" name="Picture 16" descr="España">
          <a:hlinkClick xmlns:r="http://schemas.openxmlformats.org/officeDocument/2006/relationships" r:id="rId90"/>
          <a:extLst>
            <a:ext uri="{FF2B5EF4-FFF2-40B4-BE49-F238E27FC236}">
              <a16:creationId xmlns:a16="http://schemas.microsoft.com/office/drawing/2014/main" id="{00000000-0008-0000-0600-00006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4" name="Picture 18" descr="France">
          <a:hlinkClick xmlns:r="http://schemas.openxmlformats.org/officeDocument/2006/relationships" r:id="rId97"/>
          <a:extLst>
            <a:ext uri="{FF2B5EF4-FFF2-40B4-BE49-F238E27FC236}">
              <a16:creationId xmlns:a16="http://schemas.microsoft.com/office/drawing/2014/main" id="{00000000-0008-0000-0600-00006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5" name="Picture 19" descr="France">
          <a:hlinkClick xmlns:r="http://schemas.openxmlformats.org/officeDocument/2006/relationships" r:id="rId97"/>
          <a:extLst>
            <a:ext uri="{FF2B5EF4-FFF2-40B4-BE49-F238E27FC236}">
              <a16:creationId xmlns:a16="http://schemas.microsoft.com/office/drawing/2014/main" id="{00000000-0008-0000-0600-00006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6" name="Picture 21" descr="Argentina">
          <a:hlinkClick xmlns:r="http://schemas.openxmlformats.org/officeDocument/2006/relationships" r:id="rId98"/>
          <a:extLst>
            <a:ext uri="{FF2B5EF4-FFF2-40B4-BE49-F238E27FC236}">
              <a16:creationId xmlns:a16="http://schemas.microsoft.com/office/drawing/2014/main" id="{00000000-0008-0000-0600-00006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7" name="Picture 23" descr="España">
          <a:hlinkClick xmlns:r="http://schemas.openxmlformats.org/officeDocument/2006/relationships" r:id="rId90"/>
          <a:extLst>
            <a:ext uri="{FF2B5EF4-FFF2-40B4-BE49-F238E27FC236}">
              <a16:creationId xmlns:a16="http://schemas.microsoft.com/office/drawing/2014/main" id="{00000000-0008-0000-0600-00006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8" name="Picture 25" descr="Lubnan">
          <a:hlinkClick xmlns:r="http://schemas.openxmlformats.org/officeDocument/2006/relationships" r:id="rId99"/>
          <a:extLst>
            <a:ext uri="{FF2B5EF4-FFF2-40B4-BE49-F238E27FC236}">
              <a16:creationId xmlns:a16="http://schemas.microsoft.com/office/drawing/2014/main" id="{00000000-0008-0000-0600-00006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9" name="Picture 27" descr="Magyarország">
          <a:hlinkClick xmlns:r="http://schemas.openxmlformats.org/officeDocument/2006/relationships" r:id="rId100"/>
          <a:extLst>
            <a:ext uri="{FF2B5EF4-FFF2-40B4-BE49-F238E27FC236}">
              <a16:creationId xmlns:a16="http://schemas.microsoft.com/office/drawing/2014/main" id="{00000000-0008-0000-0600-00006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0" name="Picture 29" descr="Uruguay">
          <a:hlinkClick xmlns:r="http://schemas.openxmlformats.org/officeDocument/2006/relationships" r:id="rId101"/>
          <a:extLst>
            <a:ext uri="{FF2B5EF4-FFF2-40B4-BE49-F238E27FC236}">
              <a16:creationId xmlns:a16="http://schemas.microsoft.com/office/drawing/2014/main" id="{00000000-0008-0000-0600-00006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1" name="Picture 30" descr="Italia">
          <a:hlinkClick xmlns:r="http://schemas.openxmlformats.org/officeDocument/2006/relationships" r:id="rId96"/>
          <a:extLst>
            <a:ext uri="{FF2B5EF4-FFF2-40B4-BE49-F238E27FC236}">
              <a16:creationId xmlns:a16="http://schemas.microsoft.com/office/drawing/2014/main" id="{00000000-0008-0000-0600-00006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2" name="Picture 31" descr="Nederland">
          <a:hlinkClick xmlns:r="http://schemas.openxmlformats.org/officeDocument/2006/relationships" r:id="rId95"/>
          <a:extLst>
            <a:ext uri="{FF2B5EF4-FFF2-40B4-BE49-F238E27FC236}">
              <a16:creationId xmlns:a16="http://schemas.microsoft.com/office/drawing/2014/main" id="{00000000-0008-0000-0600-00006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3" name="Picture 32" descr="Italia">
          <a:hlinkClick xmlns:r="http://schemas.openxmlformats.org/officeDocument/2006/relationships" r:id="rId96"/>
          <a:extLst>
            <a:ext uri="{FF2B5EF4-FFF2-40B4-BE49-F238E27FC236}">
              <a16:creationId xmlns:a16="http://schemas.microsoft.com/office/drawing/2014/main" id="{00000000-0008-0000-0600-00006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4" name="Picture 34" descr="Deutschland">
          <a:hlinkClick xmlns:r="http://schemas.openxmlformats.org/officeDocument/2006/relationships" r:id="rId102"/>
          <a:extLst>
            <a:ext uri="{FF2B5EF4-FFF2-40B4-BE49-F238E27FC236}">
              <a16:creationId xmlns:a16="http://schemas.microsoft.com/office/drawing/2014/main" id="{00000000-0008-0000-0600-00007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5" name="Picture 36" descr="Israel">
          <a:hlinkClick xmlns:r="http://schemas.openxmlformats.org/officeDocument/2006/relationships" r:id="rId103"/>
          <a:extLst>
            <a:ext uri="{FF2B5EF4-FFF2-40B4-BE49-F238E27FC236}">
              <a16:creationId xmlns:a16="http://schemas.microsoft.com/office/drawing/2014/main" id="{00000000-0008-0000-0600-00007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6" name="Picture 37" descr="Slovensko">
          <a:hlinkClick xmlns:r="http://schemas.openxmlformats.org/officeDocument/2006/relationships" r:id="rId104"/>
          <a:extLst>
            <a:ext uri="{FF2B5EF4-FFF2-40B4-BE49-F238E27FC236}">
              <a16:creationId xmlns:a16="http://schemas.microsoft.com/office/drawing/2014/main" id="{00000000-0008-0000-0600-00007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7" name="Picture 2" descr="España">
          <a:hlinkClick xmlns:r="http://schemas.openxmlformats.org/officeDocument/2006/relationships" r:id="rId90"/>
          <a:extLst>
            <a:ext uri="{FF2B5EF4-FFF2-40B4-BE49-F238E27FC236}">
              <a16:creationId xmlns:a16="http://schemas.microsoft.com/office/drawing/2014/main" id="{00000000-0008-0000-0600-00007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8" name="Picture 3" descr="USA">
          <a:hlinkClick xmlns:r="http://schemas.openxmlformats.org/officeDocument/2006/relationships" r:id="rId91"/>
          <a:extLst>
            <a:ext uri="{FF2B5EF4-FFF2-40B4-BE49-F238E27FC236}">
              <a16:creationId xmlns:a16="http://schemas.microsoft.com/office/drawing/2014/main" id="{00000000-0008-0000-0600-00007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9" name="Picture 5" descr="España">
          <a:hlinkClick xmlns:r="http://schemas.openxmlformats.org/officeDocument/2006/relationships" r:id="rId90"/>
          <a:extLst>
            <a:ext uri="{FF2B5EF4-FFF2-40B4-BE49-F238E27FC236}">
              <a16:creationId xmlns:a16="http://schemas.microsoft.com/office/drawing/2014/main" id="{00000000-0008-0000-0600-00007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0" name="Picture 6" descr="España">
          <a:hlinkClick xmlns:r="http://schemas.openxmlformats.org/officeDocument/2006/relationships" r:id="rId90"/>
          <a:extLst>
            <a:ext uri="{FF2B5EF4-FFF2-40B4-BE49-F238E27FC236}">
              <a16:creationId xmlns:a16="http://schemas.microsoft.com/office/drawing/2014/main" id="{00000000-0008-0000-0600-00007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1" name="Picture 8" descr="Česká republika">
          <a:hlinkClick xmlns:r="http://schemas.openxmlformats.org/officeDocument/2006/relationships" r:id="rId92"/>
          <a:extLst>
            <a:ext uri="{FF2B5EF4-FFF2-40B4-BE49-F238E27FC236}">
              <a16:creationId xmlns:a16="http://schemas.microsoft.com/office/drawing/2014/main" id="{00000000-0008-0000-0600-00007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2" name="Picture 9" descr="Sverige">
          <a:hlinkClick xmlns:r="http://schemas.openxmlformats.org/officeDocument/2006/relationships" r:id="rId93"/>
          <a:extLst>
            <a:ext uri="{FF2B5EF4-FFF2-40B4-BE49-F238E27FC236}">
              <a16:creationId xmlns:a16="http://schemas.microsoft.com/office/drawing/2014/main" id="{00000000-0008-0000-0600-00007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3" name="Picture 11" descr="Suomi">
          <a:hlinkClick xmlns:r="http://schemas.openxmlformats.org/officeDocument/2006/relationships" r:id="rId94"/>
          <a:extLst>
            <a:ext uri="{FF2B5EF4-FFF2-40B4-BE49-F238E27FC236}">
              <a16:creationId xmlns:a16="http://schemas.microsoft.com/office/drawing/2014/main" id="{00000000-0008-0000-0600-00007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4" name="Picture 12" descr="España">
          <a:hlinkClick xmlns:r="http://schemas.openxmlformats.org/officeDocument/2006/relationships" r:id="rId90"/>
          <a:extLst>
            <a:ext uri="{FF2B5EF4-FFF2-40B4-BE49-F238E27FC236}">
              <a16:creationId xmlns:a16="http://schemas.microsoft.com/office/drawing/2014/main" id="{00000000-0008-0000-0600-00007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5" name="Picture 13" descr="Nederland">
          <a:hlinkClick xmlns:r="http://schemas.openxmlformats.org/officeDocument/2006/relationships" r:id="rId95"/>
          <a:extLst>
            <a:ext uri="{FF2B5EF4-FFF2-40B4-BE49-F238E27FC236}">
              <a16:creationId xmlns:a16="http://schemas.microsoft.com/office/drawing/2014/main" id="{00000000-0008-0000-0600-00007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6" name="Picture 14" descr="Italia">
          <a:hlinkClick xmlns:r="http://schemas.openxmlformats.org/officeDocument/2006/relationships" r:id="rId96"/>
          <a:extLst>
            <a:ext uri="{FF2B5EF4-FFF2-40B4-BE49-F238E27FC236}">
              <a16:creationId xmlns:a16="http://schemas.microsoft.com/office/drawing/2014/main" id="{00000000-0008-0000-0600-00007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7" name="Picture 16" descr="España">
          <a:hlinkClick xmlns:r="http://schemas.openxmlformats.org/officeDocument/2006/relationships" r:id="rId90"/>
          <a:extLst>
            <a:ext uri="{FF2B5EF4-FFF2-40B4-BE49-F238E27FC236}">
              <a16:creationId xmlns:a16="http://schemas.microsoft.com/office/drawing/2014/main" id="{00000000-0008-0000-0600-00007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8" name="Picture 18" descr="France">
          <a:hlinkClick xmlns:r="http://schemas.openxmlformats.org/officeDocument/2006/relationships" r:id="rId97"/>
          <a:extLst>
            <a:ext uri="{FF2B5EF4-FFF2-40B4-BE49-F238E27FC236}">
              <a16:creationId xmlns:a16="http://schemas.microsoft.com/office/drawing/2014/main" id="{00000000-0008-0000-0600-00007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9" name="Picture 19" descr="France">
          <a:hlinkClick xmlns:r="http://schemas.openxmlformats.org/officeDocument/2006/relationships" r:id="rId97"/>
          <a:extLst>
            <a:ext uri="{FF2B5EF4-FFF2-40B4-BE49-F238E27FC236}">
              <a16:creationId xmlns:a16="http://schemas.microsoft.com/office/drawing/2014/main" id="{00000000-0008-0000-0600-00007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0" name="Picture 21" descr="Argentina">
          <a:hlinkClick xmlns:r="http://schemas.openxmlformats.org/officeDocument/2006/relationships" r:id="rId98"/>
          <a:extLst>
            <a:ext uri="{FF2B5EF4-FFF2-40B4-BE49-F238E27FC236}">
              <a16:creationId xmlns:a16="http://schemas.microsoft.com/office/drawing/2014/main" id="{00000000-0008-0000-0600-00008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1" name="Picture 23" descr="España">
          <a:hlinkClick xmlns:r="http://schemas.openxmlformats.org/officeDocument/2006/relationships" r:id="rId90"/>
          <a:extLst>
            <a:ext uri="{FF2B5EF4-FFF2-40B4-BE49-F238E27FC236}">
              <a16:creationId xmlns:a16="http://schemas.microsoft.com/office/drawing/2014/main" id="{00000000-0008-0000-0600-00008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2" name="Picture 25" descr="Lubnan">
          <a:hlinkClick xmlns:r="http://schemas.openxmlformats.org/officeDocument/2006/relationships" r:id="rId99"/>
          <a:extLst>
            <a:ext uri="{FF2B5EF4-FFF2-40B4-BE49-F238E27FC236}">
              <a16:creationId xmlns:a16="http://schemas.microsoft.com/office/drawing/2014/main" id="{00000000-0008-0000-0600-00008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3" name="Picture 27" descr="Magyarország">
          <a:hlinkClick xmlns:r="http://schemas.openxmlformats.org/officeDocument/2006/relationships" r:id="rId100"/>
          <a:extLst>
            <a:ext uri="{FF2B5EF4-FFF2-40B4-BE49-F238E27FC236}">
              <a16:creationId xmlns:a16="http://schemas.microsoft.com/office/drawing/2014/main" id="{00000000-0008-0000-0600-00008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4" name="Picture 29" descr="Uruguay">
          <a:hlinkClick xmlns:r="http://schemas.openxmlformats.org/officeDocument/2006/relationships" r:id="rId101"/>
          <a:extLst>
            <a:ext uri="{FF2B5EF4-FFF2-40B4-BE49-F238E27FC236}">
              <a16:creationId xmlns:a16="http://schemas.microsoft.com/office/drawing/2014/main" id="{00000000-0008-0000-0600-00008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5" name="Picture 30" descr="Italia">
          <a:hlinkClick xmlns:r="http://schemas.openxmlformats.org/officeDocument/2006/relationships" r:id="rId96"/>
          <a:extLst>
            <a:ext uri="{FF2B5EF4-FFF2-40B4-BE49-F238E27FC236}">
              <a16:creationId xmlns:a16="http://schemas.microsoft.com/office/drawing/2014/main" id="{00000000-0008-0000-0600-00008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6" name="Picture 31" descr="Nederland">
          <a:hlinkClick xmlns:r="http://schemas.openxmlformats.org/officeDocument/2006/relationships" r:id="rId95"/>
          <a:extLst>
            <a:ext uri="{FF2B5EF4-FFF2-40B4-BE49-F238E27FC236}">
              <a16:creationId xmlns:a16="http://schemas.microsoft.com/office/drawing/2014/main" id="{00000000-0008-0000-0600-00008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7" name="Picture 32" descr="Italia">
          <a:hlinkClick xmlns:r="http://schemas.openxmlformats.org/officeDocument/2006/relationships" r:id="rId96"/>
          <a:extLst>
            <a:ext uri="{FF2B5EF4-FFF2-40B4-BE49-F238E27FC236}">
              <a16:creationId xmlns:a16="http://schemas.microsoft.com/office/drawing/2014/main" id="{00000000-0008-0000-0600-00008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8" name="Picture 34" descr="Deutschland">
          <a:hlinkClick xmlns:r="http://schemas.openxmlformats.org/officeDocument/2006/relationships" r:id="rId102"/>
          <a:extLst>
            <a:ext uri="{FF2B5EF4-FFF2-40B4-BE49-F238E27FC236}">
              <a16:creationId xmlns:a16="http://schemas.microsoft.com/office/drawing/2014/main" id="{00000000-0008-0000-0600-00008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9" name="Picture 36" descr="Israel">
          <a:hlinkClick xmlns:r="http://schemas.openxmlformats.org/officeDocument/2006/relationships" r:id="rId103"/>
          <a:extLst>
            <a:ext uri="{FF2B5EF4-FFF2-40B4-BE49-F238E27FC236}">
              <a16:creationId xmlns:a16="http://schemas.microsoft.com/office/drawing/2014/main" id="{00000000-0008-0000-0600-00008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0" name="Picture 37" descr="Slovensko">
          <a:hlinkClick xmlns:r="http://schemas.openxmlformats.org/officeDocument/2006/relationships" r:id="rId104"/>
          <a:extLst>
            <a:ext uri="{FF2B5EF4-FFF2-40B4-BE49-F238E27FC236}">
              <a16:creationId xmlns:a16="http://schemas.microsoft.com/office/drawing/2014/main" id="{00000000-0008-0000-0600-00008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1" name="Picture 2" descr="España">
          <a:hlinkClick xmlns:r="http://schemas.openxmlformats.org/officeDocument/2006/relationships" r:id="rId90"/>
          <a:extLst>
            <a:ext uri="{FF2B5EF4-FFF2-40B4-BE49-F238E27FC236}">
              <a16:creationId xmlns:a16="http://schemas.microsoft.com/office/drawing/2014/main" id="{00000000-0008-0000-0600-00008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2" name="Picture 3" descr="USA">
          <a:hlinkClick xmlns:r="http://schemas.openxmlformats.org/officeDocument/2006/relationships" r:id="rId91"/>
          <a:extLst>
            <a:ext uri="{FF2B5EF4-FFF2-40B4-BE49-F238E27FC236}">
              <a16:creationId xmlns:a16="http://schemas.microsoft.com/office/drawing/2014/main" id="{00000000-0008-0000-0600-00008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3" name="Picture 5" descr="España">
          <a:hlinkClick xmlns:r="http://schemas.openxmlformats.org/officeDocument/2006/relationships" r:id="rId90"/>
          <a:extLst>
            <a:ext uri="{FF2B5EF4-FFF2-40B4-BE49-F238E27FC236}">
              <a16:creationId xmlns:a16="http://schemas.microsoft.com/office/drawing/2014/main" id="{00000000-0008-0000-0600-00008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4" name="Picture 6" descr="España">
          <a:hlinkClick xmlns:r="http://schemas.openxmlformats.org/officeDocument/2006/relationships" r:id="rId90"/>
          <a:extLst>
            <a:ext uri="{FF2B5EF4-FFF2-40B4-BE49-F238E27FC236}">
              <a16:creationId xmlns:a16="http://schemas.microsoft.com/office/drawing/2014/main" id="{00000000-0008-0000-0600-00008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5" name="Picture 8" descr="Česká republika">
          <a:hlinkClick xmlns:r="http://schemas.openxmlformats.org/officeDocument/2006/relationships" r:id="rId92"/>
          <a:extLst>
            <a:ext uri="{FF2B5EF4-FFF2-40B4-BE49-F238E27FC236}">
              <a16:creationId xmlns:a16="http://schemas.microsoft.com/office/drawing/2014/main" id="{00000000-0008-0000-0600-00008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6" name="Picture 9" descr="Sverige">
          <a:hlinkClick xmlns:r="http://schemas.openxmlformats.org/officeDocument/2006/relationships" r:id="rId93"/>
          <a:extLst>
            <a:ext uri="{FF2B5EF4-FFF2-40B4-BE49-F238E27FC236}">
              <a16:creationId xmlns:a16="http://schemas.microsoft.com/office/drawing/2014/main" id="{00000000-0008-0000-0600-00009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7" name="Picture 11" descr="Suomi">
          <a:hlinkClick xmlns:r="http://schemas.openxmlformats.org/officeDocument/2006/relationships" r:id="rId94"/>
          <a:extLst>
            <a:ext uri="{FF2B5EF4-FFF2-40B4-BE49-F238E27FC236}">
              <a16:creationId xmlns:a16="http://schemas.microsoft.com/office/drawing/2014/main" id="{00000000-0008-0000-0600-00009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8" name="Picture 12" descr="España">
          <a:hlinkClick xmlns:r="http://schemas.openxmlformats.org/officeDocument/2006/relationships" r:id="rId90"/>
          <a:extLst>
            <a:ext uri="{FF2B5EF4-FFF2-40B4-BE49-F238E27FC236}">
              <a16:creationId xmlns:a16="http://schemas.microsoft.com/office/drawing/2014/main" id="{00000000-0008-0000-0600-00009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9" name="Picture 13" descr="Nederland">
          <a:hlinkClick xmlns:r="http://schemas.openxmlformats.org/officeDocument/2006/relationships" r:id="rId95"/>
          <a:extLst>
            <a:ext uri="{FF2B5EF4-FFF2-40B4-BE49-F238E27FC236}">
              <a16:creationId xmlns:a16="http://schemas.microsoft.com/office/drawing/2014/main" id="{00000000-0008-0000-0600-00009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0" name="Picture 14" descr="Italia">
          <a:hlinkClick xmlns:r="http://schemas.openxmlformats.org/officeDocument/2006/relationships" r:id="rId96"/>
          <a:extLst>
            <a:ext uri="{FF2B5EF4-FFF2-40B4-BE49-F238E27FC236}">
              <a16:creationId xmlns:a16="http://schemas.microsoft.com/office/drawing/2014/main" id="{00000000-0008-0000-0600-00009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1" name="Picture 16" descr="España">
          <a:hlinkClick xmlns:r="http://schemas.openxmlformats.org/officeDocument/2006/relationships" r:id="rId90"/>
          <a:extLst>
            <a:ext uri="{FF2B5EF4-FFF2-40B4-BE49-F238E27FC236}">
              <a16:creationId xmlns:a16="http://schemas.microsoft.com/office/drawing/2014/main" id="{00000000-0008-0000-0600-00009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2" name="Picture 18" descr="France">
          <a:hlinkClick xmlns:r="http://schemas.openxmlformats.org/officeDocument/2006/relationships" r:id="rId97"/>
          <a:extLst>
            <a:ext uri="{FF2B5EF4-FFF2-40B4-BE49-F238E27FC236}">
              <a16:creationId xmlns:a16="http://schemas.microsoft.com/office/drawing/2014/main" id="{00000000-0008-0000-0600-00009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3" name="Picture 19" descr="France">
          <a:hlinkClick xmlns:r="http://schemas.openxmlformats.org/officeDocument/2006/relationships" r:id="rId97"/>
          <a:extLst>
            <a:ext uri="{FF2B5EF4-FFF2-40B4-BE49-F238E27FC236}">
              <a16:creationId xmlns:a16="http://schemas.microsoft.com/office/drawing/2014/main" id="{00000000-0008-0000-0600-00009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4" name="Picture 21" descr="Argentina">
          <a:hlinkClick xmlns:r="http://schemas.openxmlformats.org/officeDocument/2006/relationships" r:id="rId98"/>
          <a:extLst>
            <a:ext uri="{FF2B5EF4-FFF2-40B4-BE49-F238E27FC236}">
              <a16:creationId xmlns:a16="http://schemas.microsoft.com/office/drawing/2014/main" id="{00000000-0008-0000-0600-00009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5" name="Picture 23" descr="España">
          <a:hlinkClick xmlns:r="http://schemas.openxmlformats.org/officeDocument/2006/relationships" r:id="rId90"/>
          <a:extLst>
            <a:ext uri="{FF2B5EF4-FFF2-40B4-BE49-F238E27FC236}">
              <a16:creationId xmlns:a16="http://schemas.microsoft.com/office/drawing/2014/main" id="{00000000-0008-0000-0600-00009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6" name="Picture 25" descr="Lubnan">
          <a:hlinkClick xmlns:r="http://schemas.openxmlformats.org/officeDocument/2006/relationships" r:id="rId99"/>
          <a:extLst>
            <a:ext uri="{FF2B5EF4-FFF2-40B4-BE49-F238E27FC236}">
              <a16:creationId xmlns:a16="http://schemas.microsoft.com/office/drawing/2014/main" id="{00000000-0008-0000-0600-00009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7" name="Picture 27" descr="Magyarország">
          <a:hlinkClick xmlns:r="http://schemas.openxmlformats.org/officeDocument/2006/relationships" r:id="rId100"/>
          <a:extLst>
            <a:ext uri="{FF2B5EF4-FFF2-40B4-BE49-F238E27FC236}">
              <a16:creationId xmlns:a16="http://schemas.microsoft.com/office/drawing/2014/main" id="{00000000-0008-0000-0600-00009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8" name="Picture 29" descr="Uruguay">
          <a:hlinkClick xmlns:r="http://schemas.openxmlformats.org/officeDocument/2006/relationships" r:id="rId101"/>
          <a:extLst>
            <a:ext uri="{FF2B5EF4-FFF2-40B4-BE49-F238E27FC236}">
              <a16:creationId xmlns:a16="http://schemas.microsoft.com/office/drawing/2014/main" id="{00000000-0008-0000-0600-00009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9" name="Picture 30" descr="Italia">
          <a:hlinkClick xmlns:r="http://schemas.openxmlformats.org/officeDocument/2006/relationships" r:id="rId96"/>
          <a:extLst>
            <a:ext uri="{FF2B5EF4-FFF2-40B4-BE49-F238E27FC236}">
              <a16:creationId xmlns:a16="http://schemas.microsoft.com/office/drawing/2014/main" id="{00000000-0008-0000-0600-00009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0" name="Picture 31" descr="Nederland">
          <a:hlinkClick xmlns:r="http://schemas.openxmlformats.org/officeDocument/2006/relationships" r:id="rId95"/>
          <a:extLst>
            <a:ext uri="{FF2B5EF4-FFF2-40B4-BE49-F238E27FC236}">
              <a16:creationId xmlns:a16="http://schemas.microsoft.com/office/drawing/2014/main" id="{00000000-0008-0000-0600-00009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1" name="Picture 32" descr="Italia">
          <a:hlinkClick xmlns:r="http://schemas.openxmlformats.org/officeDocument/2006/relationships" r:id="rId96"/>
          <a:extLst>
            <a:ext uri="{FF2B5EF4-FFF2-40B4-BE49-F238E27FC236}">
              <a16:creationId xmlns:a16="http://schemas.microsoft.com/office/drawing/2014/main" id="{00000000-0008-0000-0600-00009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2" name="Picture 34" descr="Deutschland">
          <a:hlinkClick xmlns:r="http://schemas.openxmlformats.org/officeDocument/2006/relationships" r:id="rId102"/>
          <a:extLst>
            <a:ext uri="{FF2B5EF4-FFF2-40B4-BE49-F238E27FC236}">
              <a16:creationId xmlns:a16="http://schemas.microsoft.com/office/drawing/2014/main" id="{00000000-0008-0000-0600-0000A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3" name="Picture 36" descr="Israel">
          <a:hlinkClick xmlns:r="http://schemas.openxmlformats.org/officeDocument/2006/relationships" r:id="rId103"/>
          <a:extLst>
            <a:ext uri="{FF2B5EF4-FFF2-40B4-BE49-F238E27FC236}">
              <a16:creationId xmlns:a16="http://schemas.microsoft.com/office/drawing/2014/main" id="{00000000-0008-0000-0600-0000A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4" name="Picture 37" descr="Slovensko">
          <a:hlinkClick xmlns:r="http://schemas.openxmlformats.org/officeDocument/2006/relationships" r:id="rId104"/>
          <a:extLst>
            <a:ext uri="{FF2B5EF4-FFF2-40B4-BE49-F238E27FC236}">
              <a16:creationId xmlns:a16="http://schemas.microsoft.com/office/drawing/2014/main" id="{00000000-0008-0000-0600-0000A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5" name="Picture 2" descr="España">
          <a:hlinkClick xmlns:r="http://schemas.openxmlformats.org/officeDocument/2006/relationships" r:id="rId90"/>
          <a:extLst>
            <a:ext uri="{FF2B5EF4-FFF2-40B4-BE49-F238E27FC236}">
              <a16:creationId xmlns:a16="http://schemas.microsoft.com/office/drawing/2014/main" id="{00000000-0008-0000-0600-0000A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6" name="Picture 3" descr="USA">
          <a:hlinkClick xmlns:r="http://schemas.openxmlformats.org/officeDocument/2006/relationships" r:id="rId91"/>
          <a:extLst>
            <a:ext uri="{FF2B5EF4-FFF2-40B4-BE49-F238E27FC236}">
              <a16:creationId xmlns:a16="http://schemas.microsoft.com/office/drawing/2014/main" id="{00000000-0008-0000-0600-0000A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7" name="Picture 5" descr="España">
          <a:hlinkClick xmlns:r="http://schemas.openxmlformats.org/officeDocument/2006/relationships" r:id="rId90"/>
          <a:extLst>
            <a:ext uri="{FF2B5EF4-FFF2-40B4-BE49-F238E27FC236}">
              <a16:creationId xmlns:a16="http://schemas.microsoft.com/office/drawing/2014/main" id="{00000000-0008-0000-0600-0000A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8" name="Picture 6" descr="España">
          <a:hlinkClick xmlns:r="http://schemas.openxmlformats.org/officeDocument/2006/relationships" r:id="rId90"/>
          <a:extLst>
            <a:ext uri="{FF2B5EF4-FFF2-40B4-BE49-F238E27FC236}">
              <a16:creationId xmlns:a16="http://schemas.microsoft.com/office/drawing/2014/main" id="{00000000-0008-0000-0600-0000A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9" name="Picture 8" descr="Česká republika">
          <a:hlinkClick xmlns:r="http://schemas.openxmlformats.org/officeDocument/2006/relationships" r:id="rId92"/>
          <a:extLst>
            <a:ext uri="{FF2B5EF4-FFF2-40B4-BE49-F238E27FC236}">
              <a16:creationId xmlns:a16="http://schemas.microsoft.com/office/drawing/2014/main" id="{00000000-0008-0000-0600-0000A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0" name="Picture 9" descr="Sverige">
          <a:hlinkClick xmlns:r="http://schemas.openxmlformats.org/officeDocument/2006/relationships" r:id="rId93"/>
          <a:extLst>
            <a:ext uri="{FF2B5EF4-FFF2-40B4-BE49-F238E27FC236}">
              <a16:creationId xmlns:a16="http://schemas.microsoft.com/office/drawing/2014/main" id="{00000000-0008-0000-0600-0000A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1" name="Picture 11" descr="Suomi">
          <a:hlinkClick xmlns:r="http://schemas.openxmlformats.org/officeDocument/2006/relationships" r:id="rId94"/>
          <a:extLst>
            <a:ext uri="{FF2B5EF4-FFF2-40B4-BE49-F238E27FC236}">
              <a16:creationId xmlns:a16="http://schemas.microsoft.com/office/drawing/2014/main" id="{00000000-0008-0000-0600-0000A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2" name="Picture 12" descr="España">
          <a:hlinkClick xmlns:r="http://schemas.openxmlformats.org/officeDocument/2006/relationships" r:id="rId90"/>
          <a:extLst>
            <a:ext uri="{FF2B5EF4-FFF2-40B4-BE49-F238E27FC236}">
              <a16:creationId xmlns:a16="http://schemas.microsoft.com/office/drawing/2014/main" id="{00000000-0008-0000-0600-0000A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3" name="Picture 13" descr="Nederland">
          <a:hlinkClick xmlns:r="http://schemas.openxmlformats.org/officeDocument/2006/relationships" r:id="rId95"/>
          <a:extLst>
            <a:ext uri="{FF2B5EF4-FFF2-40B4-BE49-F238E27FC236}">
              <a16:creationId xmlns:a16="http://schemas.microsoft.com/office/drawing/2014/main" id="{00000000-0008-0000-0600-0000A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4" name="Picture 14" descr="Italia">
          <a:hlinkClick xmlns:r="http://schemas.openxmlformats.org/officeDocument/2006/relationships" r:id="rId96"/>
          <a:extLst>
            <a:ext uri="{FF2B5EF4-FFF2-40B4-BE49-F238E27FC236}">
              <a16:creationId xmlns:a16="http://schemas.microsoft.com/office/drawing/2014/main" id="{00000000-0008-0000-0600-0000A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5" name="Picture 16" descr="España">
          <a:hlinkClick xmlns:r="http://schemas.openxmlformats.org/officeDocument/2006/relationships" r:id="rId90"/>
          <a:extLst>
            <a:ext uri="{FF2B5EF4-FFF2-40B4-BE49-F238E27FC236}">
              <a16:creationId xmlns:a16="http://schemas.microsoft.com/office/drawing/2014/main" id="{00000000-0008-0000-0600-0000A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6" name="Picture 18" descr="France">
          <a:hlinkClick xmlns:r="http://schemas.openxmlformats.org/officeDocument/2006/relationships" r:id="rId97"/>
          <a:extLst>
            <a:ext uri="{FF2B5EF4-FFF2-40B4-BE49-F238E27FC236}">
              <a16:creationId xmlns:a16="http://schemas.microsoft.com/office/drawing/2014/main" id="{00000000-0008-0000-0600-0000A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7" name="Picture 19" descr="France">
          <a:hlinkClick xmlns:r="http://schemas.openxmlformats.org/officeDocument/2006/relationships" r:id="rId97"/>
          <a:extLst>
            <a:ext uri="{FF2B5EF4-FFF2-40B4-BE49-F238E27FC236}">
              <a16:creationId xmlns:a16="http://schemas.microsoft.com/office/drawing/2014/main" id="{00000000-0008-0000-0600-0000A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8" name="Picture 21" descr="Argentina">
          <a:hlinkClick xmlns:r="http://schemas.openxmlformats.org/officeDocument/2006/relationships" r:id="rId98"/>
          <a:extLst>
            <a:ext uri="{FF2B5EF4-FFF2-40B4-BE49-F238E27FC236}">
              <a16:creationId xmlns:a16="http://schemas.microsoft.com/office/drawing/2014/main" id="{00000000-0008-0000-0600-0000B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9" name="Picture 23" descr="España">
          <a:hlinkClick xmlns:r="http://schemas.openxmlformats.org/officeDocument/2006/relationships" r:id="rId90"/>
          <a:extLst>
            <a:ext uri="{FF2B5EF4-FFF2-40B4-BE49-F238E27FC236}">
              <a16:creationId xmlns:a16="http://schemas.microsoft.com/office/drawing/2014/main" id="{00000000-0008-0000-0600-0000B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0" name="Picture 25" descr="Lubnan">
          <a:hlinkClick xmlns:r="http://schemas.openxmlformats.org/officeDocument/2006/relationships" r:id="rId99"/>
          <a:extLst>
            <a:ext uri="{FF2B5EF4-FFF2-40B4-BE49-F238E27FC236}">
              <a16:creationId xmlns:a16="http://schemas.microsoft.com/office/drawing/2014/main" id="{00000000-0008-0000-0600-0000B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1" name="Picture 27" descr="Magyarország">
          <a:hlinkClick xmlns:r="http://schemas.openxmlformats.org/officeDocument/2006/relationships" r:id="rId100"/>
          <a:extLst>
            <a:ext uri="{FF2B5EF4-FFF2-40B4-BE49-F238E27FC236}">
              <a16:creationId xmlns:a16="http://schemas.microsoft.com/office/drawing/2014/main" id="{00000000-0008-0000-0600-0000B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2" name="Picture 29" descr="Uruguay">
          <a:hlinkClick xmlns:r="http://schemas.openxmlformats.org/officeDocument/2006/relationships" r:id="rId101"/>
          <a:extLst>
            <a:ext uri="{FF2B5EF4-FFF2-40B4-BE49-F238E27FC236}">
              <a16:creationId xmlns:a16="http://schemas.microsoft.com/office/drawing/2014/main" id="{00000000-0008-0000-0600-0000B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3" name="Picture 30" descr="Italia">
          <a:hlinkClick xmlns:r="http://schemas.openxmlformats.org/officeDocument/2006/relationships" r:id="rId96"/>
          <a:extLst>
            <a:ext uri="{FF2B5EF4-FFF2-40B4-BE49-F238E27FC236}">
              <a16:creationId xmlns:a16="http://schemas.microsoft.com/office/drawing/2014/main" id="{00000000-0008-0000-0600-0000B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4" name="Picture 31" descr="Nederland">
          <a:hlinkClick xmlns:r="http://schemas.openxmlformats.org/officeDocument/2006/relationships" r:id="rId95"/>
          <a:extLst>
            <a:ext uri="{FF2B5EF4-FFF2-40B4-BE49-F238E27FC236}">
              <a16:creationId xmlns:a16="http://schemas.microsoft.com/office/drawing/2014/main" id="{00000000-0008-0000-0600-0000B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5" name="Picture 32" descr="Italia">
          <a:hlinkClick xmlns:r="http://schemas.openxmlformats.org/officeDocument/2006/relationships" r:id="rId96"/>
          <a:extLst>
            <a:ext uri="{FF2B5EF4-FFF2-40B4-BE49-F238E27FC236}">
              <a16:creationId xmlns:a16="http://schemas.microsoft.com/office/drawing/2014/main" id="{00000000-0008-0000-0600-0000B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6" name="Picture 34" descr="Deutschland">
          <a:hlinkClick xmlns:r="http://schemas.openxmlformats.org/officeDocument/2006/relationships" r:id="rId102"/>
          <a:extLst>
            <a:ext uri="{FF2B5EF4-FFF2-40B4-BE49-F238E27FC236}">
              <a16:creationId xmlns:a16="http://schemas.microsoft.com/office/drawing/2014/main" id="{00000000-0008-0000-0600-0000B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7" name="Picture 36" descr="Israel">
          <a:hlinkClick xmlns:r="http://schemas.openxmlformats.org/officeDocument/2006/relationships" r:id="rId103"/>
          <a:extLst>
            <a:ext uri="{FF2B5EF4-FFF2-40B4-BE49-F238E27FC236}">
              <a16:creationId xmlns:a16="http://schemas.microsoft.com/office/drawing/2014/main" id="{00000000-0008-0000-0600-0000B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8" name="Picture 37" descr="Slovensko">
          <a:hlinkClick xmlns:r="http://schemas.openxmlformats.org/officeDocument/2006/relationships" r:id="rId104"/>
          <a:extLst>
            <a:ext uri="{FF2B5EF4-FFF2-40B4-BE49-F238E27FC236}">
              <a16:creationId xmlns:a16="http://schemas.microsoft.com/office/drawing/2014/main" id="{00000000-0008-0000-0600-0000B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9" name="Picture 2" descr="España">
          <a:hlinkClick xmlns:r="http://schemas.openxmlformats.org/officeDocument/2006/relationships" r:id="rId90"/>
          <a:extLst>
            <a:ext uri="{FF2B5EF4-FFF2-40B4-BE49-F238E27FC236}">
              <a16:creationId xmlns:a16="http://schemas.microsoft.com/office/drawing/2014/main" id="{00000000-0008-0000-0600-0000B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0" name="Picture 3" descr="USA">
          <a:hlinkClick xmlns:r="http://schemas.openxmlformats.org/officeDocument/2006/relationships" r:id="rId91"/>
          <a:extLst>
            <a:ext uri="{FF2B5EF4-FFF2-40B4-BE49-F238E27FC236}">
              <a16:creationId xmlns:a16="http://schemas.microsoft.com/office/drawing/2014/main" id="{00000000-0008-0000-0600-0000B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1" name="Picture 5" descr="España">
          <a:hlinkClick xmlns:r="http://schemas.openxmlformats.org/officeDocument/2006/relationships" r:id="rId90"/>
          <a:extLst>
            <a:ext uri="{FF2B5EF4-FFF2-40B4-BE49-F238E27FC236}">
              <a16:creationId xmlns:a16="http://schemas.microsoft.com/office/drawing/2014/main" id="{00000000-0008-0000-0600-0000B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2" name="Picture 6" descr="España">
          <a:hlinkClick xmlns:r="http://schemas.openxmlformats.org/officeDocument/2006/relationships" r:id="rId90"/>
          <a:extLst>
            <a:ext uri="{FF2B5EF4-FFF2-40B4-BE49-F238E27FC236}">
              <a16:creationId xmlns:a16="http://schemas.microsoft.com/office/drawing/2014/main" id="{00000000-0008-0000-0600-0000B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3" name="Picture 8" descr="Česká republika">
          <a:hlinkClick xmlns:r="http://schemas.openxmlformats.org/officeDocument/2006/relationships" r:id="rId92"/>
          <a:extLst>
            <a:ext uri="{FF2B5EF4-FFF2-40B4-BE49-F238E27FC236}">
              <a16:creationId xmlns:a16="http://schemas.microsoft.com/office/drawing/2014/main" id="{00000000-0008-0000-0600-0000B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4" name="Picture 9" descr="Sverige">
          <a:hlinkClick xmlns:r="http://schemas.openxmlformats.org/officeDocument/2006/relationships" r:id="rId93"/>
          <a:extLst>
            <a:ext uri="{FF2B5EF4-FFF2-40B4-BE49-F238E27FC236}">
              <a16:creationId xmlns:a16="http://schemas.microsoft.com/office/drawing/2014/main" id="{00000000-0008-0000-0600-0000C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5" name="Picture 11" descr="Suomi">
          <a:hlinkClick xmlns:r="http://schemas.openxmlformats.org/officeDocument/2006/relationships" r:id="rId94"/>
          <a:extLst>
            <a:ext uri="{FF2B5EF4-FFF2-40B4-BE49-F238E27FC236}">
              <a16:creationId xmlns:a16="http://schemas.microsoft.com/office/drawing/2014/main" id="{00000000-0008-0000-0600-0000C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6" name="Picture 12" descr="España">
          <a:hlinkClick xmlns:r="http://schemas.openxmlformats.org/officeDocument/2006/relationships" r:id="rId90"/>
          <a:extLst>
            <a:ext uri="{FF2B5EF4-FFF2-40B4-BE49-F238E27FC236}">
              <a16:creationId xmlns:a16="http://schemas.microsoft.com/office/drawing/2014/main" id="{00000000-0008-0000-0600-0000C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7" name="Picture 13" descr="Nederland">
          <a:hlinkClick xmlns:r="http://schemas.openxmlformats.org/officeDocument/2006/relationships" r:id="rId95"/>
          <a:extLst>
            <a:ext uri="{FF2B5EF4-FFF2-40B4-BE49-F238E27FC236}">
              <a16:creationId xmlns:a16="http://schemas.microsoft.com/office/drawing/2014/main" id="{00000000-0008-0000-0600-0000C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8" name="Picture 14" descr="Italia">
          <a:hlinkClick xmlns:r="http://schemas.openxmlformats.org/officeDocument/2006/relationships" r:id="rId96"/>
          <a:extLst>
            <a:ext uri="{FF2B5EF4-FFF2-40B4-BE49-F238E27FC236}">
              <a16:creationId xmlns:a16="http://schemas.microsoft.com/office/drawing/2014/main" id="{00000000-0008-0000-0600-0000C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9" name="Picture 16" descr="España">
          <a:hlinkClick xmlns:r="http://schemas.openxmlformats.org/officeDocument/2006/relationships" r:id="rId90"/>
          <a:extLst>
            <a:ext uri="{FF2B5EF4-FFF2-40B4-BE49-F238E27FC236}">
              <a16:creationId xmlns:a16="http://schemas.microsoft.com/office/drawing/2014/main" id="{00000000-0008-0000-0600-0000C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0" name="Picture 18" descr="France">
          <a:hlinkClick xmlns:r="http://schemas.openxmlformats.org/officeDocument/2006/relationships" r:id="rId97"/>
          <a:extLst>
            <a:ext uri="{FF2B5EF4-FFF2-40B4-BE49-F238E27FC236}">
              <a16:creationId xmlns:a16="http://schemas.microsoft.com/office/drawing/2014/main" id="{00000000-0008-0000-0600-0000C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1" name="Picture 19" descr="France">
          <a:hlinkClick xmlns:r="http://schemas.openxmlformats.org/officeDocument/2006/relationships" r:id="rId97"/>
          <a:extLst>
            <a:ext uri="{FF2B5EF4-FFF2-40B4-BE49-F238E27FC236}">
              <a16:creationId xmlns:a16="http://schemas.microsoft.com/office/drawing/2014/main" id="{00000000-0008-0000-0600-0000C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2" name="Picture 21" descr="Argentina">
          <a:hlinkClick xmlns:r="http://schemas.openxmlformats.org/officeDocument/2006/relationships" r:id="rId98"/>
          <a:extLst>
            <a:ext uri="{FF2B5EF4-FFF2-40B4-BE49-F238E27FC236}">
              <a16:creationId xmlns:a16="http://schemas.microsoft.com/office/drawing/2014/main" id="{00000000-0008-0000-0600-0000C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3" name="Picture 23" descr="España">
          <a:hlinkClick xmlns:r="http://schemas.openxmlformats.org/officeDocument/2006/relationships" r:id="rId90"/>
          <a:extLst>
            <a:ext uri="{FF2B5EF4-FFF2-40B4-BE49-F238E27FC236}">
              <a16:creationId xmlns:a16="http://schemas.microsoft.com/office/drawing/2014/main" id="{00000000-0008-0000-0600-0000C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4" name="Picture 25" descr="Lubnan">
          <a:hlinkClick xmlns:r="http://schemas.openxmlformats.org/officeDocument/2006/relationships" r:id="rId99"/>
          <a:extLst>
            <a:ext uri="{FF2B5EF4-FFF2-40B4-BE49-F238E27FC236}">
              <a16:creationId xmlns:a16="http://schemas.microsoft.com/office/drawing/2014/main" id="{00000000-0008-0000-0600-0000C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5" name="Picture 27" descr="Magyarország">
          <a:hlinkClick xmlns:r="http://schemas.openxmlformats.org/officeDocument/2006/relationships" r:id="rId100"/>
          <a:extLst>
            <a:ext uri="{FF2B5EF4-FFF2-40B4-BE49-F238E27FC236}">
              <a16:creationId xmlns:a16="http://schemas.microsoft.com/office/drawing/2014/main" id="{00000000-0008-0000-0600-0000C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6" name="Picture 29" descr="Uruguay">
          <a:hlinkClick xmlns:r="http://schemas.openxmlformats.org/officeDocument/2006/relationships" r:id="rId101"/>
          <a:extLst>
            <a:ext uri="{FF2B5EF4-FFF2-40B4-BE49-F238E27FC236}">
              <a16:creationId xmlns:a16="http://schemas.microsoft.com/office/drawing/2014/main" id="{00000000-0008-0000-0600-0000C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7" name="Picture 30" descr="Italia">
          <a:hlinkClick xmlns:r="http://schemas.openxmlformats.org/officeDocument/2006/relationships" r:id="rId96"/>
          <a:extLst>
            <a:ext uri="{FF2B5EF4-FFF2-40B4-BE49-F238E27FC236}">
              <a16:creationId xmlns:a16="http://schemas.microsoft.com/office/drawing/2014/main" id="{00000000-0008-0000-0600-0000C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8" name="Picture 31" descr="Nederland">
          <a:hlinkClick xmlns:r="http://schemas.openxmlformats.org/officeDocument/2006/relationships" r:id="rId95"/>
          <a:extLst>
            <a:ext uri="{FF2B5EF4-FFF2-40B4-BE49-F238E27FC236}">
              <a16:creationId xmlns:a16="http://schemas.microsoft.com/office/drawing/2014/main" id="{00000000-0008-0000-0600-0000C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9" name="Picture 32" descr="Italia">
          <a:hlinkClick xmlns:r="http://schemas.openxmlformats.org/officeDocument/2006/relationships" r:id="rId96"/>
          <a:extLst>
            <a:ext uri="{FF2B5EF4-FFF2-40B4-BE49-F238E27FC236}">
              <a16:creationId xmlns:a16="http://schemas.microsoft.com/office/drawing/2014/main" id="{00000000-0008-0000-0600-0000C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0" name="Picture 34" descr="Deutschland">
          <a:hlinkClick xmlns:r="http://schemas.openxmlformats.org/officeDocument/2006/relationships" r:id="rId102"/>
          <a:extLst>
            <a:ext uri="{FF2B5EF4-FFF2-40B4-BE49-F238E27FC236}">
              <a16:creationId xmlns:a16="http://schemas.microsoft.com/office/drawing/2014/main" id="{00000000-0008-0000-0600-0000D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1" name="Picture 36" descr="Israel">
          <a:hlinkClick xmlns:r="http://schemas.openxmlformats.org/officeDocument/2006/relationships" r:id="rId103"/>
          <a:extLst>
            <a:ext uri="{FF2B5EF4-FFF2-40B4-BE49-F238E27FC236}">
              <a16:creationId xmlns:a16="http://schemas.microsoft.com/office/drawing/2014/main" id="{00000000-0008-0000-0600-0000D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2" name="Picture 37" descr="Slovensko">
          <a:hlinkClick xmlns:r="http://schemas.openxmlformats.org/officeDocument/2006/relationships" r:id="rId104"/>
          <a:extLst>
            <a:ext uri="{FF2B5EF4-FFF2-40B4-BE49-F238E27FC236}">
              <a16:creationId xmlns:a16="http://schemas.microsoft.com/office/drawing/2014/main" id="{00000000-0008-0000-0600-0000D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3" name="Picture 2" descr="España">
          <a:hlinkClick xmlns:r="http://schemas.openxmlformats.org/officeDocument/2006/relationships" r:id="rId90"/>
          <a:extLst>
            <a:ext uri="{FF2B5EF4-FFF2-40B4-BE49-F238E27FC236}">
              <a16:creationId xmlns:a16="http://schemas.microsoft.com/office/drawing/2014/main" id="{00000000-0008-0000-0600-0000D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4" name="Picture 3" descr="USA">
          <a:hlinkClick xmlns:r="http://schemas.openxmlformats.org/officeDocument/2006/relationships" r:id="rId91"/>
          <a:extLst>
            <a:ext uri="{FF2B5EF4-FFF2-40B4-BE49-F238E27FC236}">
              <a16:creationId xmlns:a16="http://schemas.microsoft.com/office/drawing/2014/main" id="{00000000-0008-0000-0600-0000D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5" name="Picture 5" descr="España">
          <a:hlinkClick xmlns:r="http://schemas.openxmlformats.org/officeDocument/2006/relationships" r:id="rId90"/>
          <a:extLst>
            <a:ext uri="{FF2B5EF4-FFF2-40B4-BE49-F238E27FC236}">
              <a16:creationId xmlns:a16="http://schemas.microsoft.com/office/drawing/2014/main" id="{00000000-0008-0000-0600-0000D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6" name="Picture 6" descr="España">
          <a:hlinkClick xmlns:r="http://schemas.openxmlformats.org/officeDocument/2006/relationships" r:id="rId90"/>
          <a:extLst>
            <a:ext uri="{FF2B5EF4-FFF2-40B4-BE49-F238E27FC236}">
              <a16:creationId xmlns:a16="http://schemas.microsoft.com/office/drawing/2014/main" id="{00000000-0008-0000-0600-0000D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7" name="Picture 8" descr="Česká republika">
          <a:hlinkClick xmlns:r="http://schemas.openxmlformats.org/officeDocument/2006/relationships" r:id="rId92"/>
          <a:extLst>
            <a:ext uri="{FF2B5EF4-FFF2-40B4-BE49-F238E27FC236}">
              <a16:creationId xmlns:a16="http://schemas.microsoft.com/office/drawing/2014/main" id="{00000000-0008-0000-0600-0000D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8" name="Picture 9" descr="Sverige">
          <a:hlinkClick xmlns:r="http://schemas.openxmlformats.org/officeDocument/2006/relationships" r:id="rId93"/>
          <a:extLst>
            <a:ext uri="{FF2B5EF4-FFF2-40B4-BE49-F238E27FC236}">
              <a16:creationId xmlns:a16="http://schemas.microsoft.com/office/drawing/2014/main" id="{00000000-0008-0000-0600-0000D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9" name="Picture 11" descr="Suomi">
          <a:hlinkClick xmlns:r="http://schemas.openxmlformats.org/officeDocument/2006/relationships" r:id="rId94"/>
          <a:extLst>
            <a:ext uri="{FF2B5EF4-FFF2-40B4-BE49-F238E27FC236}">
              <a16:creationId xmlns:a16="http://schemas.microsoft.com/office/drawing/2014/main" id="{00000000-0008-0000-0600-0000D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0" name="Picture 12" descr="España">
          <a:hlinkClick xmlns:r="http://schemas.openxmlformats.org/officeDocument/2006/relationships" r:id="rId90"/>
          <a:extLst>
            <a:ext uri="{FF2B5EF4-FFF2-40B4-BE49-F238E27FC236}">
              <a16:creationId xmlns:a16="http://schemas.microsoft.com/office/drawing/2014/main" id="{00000000-0008-0000-0600-0000D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1" name="Picture 13" descr="Nederland">
          <a:hlinkClick xmlns:r="http://schemas.openxmlformats.org/officeDocument/2006/relationships" r:id="rId95"/>
          <a:extLst>
            <a:ext uri="{FF2B5EF4-FFF2-40B4-BE49-F238E27FC236}">
              <a16:creationId xmlns:a16="http://schemas.microsoft.com/office/drawing/2014/main" id="{00000000-0008-0000-0600-0000D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2" name="Picture 14" descr="Italia">
          <a:hlinkClick xmlns:r="http://schemas.openxmlformats.org/officeDocument/2006/relationships" r:id="rId96"/>
          <a:extLst>
            <a:ext uri="{FF2B5EF4-FFF2-40B4-BE49-F238E27FC236}">
              <a16:creationId xmlns:a16="http://schemas.microsoft.com/office/drawing/2014/main" id="{00000000-0008-0000-0600-0000D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3" name="Picture 16" descr="España">
          <a:hlinkClick xmlns:r="http://schemas.openxmlformats.org/officeDocument/2006/relationships" r:id="rId90"/>
          <a:extLst>
            <a:ext uri="{FF2B5EF4-FFF2-40B4-BE49-F238E27FC236}">
              <a16:creationId xmlns:a16="http://schemas.microsoft.com/office/drawing/2014/main" id="{00000000-0008-0000-0600-0000D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4" name="Picture 18" descr="France">
          <a:hlinkClick xmlns:r="http://schemas.openxmlformats.org/officeDocument/2006/relationships" r:id="rId97"/>
          <a:extLst>
            <a:ext uri="{FF2B5EF4-FFF2-40B4-BE49-F238E27FC236}">
              <a16:creationId xmlns:a16="http://schemas.microsoft.com/office/drawing/2014/main" id="{00000000-0008-0000-0600-0000D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5" name="Picture 19" descr="France">
          <a:hlinkClick xmlns:r="http://schemas.openxmlformats.org/officeDocument/2006/relationships" r:id="rId97"/>
          <a:extLst>
            <a:ext uri="{FF2B5EF4-FFF2-40B4-BE49-F238E27FC236}">
              <a16:creationId xmlns:a16="http://schemas.microsoft.com/office/drawing/2014/main" id="{00000000-0008-0000-0600-0000D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6" name="Picture 21" descr="Argentina">
          <a:hlinkClick xmlns:r="http://schemas.openxmlformats.org/officeDocument/2006/relationships" r:id="rId98"/>
          <a:extLst>
            <a:ext uri="{FF2B5EF4-FFF2-40B4-BE49-F238E27FC236}">
              <a16:creationId xmlns:a16="http://schemas.microsoft.com/office/drawing/2014/main" id="{00000000-0008-0000-0600-0000E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7" name="Picture 23" descr="España">
          <a:hlinkClick xmlns:r="http://schemas.openxmlformats.org/officeDocument/2006/relationships" r:id="rId90"/>
          <a:extLst>
            <a:ext uri="{FF2B5EF4-FFF2-40B4-BE49-F238E27FC236}">
              <a16:creationId xmlns:a16="http://schemas.microsoft.com/office/drawing/2014/main" id="{00000000-0008-0000-0600-0000E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8" name="Picture 25" descr="Lubnan">
          <a:hlinkClick xmlns:r="http://schemas.openxmlformats.org/officeDocument/2006/relationships" r:id="rId99"/>
          <a:extLst>
            <a:ext uri="{FF2B5EF4-FFF2-40B4-BE49-F238E27FC236}">
              <a16:creationId xmlns:a16="http://schemas.microsoft.com/office/drawing/2014/main" id="{00000000-0008-0000-0600-0000E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9" name="Picture 27" descr="Magyarország">
          <a:hlinkClick xmlns:r="http://schemas.openxmlformats.org/officeDocument/2006/relationships" r:id="rId100"/>
          <a:extLst>
            <a:ext uri="{FF2B5EF4-FFF2-40B4-BE49-F238E27FC236}">
              <a16:creationId xmlns:a16="http://schemas.microsoft.com/office/drawing/2014/main" id="{00000000-0008-0000-0600-0000E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0" name="Picture 29" descr="Uruguay">
          <a:hlinkClick xmlns:r="http://schemas.openxmlformats.org/officeDocument/2006/relationships" r:id="rId101"/>
          <a:extLst>
            <a:ext uri="{FF2B5EF4-FFF2-40B4-BE49-F238E27FC236}">
              <a16:creationId xmlns:a16="http://schemas.microsoft.com/office/drawing/2014/main" id="{00000000-0008-0000-0600-0000E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1" name="Picture 30" descr="Italia">
          <a:hlinkClick xmlns:r="http://schemas.openxmlformats.org/officeDocument/2006/relationships" r:id="rId96"/>
          <a:extLst>
            <a:ext uri="{FF2B5EF4-FFF2-40B4-BE49-F238E27FC236}">
              <a16:creationId xmlns:a16="http://schemas.microsoft.com/office/drawing/2014/main" id="{00000000-0008-0000-0600-0000E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2" name="Picture 31" descr="Nederland">
          <a:hlinkClick xmlns:r="http://schemas.openxmlformats.org/officeDocument/2006/relationships" r:id="rId95"/>
          <a:extLst>
            <a:ext uri="{FF2B5EF4-FFF2-40B4-BE49-F238E27FC236}">
              <a16:creationId xmlns:a16="http://schemas.microsoft.com/office/drawing/2014/main" id="{00000000-0008-0000-0600-0000E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3" name="Picture 32" descr="Italia">
          <a:hlinkClick xmlns:r="http://schemas.openxmlformats.org/officeDocument/2006/relationships" r:id="rId96"/>
          <a:extLst>
            <a:ext uri="{FF2B5EF4-FFF2-40B4-BE49-F238E27FC236}">
              <a16:creationId xmlns:a16="http://schemas.microsoft.com/office/drawing/2014/main" id="{00000000-0008-0000-0600-0000E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4" name="Picture 34" descr="Deutschland">
          <a:hlinkClick xmlns:r="http://schemas.openxmlformats.org/officeDocument/2006/relationships" r:id="rId102"/>
          <a:extLst>
            <a:ext uri="{FF2B5EF4-FFF2-40B4-BE49-F238E27FC236}">
              <a16:creationId xmlns:a16="http://schemas.microsoft.com/office/drawing/2014/main" id="{00000000-0008-0000-0600-0000E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5" name="Picture 36" descr="Israel">
          <a:hlinkClick xmlns:r="http://schemas.openxmlformats.org/officeDocument/2006/relationships" r:id="rId103"/>
          <a:extLst>
            <a:ext uri="{FF2B5EF4-FFF2-40B4-BE49-F238E27FC236}">
              <a16:creationId xmlns:a16="http://schemas.microsoft.com/office/drawing/2014/main" id="{00000000-0008-0000-0600-0000E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6" name="Picture 37" descr="Slovensko">
          <a:hlinkClick xmlns:r="http://schemas.openxmlformats.org/officeDocument/2006/relationships" r:id="rId104"/>
          <a:extLst>
            <a:ext uri="{FF2B5EF4-FFF2-40B4-BE49-F238E27FC236}">
              <a16:creationId xmlns:a16="http://schemas.microsoft.com/office/drawing/2014/main" id="{00000000-0008-0000-0600-0000E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7" name="Picture 2" descr="España">
          <a:hlinkClick xmlns:r="http://schemas.openxmlformats.org/officeDocument/2006/relationships" r:id="rId90"/>
          <a:extLst>
            <a:ext uri="{FF2B5EF4-FFF2-40B4-BE49-F238E27FC236}">
              <a16:creationId xmlns:a16="http://schemas.microsoft.com/office/drawing/2014/main" id="{00000000-0008-0000-0600-0000E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8" name="Picture 3" descr="USA">
          <a:hlinkClick xmlns:r="http://schemas.openxmlformats.org/officeDocument/2006/relationships" r:id="rId91"/>
          <a:extLst>
            <a:ext uri="{FF2B5EF4-FFF2-40B4-BE49-F238E27FC236}">
              <a16:creationId xmlns:a16="http://schemas.microsoft.com/office/drawing/2014/main" id="{00000000-0008-0000-0600-0000E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9" name="Picture 5" descr="España">
          <a:hlinkClick xmlns:r="http://schemas.openxmlformats.org/officeDocument/2006/relationships" r:id="rId90"/>
          <a:extLst>
            <a:ext uri="{FF2B5EF4-FFF2-40B4-BE49-F238E27FC236}">
              <a16:creationId xmlns:a16="http://schemas.microsoft.com/office/drawing/2014/main" id="{00000000-0008-0000-0600-0000E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0" name="Picture 6" descr="España">
          <a:hlinkClick xmlns:r="http://schemas.openxmlformats.org/officeDocument/2006/relationships" r:id="rId90"/>
          <a:extLst>
            <a:ext uri="{FF2B5EF4-FFF2-40B4-BE49-F238E27FC236}">
              <a16:creationId xmlns:a16="http://schemas.microsoft.com/office/drawing/2014/main" id="{00000000-0008-0000-0600-0000E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1" name="Picture 8" descr="Česká republika">
          <a:hlinkClick xmlns:r="http://schemas.openxmlformats.org/officeDocument/2006/relationships" r:id="rId92"/>
          <a:extLst>
            <a:ext uri="{FF2B5EF4-FFF2-40B4-BE49-F238E27FC236}">
              <a16:creationId xmlns:a16="http://schemas.microsoft.com/office/drawing/2014/main" id="{00000000-0008-0000-0600-0000E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2" name="Picture 9" descr="Sverige">
          <a:hlinkClick xmlns:r="http://schemas.openxmlformats.org/officeDocument/2006/relationships" r:id="rId93"/>
          <a:extLst>
            <a:ext uri="{FF2B5EF4-FFF2-40B4-BE49-F238E27FC236}">
              <a16:creationId xmlns:a16="http://schemas.microsoft.com/office/drawing/2014/main" id="{00000000-0008-0000-0600-0000F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3" name="Picture 11" descr="Suomi">
          <a:hlinkClick xmlns:r="http://schemas.openxmlformats.org/officeDocument/2006/relationships" r:id="rId94"/>
          <a:extLst>
            <a:ext uri="{FF2B5EF4-FFF2-40B4-BE49-F238E27FC236}">
              <a16:creationId xmlns:a16="http://schemas.microsoft.com/office/drawing/2014/main" id="{00000000-0008-0000-0600-0000F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4" name="Picture 12" descr="España">
          <a:hlinkClick xmlns:r="http://schemas.openxmlformats.org/officeDocument/2006/relationships" r:id="rId90"/>
          <a:extLst>
            <a:ext uri="{FF2B5EF4-FFF2-40B4-BE49-F238E27FC236}">
              <a16:creationId xmlns:a16="http://schemas.microsoft.com/office/drawing/2014/main" id="{00000000-0008-0000-0600-0000F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5" name="Picture 13" descr="Nederland">
          <a:hlinkClick xmlns:r="http://schemas.openxmlformats.org/officeDocument/2006/relationships" r:id="rId95"/>
          <a:extLst>
            <a:ext uri="{FF2B5EF4-FFF2-40B4-BE49-F238E27FC236}">
              <a16:creationId xmlns:a16="http://schemas.microsoft.com/office/drawing/2014/main" id="{00000000-0008-0000-0600-0000F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6" name="Picture 14" descr="Italia">
          <a:hlinkClick xmlns:r="http://schemas.openxmlformats.org/officeDocument/2006/relationships" r:id="rId96"/>
          <a:extLst>
            <a:ext uri="{FF2B5EF4-FFF2-40B4-BE49-F238E27FC236}">
              <a16:creationId xmlns:a16="http://schemas.microsoft.com/office/drawing/2014/main" id="{00000000-0008-0000-0600-0000F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7" name="Picture 16" descr="España">
          <a:hlinkClick xmlns:r="http://schemas.openxmlformats.org/officeDocument/2006/relationships" r:id="rId90"/>
          <a:extLst>
            <a:ext uri="{FF2B5EF4-FFF2-40B4-BE49-F238E27FC236}">
              <a16:creationId xmlns:a16="http://schemas.microsoft.com/office/drawing/2014/main" id="{00000000-0008-0000-0600-0000F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8" name="Picture 18" descr="France">
          <a:hlinkClick xmlns:r="http://schemas.openxmlformats.org/officeDocument/2006/relationships" r:id="rId97"/>
          <a:extLst>
            <a:ext uri="{FF2B5EF4-FFF2-40B4-BE49-F238E27FC236}">
              <a16:creationId xmlns:a16="http://schemas.microsoft.com/office/drawing/2014/main" id="{00000000-0008-0000-0600-0000F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9" name="Picture 19" descr="France">
          <a:hlinkClick xmlns:r="http://schemas.openxmlformats.org/officeDocument/2006/relationships" r:id="rId97"/>
          <a:extLst>
            <a:ext uri="{FF2B5EF4-FFF2-40B4-BE49-F238E27FC236}">
              <a16:creationId xmlns:a16="http://schemas.microsoft.com/office/drawing/2014/main" id="{00000000-0008-0000-0600-0000F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0" name="Picture 21" descr="Argentina">
          <a:hlinkClick xmlns:r="http://schemas.openxmlformats.org/officeDocument/2006/relationships" r:id="rId98"/>
          <a:extLst>
            <a:ext uri="{FF2B5EF4-FFF2-40B4-BE49-F238E27FC236}">
              <a16:creationId xmlns:a16="http://schemas.microsoft.com/office/drawing/2014/main" id="{00000000-0008-0000-0600-0000F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1" name="Picture 23" descr="España">
          <a:hlinkClick xmlns:r="http://schemas.openxmlformats.org/officeDocument/2006/relationships" r:id="rId90"/>
          <a:extLst>
            <a:ext uri="{FF2B5EF4-FFF2-40B4-BE49-F238E27FC236}">
              <a16:creationId xmlns:a16="http://schemas.microsoft.com/office/drawing/2014/main" id="{00000000-0008-0000-0600-0000F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2" name="Picture 25" descr="Lubnan">
          <a:hlinkClick xmlns:r="http://schemas.openxmlformats.org/officeDocument/2006/relationships" r:id="rId99"/>
          <a:extLst>
            <a:ext uri="{FF2B5EF4-FFF2-40B4-BE49-F238E27FC236}">
              <a16:creationId xmlns:a16="http://schemas.microsoft.com/office/drawing/2014/main" id="{00000000-0008-0000-0600-0000F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3" name="Picture 27" descr="Magyarország">
          <a:hlinkClick xmlns:r="http://schemas.openxmlformats.org/officeDocument/2006/relationships" r:id="rId100"/>
          <a:extLst>
            <a:ext uri="{FF2B5EF4-FFF2-40B4-BE49-F238E27FC236}">
              <a16:creationId xmlns:a16="http://schemas.microsoft.com/office/drawing/2014/main" id="{00000000-0008-0000-0600-0000F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4" name="Picture 29" descr="Uruguay">
          <a:hlinkClick xmlns:r="http://schemas.openxmlformats.org/officeDocument/2006/relationships" r:id="rId101"/>
          <a:extLst>
            <a:ext uri="{FF2B5EF4-FFF2-40B4-BE49-F238E27FC236}">
              <a16:creationId xmlns:a16="http://schemas.microsoft.com/office/drawing/2014/main" id="{00000000-0008-0000-0600-0000F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5" name="Picture 30" descr="Italia">
          <a:hlinkClick xmlns:r="http://schemas.openxmlformats.org/officeDocument/2006/relationships" r:id="rId96"/>
          <a:extLst>
            <a:ext uri="{FF2B5EF4-FFF2-40B4-BE49-F238E27FC236}">
              <a16:creationId xmlns:a16="http://schemas.microsoft.com/office/drawing/2014/main" id="{00000000-0008-0000-0600-0000F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6" name="Picture 31" descr="Nederland">
          <a:hlinkClick xmlns:r="http://schemas.openxmlformats.org/officeDocument/2006/relationships" r:id="rId95"/>
          <a:extLst>
            <a:ext uri="{FF2B5EF4-FFF2-40B4-BE49-F238E27FC236}">
              <a16:creationId xmlns:a16="http://schemas.microsoft.com/office/drawing/2014/main" id="{00000000-0008-0000-0600-0000F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7" name="Picture 32" descr="Italia">
          <a:hlinkClick xmlns:r="http://schemas.openxmlformats.org/officeDocument/2006/relationships" r:id="rId96"/>
          <a:extLst>
            <a:ext uri="{FF2B5EF4-FFF2-40B4-BE49-F238E27FC236}">
              <a16:creationId xmlns:a16="http://schemas.microsoft.com/office/drawing/2014/main" id="{00000000-0008-0000-0600-0000F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8" name="Picture 34" descr="Deutschland">
          <a:hlinkClick xmlns:r="http://schemas.openxmlformats.org/officeDocument/2006/relationships" r:id="rId102"/>
          <a:extLst>
            <a:ext uri="{FF2B5EF4-FFF2-40B4-BE49-F238E27FC236}">
              <a16:creationId xmlns:a16="http://schemas.microsoft.com/office/drawing/2014/main" id="{00000000-0008-0000-0600-00000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9" name="Picture 36" descr="Israel">
          <a:hlinkClick xmlns:r="http://schemas.openxmlformats.org/officeDocument/2006/relationships" r:id="rId103"/>
          <a:extLst>
            <a:ext uri="{FF2B5EF4-FFF2-40B4-BE49-F238E27FC236}">
              <a16:creationId xmlns:a16="http://schemas.microsoft.com/office/drawing/2014/main" id="{00000000-0008-0000-0600-00000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0" name="Picture 37" descr="Slovensko">
          <a:hlinkClick xmlns:r="http://schemas.openxmlformats.org/officeDocument/2006/relationships" r:id="rId104"/>
          <a:extLst>
            <a:ext uri="{FF2B5EF4-FFF2-40B4-BE49-F238E27FC236}">
              <a16:creationId xmlns:a16="http://schemas.microsoft.com/office/drawing/2014/main" id="{00000000-0008-0000-0600-00000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1" name="Picture 2" descr="España">
          <a:hlinkClick xmlns:r="http://schemas.openxmlformats.org/officeDocument/2006/relationships" r:id="rId90"/>
          <a:extLst>
            <a:ext uri="{FF2B5EF4-FFF2-40B4-BE49-F238E27FC236}">
              <a16:creationId xmlns:a16="http://schemas.microsoft.com/office/drawing/2014/main" id="{00000000-0008-0000-0600-00000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2" name="Picture 3" descr="USA">
          <a:hlinkClick xmlns:r="http://schemas.openxmlformats.org/officeDocument/2006/relationships" r:id="rId91"/>
          <a:extLst>
            <a:ext uri="{FF2B5EF4-FFF2-40B4-BE49-F238E27FC236}">
              <a16:creationId xmlns:a16="http://schemas.microsoft.com/office/drawing/2014/main" id="{00000000-0008-0000-0600-00000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3" name="Picture 5" descr="España">
          <a:hlinkClick xmlns:r="http://schemas.openxmlformats.org/officeDocument/2006/relationships" r:id="rId90"/>
          <a:extLst>
            <a:ext uri="{FF2B5EF4-FFF2-40B4-BE49-F238E27FC236}">
              <a16:creationId xmlns:a16="http://schemas.microsoft.com/office/drawing/2014/main" id="{00000000-0008-0000-0600-00000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4" name="Picture 6" descr="España">
          <a:hlinkClick xmlns:r="http://schemas.openxmlformats.org/officeDocument/2006/relationships" r:id="rId90"/>
          <a:extLst>
            <a:ext uri="{FF2B5EF4-FFF2-40B4-BE49-F238E27FC236}">
              <a16:creationId xmlns:a16="http://schemas.microsoft.com/office/drawing/2014/main" id="{00000000-0008-0000-0600-00000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5" name="Picture 8" descr="Česká republika">
          <a:hlinkClick xmlns:r="http://schemas.openxmlformats.org/officeDocument/2006/relationships" r:id="rId92"/>
          <a:extLst>
            <a:ext uri="{FF2B5EF4-FFF2-40B4-BE49-F238E27FC236}">
              <a16:creationId xmlns:a16="http://schemas.microsoft.com/office/drawing/2014/main" id="{00000000-0008-0000-0600-00000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6" name="Picture 9" descr="Sverige">
          <a:hlinkClick xmlns:r="http://schemas.openxmlformats.org/officeDocument/2006/relationships" r:id="rId93"/>
          <a:extLst>
            <a:ext uri="{FF2B5EF4-FFF2-40B4-BE49-F238E27FC236}">
              <a16:creationId xmlns:a16="http://schemas.microsoft.com/office/drawing/2014/main" id="{00000000-0008-0000-0600-00000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7" name="Picture 11" descr="Suomi">
          <a:hlinkClick xmlns:r="http://schemas.openxmlformats.org/officeDocument/2006/relationships" r:id="rId94"/>
          <a:extLst>
            <a:ext uri="{FF2B5EF4-FFF2-40B4-BE49-F238E27FC236}">
              <a16:creationId xmlns:a16="http://schemas.microsoft.com/office/drawing/2014/main" id="{00000000-0008-0000-0600-00000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8" name="Picture 12" descr="España">
          <a:hlinkClick xmlns:r="http://schemas.openxmlformats.org/officeDocument/2006/relationships" r:id="rId90"/>
          <a:extLst>
            <a:ext uri="{FF2B5EF4-FFF2-40B4-BE49-F238E27FC236}">
              <a16:creationId xmlns:a16="http://schemas.microsoft.com/office/drawing/2014/main" id="{00000000-0008-0000-0600-00000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9" name="Picture 13" descr="Nederland">
          <a:hlinkClick xmlns:r="http://schemas.openxmlformats.org/officeDocument/2006/relationships" r:id="rId95"/>
          <a:extLst>
            <a:ext uri="{FF2B5EF4-FFF2-40B4-BE49-F238E27FC236}">
              <a16:creationId xmlns:a16="http://schemas.microsoft.com/office/drawing/2014/main" id="{00000000-0008-0000-0600-00000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0" name="Picture 14" descr="Italia">
          <a:hlinkClick xmlns:r="http://schemas.openxmlformats.org/officeDocument/2006/relationships" r:id="rId96"/>
          <a:extLst>
            <a:ext uri="{FF2B5EF4-FFF2-40B4-BE49-F238E27FC236}">
              <a16:creationId xmlns:a16="http://schemas.microsoft.com/office/drawing/2014/main" id="{00000000-0008-0000-0600-00000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1" name="Picture 16" descr="España">
          <a:hlinkClick xmlns:r="http://schemas.openxmlformats.org/officeDocument/2006/relationships" r:id="rId90"/>
          <a:extLst>
            <a:ext uri="{FF2B5EF4-FFF2-40B4-BE49-F238E27FC236}">
              <a16:creationId xmlns:a16="http://schemas.microsoft.com/office/drawing/2014/main" id="{00000000-0008-0000-0600-00000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2" name="Picture 18" descr="France">
          <a:hlinkClick xmlns:r="http://schemas.openxmlformats.org/officeDocument/2006/relationships" r:id="rId97"/>
          <a:extLst>
            <a:ext uri="{FF2B5EF4-FFF2-40B4-BE49-F238E27FC236}">
              <a16:creationId xmlns:a16="http://schemas.microsoft.com/office/drawing/2014/main" id="{00000000-0008-0000-0600-00000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3" name="Picture 19" descr="France">
          <a:hlinkClick xmlns:r="http://schemas.openxmlformats.org/officeDocument/2006/relationships" r:id="rId97"/>
          <a:extLst>
            <a:ext uri="{FF2B5EF4-FFF2-40B4-BE49-F238E27FC236}">
              <a16:creationId xmlns:a16="http://schemas.microsoft.com/office/drawing/2014/main" id="{00000000-0008-0000-0600-00000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4" name="Picture 21" descr="Argentina">
          <a:hlinkClick xmlns:r="http://schemas.openxmlformats.org/officeDocument/2006/relationships" r:id="rId98"/>
          <a:extLst>
            <a:ext uri="{FF2B5EF4-FFF2-40B4-BE49-F238E27FC236}">
              <a16:creationId xmlns:a16="http://schemas.microsoft.com/office/drawing/2014/main" id="{00000000-0008-0000-0600-00001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5" name="Picture 23" descr="España">
          <a:hlinkClick xmlns:r="http://schemas.openxmlformats.org/officeDocument/2006/relationships" r:id="rId90"/>
          <a:extLst>
            <a:ext uri="{FF2B5EF4-FFF2-40B4-BE49-F238E27FC236}">
              <a16:creationId xmlns:a16="http://schemas.microsoft.com/office/drawing/2014/main" id="{00000000-0008-0000-0600-00001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6" name="Picture 25" descr="Lubnan">
          <a:hlinkClick xmlns:r="http://schemas.openxmlformats.org/officeDocument/2006/relationships" r:id="rId99"/>
          <a:extLst>
            <a:ext uri="{FF2B5EF4-FFF2-40B4-BE49-F238E27FC236}">
              <a16:creationId xmlns:a16="http://schemas.microsoft.com/office/drawing/2014/main" id="{00000000-0008-0000-0600-00001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7" name="Picture 27" descr="Magyarország">
          <a:hlinkClick xmlns:r="http://schemas.openxmlformats.org/officeDocument/2006/relationships" r:id="rId100"/>
          <a:extLst>
            <a:ext uri="{FF2B5EF4-FFF2-40B4-BE49-F238E27FC236}">
              <a16:creationId xmlns:a16="http://schemas.microsoft.com/office/drawing/2014/main" id="{00000000-0008-0000-0600-00001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8" name="Picture 29" descr="Uruguay">
          <a:hlinkClick xmlns:r="http://schemas.openxmlformats.org/officeDocument/2006/relationships" r:id="rId101"/>
          <a:extLst>
            <a:ext uri="{FF2B5EF4-FFF2-40B4-BE49-F238E27FC236}">
              <a16:creationId xmlns:a16="http://schemas.microsoft.com/office/drawing/2014/main" id="{00000000-0008-0000-0600-00001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9" name="Picture 30" descr="Italia">
          <a:hlinkClick xmlns:r="http://schemas.openxmlformats.org/officeDocument/2006/relationships" r:id="rId96"/>
          <a:extLst>
            <a:ext uri="{FF2B5EF4-FFF2-40B4-BE49-F238E27FC236}">
              <a16:creationId xmlns:a16="http://schemas.microsoft.com/office/drawing/2014/main" id="{00000000-0008-0000-0600-00001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0" name="Picture 31" descr="Nederland">
          <a:hlinkClick xmlns:r="http://schemas.openxmlformats.org/officeDocument/2006/relationships" r:id="rId95"/>
          <a:extLst>
            <a:ext uri="{FF2B5EF4-FFF2-40B4-BE49-F238E27FC236}">
              <a16:creationId xmlns:a16="http://schemas.microsoft.com/office/drawing/2014/main" id="{00000000-0008-0000-0600-00001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1" name="Picture 32" descr="Italia">
          <a:hlinkClick xmlns:r="http://schemas.openxmlformats.org/officeDocument/2006/relationships" r:id="rId96"/>
          <a:extLst>
            <a:ext uri="{FF2B5EF4-FFF2-40B4-BE49-F238E27FC236}">
              <a16:creationId xmlns:a16="http://schemas.microsoft.com/office/drawing/2014/main" id="{00000000-0008-0000-0600-00001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2" name="Picture 34" descr="Deutschland">
          <a:hlinkClick xmlns:r="http://schemas.openxmlformats.org/officeDocument/2006/relationships" r:id="rId102"/>
          <a:extLst>
            <a:ext uri="{FF2B5EF4-FFF2-40B4-BE49-F238E27FC236}">
              <a16:creationId xmlns:a16="http://schemas.microsoft.com/office/drawing/2014/main" id="{00000000-0008-0000-0600-00001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3" name="Picture 36" descr="Israel">
          <a:hlinkClick xmlns:r="http://schemas.openxmlformats.org/officeDocument/2006/relationships" r:id="rId103"/>
          <a:extLst>
            <a:ext uri="{FF2B5EF4-FFF2-40B4-BE49-F238E27FC236}">
              <a16:creationId xmlns:a16="http://schemas.microsoft.com/office/drawing/2014/main" id="{00000000-0008-0000-0600-00001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4" name="Picture 37" descr="Slovensko">
          <a:hlinkClick xmlns:r="http://schemas.openxmlformats.org/officeDocument/2006/relationships" r:id="rId104"/>
          <a:extLst>
            <a:ext uri="{FF2B5EF4-FFF2-40B4-BE49-F238E27FC236}">
              <a16:creationId xmlns:a16="http://schemas.microsoft.com/office/drawing/2014/main" id="{00000000-0008-0000-0600-00001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5" name="Picture 2" descr="España">
          <a:hlinkClick xmlns:r="http://schemas.openxmlformats.org/officeDocument/2006/relationships" r:id="rId90"/>
          <a:extLst>
            <a:ext uri="{FF2B5EF4-FFF2-40B4-BE49-F238E27FC236}">
              <a16:creationId xmlns:a16="http://schemas.microsoft.com/office/drawing/2014/main" id="{00000000-0008-0000-0600-00001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6" name="Picture 3" descr="USA">
          <a:hlinkClick xmlns:r="http://schemas.openxmlformats.org/officeDocument/2006/relationships" r:id="rId91"/>
          <a:extLst>
            <a:ext uri="{FF2B5EF4-FFF2-40B4-BE49-F238E27FC236}">
              <a16:creationId xmlns:a16="http://schemas.microsoft.com/office/drawing/2014/main" id="{00000000-0008-0000-0600-00001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7" name="Picture 5" descr="España">
          <a:hlinkClick xmlns:r="http://schemas.openxmlformats.org/officeDocument/2006/relationships" r:id="rId90"/>
          <a:extLst>
            <a:ext uri="{FF2B5EF4-FFF2-40B4-BE49-F238E27FC236}">
              <a16:creationId xmlns:a16="http://schemas.microsoft.com/office/drawing/2014/main" id="{00000000-0008-0000-0600-00001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8" name="Picture 6" descr="España">
          <a:hlinkClick xmlns:r="http://schemas.openxmlformats.org/officeDocument/2006/relationships" r:id="rId90"/>
          <a:extLst>
            <a:ext uri="{FF2B5EF4-FFF2-40B4-BE49-F238E27FC236}">
              <a16:creationId xmlns:a16="http://schemas.microsoft.com/office/drawing/2014/main" id="{00000000-0008-0000-0600-00001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9" name="Picture 8" descr="Česká republika">
          <a:hlinkClick xmlns:r="http://schemas.openxmlformats.org/officeDocument/2006/relationships" r:id="rId92"/>
          <a:extLst>
            <a:ext uri="{FF2B5EF4-FFF2-40B4-BE49-F238E27FC236}">
              <a16:creationId xmlns:a16="http://schemas.microsoft.com/office/drawing/2014/main" id="{00000000-0008-0000-0600-00001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0" name="Picture 9" descr="Sverige">
          <a:hlinkClick xmlns:r="http://schemas.openxmlformats.org/officeDocument/2006/relationships" r:id="rId93"/>
          <a:extLst>
            <a:ext uri="{FF2B5EF4-FFF2-40B4-BE49-F238E27FC236}">
              <a16:creationId xmlns:a16="http://schemas.microsoft.com/office/drawing/2014/main" id="{00000000-0008-0000-0600-00002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1" name="Picture 11" descr="Suomi">
          <a:hlinkClick xmlns:r="http://schemas.openxmlformats.org/officeDocument/2006/relationships" r:id="rId94"/>
          <a:extLst>
            <a:ext uri="{FF2B5EF4-FFF2-40B4-BE49-F238E27FC236}">
              <a16:creationId xmlns:a16="http://schemas.microsoft.com/office/drawing/2014/main" id="{00000000-0008-0000-0600-00002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2" name="Picture 12" descr="España">
          <a:hlinkClick xmlns:r="http://schemas.openxmlformats.org/officeDocument/2006/relationships" r:id="rId90"/>
          <a:extLst>
            <a:ext uri="{FF2B5EF4-FFF2-40B4-BE49-F238E27FC236}">
              <a16:creationId xmlns:a16="http://schemas.microsoft.com/office/drawing/2014/main" id="{00000000-0008-0000-0600-00002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3" name="Picture 13" descr="Nederland">
          <a:hlinkClick xmlns:r="http://schemas.openxmlformats.org/officeDocument/2006/relationships" r:id="rId95"/>
          <a:extLst>
            <a:ext uri="{FF2B5EF4-FFF2-40B4-BE49-F238E27FC236}">
              <a16:creationId xmlns:a16="http://schemas.microsoft.com/office/drawing/2014/main" id="{00000000-0008-0000-0600-00002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4" name="Picture 14" descr="Italia">
          <a:hlinkClick xmlns:r="http://schemas.openxmlformats.org/officeDocument/2006/relationships" r:id="rId96"/>
          <a:extLst>
            <a:ext uri="{FF2B5EF4-FFF2-40B4-BE49-F238E27FC236}">
              <a16:creationId xmlns:a16="http://schemas.microsoft.com/office/drawing/2014/main" id="{00000000-0008-0000-0600-00002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5" name="Picture 16" descr="España">
          <a:hlinkClick xmlns:r="http://schemas.openxmlformats.org/officeDocument/2006/relationships" r:id="rId90"/>
          <a:extLst>
            <a:ext uri="{FF2B5EF4-FFF2-40B4-BE49-F238E27FC236}">
              <a16:creationId xmlns:a16="http://schemas.microsoft.com/office/drawing/2014/main" id="{00000000-0008-0000-0600-00002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6" name="Picture 18" descr="France">
          <a:hlinkClick xmlns:r="http://schemas.openxmlformats.org/officeDocument/2006/relationships" r:id="rId97"/>
          <a:extLst>
            <a:ext uri="{FF2B5EF4-FFF2-40B4-BE49-F238E27FC236}">
              <a16:creationId xmlns:a16="http://schemas.microsoft.com/office/drawing/2014/main" id="{00000000-0008-0000-0600-00002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7" name="Picture 19" descr="France">
          <a:hlinkClick xmlns:r="http://schemas.openxmlformats.org/officeDocument/2006/relationships" r:id="rId97"/>
          <a:extLst>
            <a:ext uri="{FF2B5EF4-FFF2-40B4-BE49-F238E27FC236}">
              <a16:creationId xmlns:a16="http://schemas.microsoft.com/office/drawing/2014/main" id="{00000000-0008-0000-0600-00002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8" name="Picture 21" descr="Argentina">
          <a:hlinkClick xmlns:r="http://schemas.openxmlformats.org/officeDocument/2006/relationships" r:id="rId98"/>
          <a:extLst>
            <a:ext uri="{FF2B5EF4-FFF2-40B4-BE49-F238E27FC236}">
              <a16:creationId xmlns:a16="http://schemas.microsoft.com/office/drawing/2014/main" id="{00000000-0008-0000-0600-00002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9" name="Picture 23" descr="España">
          <a:hlinkClick xmlns:r="http://schemas.openxmlformats.org/officeDocument/2006/relationships" r:id="rId90"/>
          <a:extLst>
            <a:ext uri="{FF2B5EF4-FFF2-40B4-BE49-F238E27FC236}">
              <a16:creationId xmlns:a16="http://schemas.microsoft.com/office/drawing/2014/main" id="{00000000-0008-0000-0600-00002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0" name="Picture 25" descr="Lubnan">
          <a:hlinkClick xmlns:r="http://schemas.openxmlformats.org/officeDocument/2006/relationships" r:id="rId99"/>
          <a:extLst>
            <a:ext uri="{FF2B5EF4-FFF2-40B4-BE49-F238E27FC236}">
              <a16:creationId xmlns:a16="http://schemas.microsoft.com/office/drawing/2014/main" id="{00000000-0008-0000-0600-00002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1" name="Picture 27" descr="Magyarország">
          <a:hlinkClick xmlns:r="http://schemas.openxmlformats.org/officeDocument/2006/relationships" r:id="rId100"/>
          <a:extLst>
            <a:ext uri="{FF2B5EF4-FFF2-40B4-BE49-F238E27FC236}">
              <a16:creationId xmlns:a16="http://schemas.microsoft.com/office/drawing/2014/main" id="{00000000-0008-0000-0600-00002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2" name="Picture 29" descr="Uruguay">
          <a:hlinkClick xmlns:r="http://schemas.openxmlformats.org/officeDocument/2006/relationships" r:id="rId101"/>
          <a:extLst>
            <a:ext uri="{FF2B5EF4-FFF2-40B4-BE49-F238E27FC236}">
              <a16:creationId xmlns:a16="http://schemas.microsoft.com/office/drawing/2014/main" id="{00000000-0008-0000-0600-00002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3" name="Picture 30" descr="Italia">
          <a:hlinkClick xmlns:r="http://schemas.openxmlformats.org/officeDocument/2006/relationships" r:id="rId96"/>
          <a:extLst>
            <a:ext uri="{FF2B5EF4-FFF2-40B4-BE49-F238E27FC236}">
              <a16:creationId xmlns:a16="http://schemas.microsoft.com/office/drawing/2014/main" id="{00000000-0008-0000-0600-00002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4" name="Picture 31" descr="Nederland">
          <a:hlinkClick xmlns:r="http://schemas.openxmlformats.org/officeDocument/2006/relationships" r:id="rId95"/>
          <a:extLst>
            <a:ext uri="{FF2B5EF4-FFF2-40B4-BE49-F238E27FC236}">
              <a16:creationId xmlns:a16="http://schemas.microsoft.com/office/drawing/2014/main" id="{00000000-0008-0000-0600-00002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5" name="Picture 32" descr="Italia">
          <a:hlinkClick xmlns:r="http://schemas.openxmlformats.org/officeDocument/2006/relationships" r:id="rId96"/>
          <a:extLst>
            <a:ext uri="{FF2B5EF4-FFF2-40B4-BE49-F238E27FC236}">
              <a16:creationId xmlns:a16="http://schemas.microsoft.com/office/drawing/2014/main" id="{00000000-0008-0000-0600-00002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6" name="Picture 34" descr="Deutschland">
          <a:hlinkClick xmlns:r="http://schemas.openxmlformats.org/officeDocument/2006/relationships" r:id="rId102"/>
          <a:extLst>
            <a:ext uri="{FF2B5EF4-FFF2-40B4-BE49-F238E27FC236}">
              <a16:creationId xmlns:a16="http://schemas.microsoft.com/office/drawing/2014/main" id="{00000000-0008-0000-0600-00003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7" name="Picture 36" descr="Israel">
          <a:hlinkClick xmlns:r="http://schemas.openxmlformats.org/officeDocument/2006/relationships" r:id="rId103"/>
          <a:extLst>
            <a:ext uri="{FF2B5EF4-FFF2-40B4-BE49-F238E27FC236}">
              <a16:creationId xmlns:a16="http://schemas.microsoft.com/office/drawing/2014/main" id="{00000000-0008-0000-0600-00003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8" name="Picture 37" descr="Slovensko">
          <a:hlinkClick xmlns:r="http://schemas.openxmlformats.org/officeDocument/2006/relationships" r:id="rId104"/>
          <a:extLst>
            <a:ext uri="{FF2B5EF4-FFF2-40B4-BE49-F238E27FC236}">
              <a16:creationId xmlns:a16="http://schemas.microsoft.com/office/drawing/2014/main" id="{00000000-0008-0000-0600-00003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9" name="Picture 2" descr="España">
          <a:hlinkClick xmlns:r="http://schemas.openxmlformats.org/officeDocument/2006/relationships" r:id="rId90"/>
          <a:extLst>
            <a:ext uri="{FF2B5EF4-FFF2-40B4-BE49-F238E27FC236}">
              <a16:creationId xmlns:a16="http://schemas.microsoft.com/office/drawing/2014/main" id="{00000000-0008-0000-0600-00003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0" name="Picture 3" descr="USA">
          <a:hlinkClick xmlns:r="http://schemas.openxmlformats.org/officeDocument/2006/relationships" r:id="rId91"/>
          <a:extLst>
            <a:ext uri="{FF2B5EF4-FFF2-40B4-BE49-F238E27FC236}">
              <a16:creationId xmlns:a16="http://schemas.microsoft.com/office/drawing/2014/main" id="{00000000-0008-0000-0600-00003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1" name="Picture 5" descr="España">
          <a:hlinkClick xmlns:r="http://schemas.openxmlformats.org/officeDocument/2006/relationships" r:id="rId90"/>
          <a:extLst>
            <a:ext uri="{FF2B5EF4-FFF2-40B4-BE49-F238E27FC236}">
              <a16:creationId xmlns:a16="http://schemas.microsoft.com/office/drawing/2014/main" id="{00000000-0008-0000-0600-00003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2" name="Picture 6" descr="España">
          <a:hlinkClick xmlns:r="http://schemas.openxmlformats.org/officeDocument/2006/relationships" r:id="rId90"/>
          <a:extLst>
            <a:ext uri="{FF2B5EF4-FFF2-40B4-BE49-F238E27FC236}">
              <a16:creationId xmlns:a16="http://schemas.microsoft.com/office/drawing/2014/main" id="{00000000-0008-0000-0600-00003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3" name="Picture 8" descr="Česká republika">
          <a:hlinkClick xmlns:r="http://schemas.openxmlformats.org/officeDocument/2006/relationships" r:id="rId92"/>
          <a:extLst>
            <a:ext uri="{FF2B5EF4-FFF2-40B4-BE49-F238E27FC236}">
              <a16:creationId xmlns:a16="http://schemas.microsoft.com/office/drawing/2014/main" id="{00000000-0008-0000-0600-00003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4" name="Picture 9" descr="Sverige">
          <a:hlinkClick xmlns:r="http://schemas.openxmlformats.org/officeDocument/2006/relationships" r:id="rId93"/>
          <a:extLst>
            <a:ext uri="{FF2B5EF4-FFF2-40B4-BE49-F238E27FC236}">
              <a16:creationId xmlns:a16="http://schemas.microsoft.com/office/drawing/2014/main" id="{00000000-0008-0000-0600-00003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5" name="Picture 11" descr="Suomi">
          <a:hlinkClick xmlns:r="http://schemas.openxmlformats.org/officeDocument/2006/relationships" r:id="rId94"/>
          <a:extLst>
            <a:ext uri="{FF2B5EF4-FFF2-40B4-BE49-F238E27FC236}">
              <a16:creationId xmlns:a16="http://schemas.microsoft.com/office/drawing/2014/main" id="{00000000-0008-0000-0600-00003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6" name="Picture 12" descr="España">
          <a:hlinkClick xmlns:r="http://schemas.openxmlformats.org/officeDocument/2006/relationships" r:id="rId90"/>
          <a:extLst>
            <a:ext uri="{FF2B5EF4-FFF2-40B4-BE49-F238E27FC236}">
              <a16:creationId xmlns:a16="http://schemas.microsoft.com/office/drawing/2014/main" id="{00000000-0008-0000-0600-00003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7" name="Picture 13" descr="Nederland">
          <a:hlinkClick xmlns:r="http://schemas.openxmlformats.org/officeDocument/2006/relationships" r:id="rId95"/>
          <a:extLst>
            <a:ext uri="{FF2B5EF4-FFF2-40B4-BE49-F238E27FC236}">
              <a16:creationId xmlns:a16="http://schemas.microsoft.com/office/drawing/2014/main" id="{00000000-0008-0000-0600-00003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8" name="Picture 14" descr="Italia">
          <a:hlinkClick xmlns:r="http://schemas.openxmlformats.org/officeDocument/2006/relationships" r:id="rId96"/>
          <a:extLst>
            <a:ext uri="{FF2B5EF4-FFF2-40B4-BE49-F238E27FC236}">
              <a16:creationId xmlns:a16="http://schemas.microsoft.com/office/drawing/2014/main" id="{00000000-0008-0000-0600-00003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9" name="Picture 16" descr="España">
          <a:hlinkClick xmlns:r="http://schemas.openxmlformats.org/officeDocument/2006/relationships" r:id="rId90"/>
          <a:extLst>
            <a:ext uri="{FF2B5EF4-FFF2-40B4-BE49-F238E27FC236}">
              <a16:creationId xmlns:a16="http://schemas.microsoft.com/office/drawing/2014/main" id="{00000000-0008-0000-0600-00003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0" name="Picture 18" descr="France">
          <a:hlinkClick xmlns:r="http://schemas.openxmlformats.org/officeDocument/2006/relationships" r:id="rId97"/>
          <a:extLst>
            <a:ext uri="{FF2B5EF4-FFF2-40B4-BE49-F238E27FC236}">
              <a16:creationId xmlns:a16="http://schemas.microsoft.com/office/drawing/2014/main" id="{00000000-0008-0000-0600-00003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1" name="Picture 19" descr="France">
          <a:hlinkClick xmlns:r="http://schemas.openxmlformats.org/officeDocument/2006/relationships" r:id="rId97"/>
          <a:extLst>
            <a:ext uri="{FF2B5EF4-FFF2-40B4-BE49-F238E27FC236}">
              <a16:creationId xmlns:a16="http://schemas.microsoft.com/office/drawing/2014/main" id="{00000000-0008-0000-0600-00003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2" name="Picture 21" descr="Argentina">
          <a:hlinkClick xmlns:r="http://schemas.openxmlformats.org/officeDocument/2006/relationships" r:id="rId98"/>
          <a:extLst>
            <a:ext uri="{FF2B5EF4-FFF2-40B4-BE49-F238E27FC236}">
              <a16:creationId xmlns:a16="http://schemas.microsoft.com/office/drawing/2014/main" id="{00000000-0008-0000-0600-00004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3" name="Picture 23" descr="España">
          <a:hlinkClick xmlns:r="http://schemas.openxmlformats.org/officeDocument/2006/relationships" r:id="rId90"/>
          <a:extLst>
            <a:ext uri="{FF2B5EF4-FFF2-40B4-BE49-F238E27FC236}">
              <a16:creationId xmlns:a16="http://schemas.microsoft.com/office/drawing/2014/main" id="{00000000-0008-0000-0600-00004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4" name="Picture 25" descr="Lubnan">
          <a:hlinkClick xmlns:r="http://schemas.openxmlformats.org/officeDocument/2006/relationships" r:id="rId99"/>
          <a:extLst>
            <a:ext uri="{FF2B5EF4-FFF2-40B4-BE49-F238E27FC236}">
              <a16:creationId xmlns:a16="http://schemas.microsoft.com/office/drawing/2014/main" id="{00000000-0008-0000-0600-00004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5" name="Picture 27" descr="Magyarország">
          <a:hlinkClick xmlns:r="http://schemas.openxmlformats.org/officeDocument/2006/relationships" r:id="rId100"/>
          <a:extLst>
            <a:ext uri="{FF2B5EF4-FFF2-40B4-BE49-F238E27FC236}">
              <a16:creationId xmlns:a16="http://schemas.microsoft.com/office/drawing/2014/main" id="{00000000-0008-0000-0600-00004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6" name="Picture 29" descr="Uruguay">
          <a:hlinkClick xmlns:r="http://schemas.openxmlformats.org/officeDocument/2006/relationships" r:id="rId101"/>
          <a:extLst>
            <a:ext uri="{FF2B5EF4-FFF2-40B4-BE49-F238E27FC236}">
              <a16:creationId xmlns:a16="http://schemas.microsoft.com/office/drawing/2014/main" id="{00000000-0008-0000-0600-00004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7" name="Picture 30" descr="Italia">
          <a:hlinkClick xmlns:r="http://schemas.openxmlformats.org/officeDocument/2006/relationships" r:id="rId96"/>
          <a:extLst>
            <a:ext uri="{FF2B5EF4-FFF2-40B4-BE49-F238E27FC236}">
              <a16:creationId xmlns:a16="http://schemas.microsoft.com/office/drawing/2014/main" id="{00000000-0008-0000-0600-00004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8" name="Picture 31" descr="Nederland">
          <a:hlinkClick xmlns:r="http://schemas.openxmlformats.org/officeDocument/2006/relationships" r:id="rId95"/>
          <a:extLst>
            <a:ext uri="{FF2B5EF4-FFF2-40B4-BE49-F238E27FC236}">
              <a16:creationId xmlns:a16="http://schemas.microsoft.com/office/drawing/2014/main" id="{00000000-0008-0000-0600-00004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9" name="Picture 32" descr="Italia">
          <a:hlinkClick xmlns:r="http://schemas.openxmlformats.org/officeDocument/2006/relationships" r:id="rId96"/>
          <a:extLst>
            <a:ext uri="{FF2B5EF4-FFF2-40B4-BE49-F238E27FC236}">
              <a16:creationId xmlns:a16="http://schemas.microsoft.com/office/drawing/2014/main" id="{00000000-0008-0000-0600-00004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0" name="Picture 34" descr="Deutschland">
          <a:hlinkClick xmlns:r="http://schemas.openxmlformats.org/officeDocument/2006/relationships" r:id="rId102"/>
          <a:extLst>
            <a:ext uri="{FF2B5EF4-FFF2-40B4-BE49-F238E27FC236}">
              <a16:creationId xmlns:a16="http://schemas.microsoft.com/office/drawing/2014/main" id="{00000000-0008-0000-0600-00004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1" name="Picture 36" descr="Israel">
          <a:hlinkClick xmlns:r="http://schemas.openxmlformats.org/officeDocument/2006/relationships" r:id="rId103"/>
          <a:extLst>
            <a:ext uri="{FF2B5EF4-FFF2-40B4-BE49-F238E27FC236}">
              <a16:creationId xmlns:a16="http://schemas.microsoft.com/office/drawing/2014/main" id="{00000000-0008-0000-0600-00004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2" name="Picture 37" descr="Slovensko">
          <a:hlinkClick xmlns:r="http://schemas.openxmlformats.org/officeDocument/2006/relationships" r:id="rId104"/>
          <a:extLst>
            <a:ext uri="{FF2B5EF4-FFF2-40B4-BE49-F238E27FC236}">
              <a16:creationId xmlns:a16="http://schemas.microsoft.com/office/drawing/2014/main" id="{00000000-0008-0000-0600-00004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3" name="Picture 2" descr="España">
          <a:hlinkClick xmlns:r="http://schemas.openxmlformats.org/officeDocument/2006/relationships" r:id="rId90"/>
          <a:extLst>
            <a:ext uri="{FF2B5EF4-FFF2-40B4-BE49-F238E27FC236}">
              <a16:creationId xmlns:a16="http://schemas.microsoft.com/office/drawing/2014/main" id="{00000000-0008-0000-0600-00004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4" name="Picture 3" descr="USA">
          <a:hlinkClick xmlns:r="http://schemas.openxmlformats.org/officeDocument/2006/relationships" r:id="rId91"/>
          <a:extLst>
            <a:ext uri="{FF2B5EF4-FFF2-40B4-BE49-F238E27FC236}">
              <a16:creationId xmlns:a16="http://schemas.microsoft.com/office/drawing/2014/main" id="{00000000-0008-0000-0600-00004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5" name="Picture 5" descr="España">
          <a:hlinkClick xmlns:r="http://schemas.openxmlformats.org/officeDocument/2006/relationships" r:id="rId90"/>
          <a:extLst>
            <a:ext uri="{FF2B5EF4-FFF2-40B4-BE49-F238E27FC236}">
              <a16:creationId xmlns:a16="http://schemas.microsoft.com/office/drawing/2014/main" id="{00000000-0008-0000-0600-00004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6" name="Picture 6" descr="España">
          <a:hlinkClick xmlns:r="http://schemas.openxmlformats.org/officeDocument/2006/relationships" r:id="rId90"/>
          <a:extLst>
            <a:ext uri="{FF2B5EF4-FFF2-40B4-BE49-F238E27FC236}">
              <a16:creationId xmlns:a16="http://schemas.microsoft.com/office/drawing/2014/main" id="{00000000-0008-0000-0600-00004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7" name="Picture 8" descr="Česká republika">
          <a:hlinkClick xmlns:r="http://schemas.openxmlformats.org/officeDocument/2006/relationships" r:id="rId92"/>
          <a:extLst>
            <a:ext uri="{FF2B5EF4-FFF2-40B4-BE49-F238E27FC236}">
              <a16:creationId xmlns:a16="http://schemas.microsoft.com/office/drawing/2014/main" id="{00000000-0008-0000-0600-00004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8" name="Picture 9" descr="Sverige">
          <a:hlinkClick xmlns:r="http://schemas.openxmlformats.org/officeDocument/2006/relationships" r:id="rId93"/>
          <a:extLst>
            <a:ext uri="{FF2B5EF4-FFF2-40B4-BE49-F238E27FC236}">
              <a16:creationId xmlns:a16="http://schemas.microsoft.com/office/drawing/2014/main" id="{00000000-0008-0000-0600-00005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9" name="Picture 11" descr="Suomi">
          <a:hlinkClick xmlns:r="http://schemas.openxmlformats.org/officeDocument/2006/relationships" r:id="rId94"/>
          <a:extLst>
            <a:ext uri="{FF2B5EF4-FFF2-40B4-BE49-F238E27FC236}">
              <a16:creationId xmlns:a16="http://schemas.microsoft.com/office/drawing/2014/main" id="{00000000-0008-0000-0600-00005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0" name="Picture 12" descr="España">
          <a:hlinkClick xmlns:r="http://schemas.openxmlformats.org/officeDocument/2006/relationships" r:id="rId90"/>
          <a:extLst>
            <a:ext uri="{FF2B5EF4-FFF2-40B4-BE49-F238E27FC236}">
              <a16:creationId xmlns:a16="http://schemas.microsoft.com/office/drawing/2014/main" id="{00000000-0008-0000-0600-00005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1" name="Picture 13" descr="Nederland">
          <a:hlinkClick xmlns:r="http://schemas.openxmlformats.org/officeDocument/2006/relationships" r:id="rId95"/>
          <a:extLst>
            <a:ext uri="{FF2B5EF4-FFF2-40B4-BE49-F238E27FC236}">
              <a16:creationId xmlns:a16="http://schemas.microsoft.com/office/drawing/2014/main" id="{00000000-0008-0000-0600-00005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2" name="Picture 14" descr="Italia">
          <a:hlinkClick xmlns:r="http://schemas.openxmlformats.org/officeDocument/2006/relationships" r:id="rId96"/>
          <a:extLst>
            <a:ext uri="{FF2B5EF4-FFF2-40B4-BE49-F238E27FC236}">
              <a16:creationId xmlns:a16="http://schemas.microsoft.com/office/drawing/2014/main" id="{00000000-0008-0000-0600-00005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3" name="Picture 16" descr="España">
          <a:hlinkClick xmlns:r="http://schemas.openxmlformats.org/officeDocument/2006/relationships" r:id="rId90"/>
          <a:extLst>
            <a:ext uri="{FF2B5EF4-FFF2-40B4-BE49-F238E27FC236}">
              <a16:creationId xmlns:a16="http://schemas.microsoft.com/office/drawing/2014/main" id="{00000000-0008-0000-0600-00005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4" name="Picture 18" descr="France">
          <a:hlinkClick xmlns:r="http://schemas.openxmlformats.org/officeDocument/2006/relationships" r:id="rId97"/>
          <a:extLst>
            <a:ext uri="{FF2B5EF4-FFF2-40B4-BE49-F238E27FC236}">
              <a16:creationId xmlns:a16="http://schemas.microsoft.com/office/drawing/2014/main" id="{00000000-0008-0000-0600-00005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5" name="Picture 19" descr="France">
          <a:hlinkClick xmlns:r="http://schemas.openxmlformats.org/officeDocument/2006/relationships" r:id="rId97"/>
          <a:extLst>
            <a:ext uri="{FF2B5EF4-FFF2-40B4-BE49-F238E27FC236}">
              <a16:creationId xmlns:a16="http://schemas.microsoft.com/office/drawing/2014/main" id="{00000000-0008-0000-0600-00005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6" name="Picture 21" descr="Argentina">
          <a:hlinkClick xmlns:r="http://schemas.openxmlformats.org/officeDocument/2006/relationships" r:id="rId98"/>
          <a:extLst>
            <a:ext uri="{FF2B5EF4-FFF2-40B4-BE49-F238E27FC236}">
              <a16:creationId xmlns:a16="http://schemas.microsoft.com/office/drawing/2014/main" id="{00000000-0008-0000-0600-00005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7" name="Picture 23" descr="España">
          <a:hlinkClick xmlns:r="http://schemas.openxmlformats.org/officeDocument/2006/relationships" r:id="rId90"/>
          <a:extLst>
            <a:ext uri="{FF2B5EF4-FFF2-40B4-BE49-F238E27FC236}">
              <a16:creationId xmlns:a16="http://schemas.microsoft.com/office/drawing/2014/main" id="{00000000-0008-0000-0600-00005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8" name="Picture 25" descr="Lubnan">
          <a:hlinkClick xmlns:r="http://schemas.openxmlformats.org/officeDocument/2006/relationships" r:id="rId99"/>
          <a:extLst>
            <a:ext uri="{FF2B5EF4-FFF2-40B4-BE49-F238E27FC236}">
              <a16:creationId xmlns:a16="http://schemas.microsoft.com/office/drawing/2014/main" id="{00000000-0008-0000-0600-00005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9" name="Picture 27" descr="Magyarország">
          <a:hlinkClick xmlns:r="http://schemas.openxmlformats.org/officeDocument/2006/relationships" r:id="rId100"/>
          <a:extLst>
            <a:ext uri="{FF2B5EF4-FFF2-40B4-BE49-F238E27FC236}">
              <a16:creationId xmlns:a16="http://schemas.microsoft.com/office/drawing/2014/main" id="{00000000-0008-0000-0600-00005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0" name="Picture 29" descr="Uruguay">
          <a:hlinkClick xmlns:r="http://schemas.openxmlformats.org/officeDocument/2006/relationships" r:id="rId101"/>
          <a:extLst>
            <a:ext uri="{FF2B5EF4-FFF2-40B4-BE49-F238E27FC236}">
              <a16:creationId xmlns:a16="http://schemas.microsoft.com/office/drawing/2014/main" id="{00000000-0008-0000-0600-00005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1" name="Picture 30" descr="Italia">
          <a:hlinkClick xmlns:r="http://schemas.openxmlformats.org/officeDocument/2006/relationships" r:id="rId96"/>
          <a:extLst>
            <a:ext uri="{FF2B5EF4-FFF2-40B4-BE49-F238E27FC236}">
              <a16:creationId xmlns:a16="http://schemas.microsoft.com/office/drawing/2014/main" id="{00000000-0008-0000-0600-00005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2" name="Picture 31" descr="Nederland">
          <a:hlinkClick xmlns:r="http://schemas.openxmlformats.org/officeDocument/2006/relationships" r:id="rId95"/>
          <a:extLst>
            <a:ext uri="{FF2B5EF4-FFF2-40B4-BE49-F238E27FC236}">
              <a16:creationId xmlns:a16="http://schemas.microsoft.com/office/drawing/2014/main" id="{00000000-0008-0000-0600-00005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3" name="Picture 32" descr="Italia">
          <a:hlinkClick xmlns:r="http://schemas.openxmlformats.org/officeDocument/2006/relationships" r:id="rId96"/>
          <a:extLst>
            <a:ext uri="{FF2B5EF4-FFF2-40B4-BE49-F238E27FC236}">
              <a16:creationId xmlns:a16="http://schemas.microsoft.com/office/drawing/2014/main" id="{00000000-0008-0000-0600-00005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4" name="Picture 34" descr="Deutschland">
          <a:hlinkClick xmlns:r="http://schemas.openxmlformats.org/officeDocument/2006/relationships" r:id="rId102"/>
          <a:extLst>
            <a:ext uri="{FF2B5EF4-FFF2-40B4-BE49-F238E27FC236}">
              <a16:creationId xmlns:a16="http://schemas.microsoft.com/office/drawing/2014/main" id="{00000000-0008-0000-0600-00006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5" name="Picture 36" descr="Israel">
          <a:hlinkClick xmlns:r="http://schemas.openxmlformats.org/officeDocument/2006/relationships" r:id="rId103"/>
          <a:extLst>
            <a:ext uri="{FF2B5EF4-FFF2-40B4-BE49-F238E27FC236}">
              <a16:creationId xmlns:a16="http://schemas.microsoft.com/office/drawing/2014/main" id="{00000000-0008-0000-0600-00006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6" name="Picture 37" descr="Slovensko">
          <a:hlinkClick xmlns:r="http://schemas.openxmlformats.org/officeDocument/2006/relationships" r:id="rId104"/>
          <a:extLst>
            <a:ext uri="{FF2B5EF4-FFF2-40B4-BE49-F238E27FC236}">
              <a16:creationId xmlns:a16="http://schemas.microsoft.com/office/drawing/2014/main" id="{00000000-0008-0000-0600-00006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7" name="Picture 2" descr="España">
          <a:hlinkClick xmlns:r="http://schemas.openxmlformats.org/officeDocument/2006/relationships" r:id="rId90"/>
          <a:extLst>
            <a:ext uri="{FF2B5EF4-FFF2-40B4-BE49-F238E27FC236}">
              <a16:creationId xmlns:a16="http://schemas.microsoft.com/office/drawing/2014/main" id="{00000000-0008-0000-0600-00006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8" name="Picture 3" descr="USA">
          <a:hlinkClick xmlns:r="http://schemas.openxmlformats.org/officeDocument/2006/relationships" r:id="rId91"/>
          <a:extLst>
            <a:ext uri="{FF2B5EF4-FFF2-40B4-BE49-F238E27FC236}">
              <a16:creationId xmlns:a16="http://schemas.microsoft.com/office/drawing/2014/main" id="{00000000-0008-0000-0600-00006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9" name="Picture 5" descr="España">
          <a:hlinkClick xmlns:r="http://schemas.openxmlformats.org/officeDocument/2006/relationships" r:id="rId90"/>
          <a:extLst>
            <a:ext uri="{FF2B5EF4-FFF2-40B4-BE49-F238E27FC236}">
              <a16:creationId xmlns:a16="http://schemas.microsoft.com/office/drawing/2014/main" id="{00000000-0008-0000-0600-00006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0" name="Picture 6" descr="España">
          <a:hlinkClick xmlns:r="http://schemas.openxmlformats.org/officeDocument/2006/relationships" r:id="rId90"/>
          <a:extLst>
            <a:ext uri="{FF2B5EF4-FFF2-40B4-BE49-F238E27FC236}">
              <a16:creationId xmlns:a16="http://schemas.microsoft.com/office/drawing/2014/main" id="{00000000-0008-0000-0600-00006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1" name="Picture 8" descr="Česká republika">
          <a:hlinkClick xmlns:r="http://schemas.openxmlformats.org/officeDocument/2006/relationships" r:id="rId92"/>
          <a:extLst>
            <a:ext uri="{FF2B5EF4-FFF2-40B4-BE49-F238E27FC236}">
              <a16:creationId xmlns:a16="http://schemas.microsoft.com/office/drawing/2014/main" id="{00000000-0008-0000-0600-00006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2" name="Picture 9" descr="Sverige">
          <a:hlinkClick xmlns:r="http://schemas.openxmlformats.org/officeDocument/2006/relationships" r:id="rId93"/>
          <a:extLst>
            <a:ext uri="{FF2B5EF4-FFF2-40B4-BE49-F238E27FC236}">
              <a16:creationId xmlns:a16="http://schemas.microsoft.com/office/drawing/2014/main" id="{00000000-0008-0000-0600-00006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3" name="Picture 11" descr="Suomi">
          <a:hlinkClick xmlns:r="http://schemas.openxmlformats.org/officeDocument/2006/relationships" r:id="rId94"/>
          <a:extLst>
            <a:ext uri="{FF2B5EF4-FFF2-40B4-BE49-F238E27FC236}">
              <a16:creationId xmlns:a16="http://schemas.microsoft.com/office/drawing/2014/main" id="{00000000-0008-0000-0600-00006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4" name="Picture 12" descr="España">
          <a:hlinkClick xmlns:r="http://schemas.openxmlformats.org/officeDocument/2006/relationships" r:id="rId90"/>
          <a:extLst>
            <a:ext uri="{FF2B5EF4-FFF2-40B4-BE49-F238E27FC236}">
              <a16:creationId xmlns:a16="http://schemas.microsoft.com/office/drawing/2014/main" id="{00000000-0008-0000-0600-00006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5" name="Picture 13" descr="Nederland">
          <a:hlinkClick xmlns:r="http://schemas.openxmlformats.org/officeDocument/2006/relationships" r:id="rId95"/>
          <a:extLst>
            <a:ext uri="{FF2B5EF4-FFF2-40B4-BE49-F238E27FC236}">
              <a16:creationId xmlns:a16="http://schemas.microsoft.com/office/drawing/2014/main" id="{00000000-0008-0000-0600-00006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6" name="Picture 14" descr="Italia">
          <a:hlinkClick xmlns:r="http://schemas.openxmlformats.org/officeDocument/2006/relationships" r:id="rId96"/>
          <a:extLst>
            <a:ext uri="{FF2B5EF4-FFF2-40B4-BE49-F238E27FC236}">
              <a16:creationId xmlns:a16="http://schemas.microsoft.com/office/drawing/2014/main" id="{00000000-0008-0000-0600-00006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7" name="Picture 16" descr="España">
          <a:hlinkClick xmlns:r="http://schemas.openxmlformats.org/officeDocument/2006/relationships" r:id="rId90"/>
          <a:extLst>
            <a:ext uri="{FF2B5EF4-FFF2-40B4-BE49-F238E27FC236}">
              <a16:creationId xmlns:a16="http://schemas.microsoft.com/office/drawing/2014/main" id="{00000000-0008-0000-0600-00006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8" name="Picture 18" descr="France">
          <a:hlinkClick xmlns:r="http://schemas.openxmlformats.org/officeDocument/2006/relationships" r:id="rId97"/>
          <a:extLst>
            <a:ext uri="{FF2B5EF4-FFF2-40B4-BE49-F238E27FC236}">
              <a16:creationId xmlns:a16="http://schemas.microsoft.com/office/drawing/2014/main" id="{00000000-0008-0000-0600-00006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9" name="Picture 19" descr="France">
          <a:hlinkClick xmlns:r="http://schemas.openxmlformats.org/officeDocument/2006/relationships" r:id="rId97"/>
          <a:extLst>
            <a:ext uri="{FF2B5EF4-FFF2-40B4-BE49-F238E27FC236}">
              <a16:creationId xmlns:a16="http://schemas.microsoft.com/office/drawing/2014/main" id="{00000000-0008-0000-0600-00006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0" name="Picture 21" descr="Argentina">
          <a:hlinkClick xmlns:r="http://schemas.openxmlformats.org/officeDocument/2006/relationships" r:id="rId98"/>
          <a:extLst>
            <a:ext uri="{FF2B5EF4-FFF2-40B4-BE49-F238E27FC236}">
              <a16:creationId xmlns:a16="http://schemas.microsoft.com/office/drawing/2014/main" id="{00000000-0008-0000-0600-00007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1" name="Picture 23" descr="España">
          <a:hlinkClick xmlns:r="http://schemas.openxmlformats.org/officeDocument/2006/relationships" r:id="rId90"/>
          <a:extLst>
            <a:ext uri="{FF2B5EF4-FFF2-40B4-BE49-F238E27FC236}">
              <a16:creationId xmlns:a16="http://schemas.microsoft.com/office/drawing/2014/main" id="{00000000-0008-0000-0600-00007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2" name="Picture 25" descr="Lubnan">
          <a:hlinkClick xmlns:r="http://schemas.openxmlformats.org/officeDocument/2006/relationships" r:id="rId99"/>
          <a:extLst>
            <a:ext uri="{FF2B5EF4-FFF2-40B4-BE49-F238E27FC236}">
              <a16:creationId xmlns:a16="http://schemas.microsoft.com/office/drawing/2014/main" id="{00000000-0008-0000-0600-00007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3" name="Picture 27" descr="Magyarország">
          <a:hlinkClick xmlns:r="http://schemas.openxmlformats.org/officeDocument/2006/relationships" r:id="rId100"/>
          <a:extLst>
            <a:ext uri="{FF2B5EF4-FFF2-40B4-BE49-F238E27FC236}">
              <a16:creationId xmlns:a16="http://schemas.microsoft.com/office/drawing/2014/main" id="{00000000-0008-0000-0600-00007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4" name="Picture 29" descr="Uruguay">
          <a:hlinkClick xmlns:r="http://schemas.openxmlformats.org/officeDocument/2006/relationships" r:id="rId101"/>
          <a:extLst>
            <a:ext uri="{FF2B5EF4-FFF2-40B4-BE49-F238E27FC236}">
              <a16:creationId xmlns:a16="http://schemas.microsoft.com/office/drawing/2014/main" id="{00000000-0008-0000-0600-00007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5" name="Picture 30" descr="Italia">
          <a:hlinkClick xmlns:r="http://schemas.openxmlformats.org/officeDocument/2006/relationships" r:id="rId96"/>
          <a:extLst>
            <a:ext uri="{FF2B5EF4-FFF2-40B4-BE49-F238E27FC236}">
              <a16:creationId xmlns:a16="http://schemas.microsoft.com/office/drawing/2014/main" id="{00000000-0008-0000-0600-00007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6" name="Picture 31" descr="Nederland">
          <a:hlinkClick xmlns:r="http://schemas.openxmlformats.org/officeDocument/2006/relationships" r:id="rId95"/>
          <a:extLst>
            <a:ext uri="{FF2B5EF4-FFF2-40B4-BE49-F238E27FC236}">
              <a16:creationId xmlns:a16="http://schemas.microsoft.com/office/drawing/2014/main" id="{00000000-0008-0000-0600-00007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7" name="Picture 32" descr="Italia">
          <a:hlinkClick xmlns:r="http://schemas.openxmlformats.org/officeDocument/2006/relationships" r:id="rId96"/>
          <a:extLst>
            <a:ext uri="{FF2B5EF4-FFF2-40B4-BE49-F238E27FC236}">
              <a16:creationId xmlns:a16="http://schemas.microsoft.com/office/drawing/2014/main" id="{00000000-0008-0000-0600-00007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8" name="Picture 34" descr="Deutschland">
          <a:hlinkClick xmlns:r="http://schemas.openxmlformats.org/officeDocument/2006/relationships" r:id="rId102"/>
          <a:extLst>
            <a:ext uri="{FF2B5EF4-FFF2-40B4-BE49-F238E27FC236}">
              <a16:creationId xmlns:a16="http://schemas.microsoft.com/office/drawing/2014/main" id="{00000000-0008-0000-0600-00007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9" name="Picture 36" descr="Israel">
          <a:hlinkClick xmlns:r="http://schemas.openxmlformats.org/officeDocument/2006/relationships" r:id="rId103"/>
          <a:extLst>
            <a:ext uri="{FF2B5EF4-FFF2-40B4-BE49-F238E27FC236}">
              <a16:creationId xmlns:a16="http://schemas.microsoft.com/office/drawing/2014/main" id="{00000000-0008-0000-0600-00007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0" name="Picture 37" descr="Slovensko">
          <a:hlinkClick xmlns:r="http://schemas.openxmlformats.org/officeDocument/2006/relationships" r:id="rId104"/>
          <a:extLst>
            <a:ext uri="{FF2B5EF4-FFF2-40B4-BE49-F238E27FC236}">
              <a16:creationId xmlns:a16="http://schemas.microsoft.com/office/drawing/2014/main" id="{00000000-0008-0000-0600-00007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1" name="Picture 2" descr="España">
          <a:hlinkClick xmlns:r="http://schemas.openxmlformats.org/officeDocument/2006/relationships" r:id="rId90"/>
          <a:extLst>
            <a:ext uri="{FF2B5EF4-FFF2-40B4-BE49-F238E27FC236}">
              <a16:creationId xmlns:a16="http://schemas.microsoft.com/office/drawing/2014/main" id="{00000000-0008-0000-0600-00007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2" name="Picture 3" descr="USA">
          <a:hlinkClick xmlns:r="http://schemas.openxmlformats.org/officeDocument/2006/relationships" r:id="rId91"/>
          <a:extLst>
            <a:ext uri="{FF2B5EF4-FFF2-40B4-BE49-F238E27FC236}">
              <a16:creationId xmlns:a16="http://schemas.microsoft.com/office/drawing/2014/main" id="{00000000-0008-0000-0600-00007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3" name="Picture 5" descr="España">
          <a:hlinkClick xmlns:r="http://schemas.openxmlformats.org/officeDocument/2006/relationships" r:id="rId90"/>
          <a:extLst>
            <a:ext uri="{FF2B5EF4-FFF2-40B4-BE49-F238E27FC236}">
              <a16:creationId xmlns:a16="http://schemas.microsoft.com/office/drawing/2014/main" id="{00000000-0008-0000-0600-00007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4" name="Picture 6" descr="España">
          <a:hlinkClick xmlns:r="http://schemas.openxmlformats.org/officeDocument/2006/relationships" r:id="rId90"/>
          <a:extLst>
            <a:ext uri="{FF2B5EF4-FFF2-40B4-BE49-F238E27FC236}">
              <a16:creationId xmlns:a16="http://schemas.microsoft.com/office/drawing/2014/main" id="{00000000-0008-0000-0600-00007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5" name="Picture 7" descr="Sverige">
          <a:hlinkClick xmlns:r="http://schemas.openxmlformats.org/officeDocument/2006/relationships" r:id="rId93"/>
          <a:extLst>
            <a:ext uri="{FF2B5EF4-FFF2-40B4-BE49-F238E27FC236}">
              <a16:creationId xmlns:a16="http://schemas.microsoft.com/office/drawing/2014/main" id="{00000000-0008-0000-0600-00007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6" name="Picture 9" descr="Suomi">
          <a:hlinkClick xmlns:r="http://schemas.openxmlformats.org/officeDocument/2006/relationships" r:id="rId94"/>
          <a:extLst>
            <a:ext uri="{FF2B5EF4-FFF2-40B4-BE49-F238E27FC236}">
              <a16:creationId xmlns:a16="http://schemas.microsoft.com/office/drawing/2014/main" id="{00000000-0008-0000-0600-00008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7" name="Picture 10" descr="España">
          <a:hlinkClick xmlns:r="http://schemas.openxmlformats.org/officeDocument/2006/relationships" r:id="rId90"/>
          <a:extLst>
            <a:ext uri="{FF2B5EF4-FFF2-40B4-BE49-F238E27FC236}">
              <a16:creationId xmlns:a16="http://schemas.microsoft.com/office/drawing/2014/main" id="{00000000-0008-0000-0600-00008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8" name="Picture 11" descr="Nederland">
          <a:hlinkClick xmlns:r="http://schemas.openxmlformats.org/officeDocument/2006/relationships" r:id="rId95"/>
          <a:extLst>
            <a:ext uri="{FF2B5EF4-FFF2-40B4-BE49-F238E27FC236}">
              <a16:creationId xmlns:a16="http://schemas.microsoft.com/office/drawing/2014/main" id="{00000000-0008-0000-0600-00008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9" name="Picture 13" descr="Deutschland">
          <a:hlinkClick xmlns:r="http://schemas.openxmlformats.org/officeDocument/2006/relationships" r:id="rId102"/>
          <a:extLst>
            <a:ext uri="{FF2B5EF4-FFF2-40B4-BE49-F238E27FC236}">
              <a16:creationId xmlns:a16="http://schemas.microsoft.com/office/drawing/2014/main" id="{00000000-0008-0000-0600-00008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0" name="Picture 14" descr="España">
          <a:hlinkClick xmlns:r="http://schemas.openxmlformats.org/officeDocument/2006/relationships" r:id="rId90"/>
          <a:extLst>
            <a:ext uri="{FF2B5EF4-FFF2-40B4-BE49-F238E27FC236}">
              <a16:creationId xmlns:a16="http://schemas.microsoft.com/office/drawing/2014/main" id="{00000000-0008-0000-0600-00008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1" name="Picture 16" descr="France">
          <a:hlinkClick xmlns:r="http://schemas.openxmlformats.org/officeDocument/2006/relationships" r:id="rId97"/>
          <a:extLst>
            <a:ext uri="{FF2B5EF4-FFF2-40B4-BE49-F238E27FC236}">
              <a16:creationId xmlns:a16="http://schemas.microsoft.com/office/drawing/2014/main" id="{00000000-0008-0000-0600-00008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2" name="Picture 18" descr="France">
          <a:hlinkClick xmlns:r="http://schemas.openxmlformats.org/officeDocument/2006/relationships" r:id="rId97"/>
          <a:extLst>
            <a:ext uri="{FF2B5EF4-FFF2-40B4-BE49-F238E27FC236}">
              <a16:creationId xmlns:a16="http://schemas.microsoft.com/office/drawing/2014/main" id="{00000000-0008-0000-0600-00008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3" name="Picture 19" descr="Argentina">
          <a:hlinkClick xmlns:r="http://schemas.openxmlformats.org/officeDocument/2006/relationships" r:id="rId98"/>
          <a:extLst>
            <a:ext uri="{FF2B5EF4-FFF2-40B4-BE49-F238E27FC236}">
              <a16:creationId xmlns:a16="http://schemas.microsoft.com/office/drawing/2014/main" id="{00000000-0008-0000-0600-00008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4" name="Picture 20" descr="España">
          <a:hlinkClick xmlns:r="http://schemas.openxmlformats.org/officeDocument/2006/relationships" r:id="rId90"/>
          <a:extLst>
            <a:ext uri="{FF2B5EF4-FFF2-40B4-BE49-F238E27FC236}">
              <a16:creationId xmlns:a16="http://schemas.microsoft.com/office/drawing/2014/main" id="{00000000-0008-0000-0600-00008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5" name="Picture 21" descr="Lubnan">
          <a:hlinkClick xmlns:r="http://schemas.openxmlformats.org/officeDocument/2006/relationships" r:id="rId99"/>
          <a:extLst>
            <a:ext uri="{FF2B5EF4-FFF2-40B4-BE49-F238E27FC236}">
              <a16:creationId xmlns:a16="http://schemas.microsoft.com/office/drawing/2014/main" id="{00000000-0008-0000-0600-00008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6" name="Picture 23" descr="Magyarország">
          <a:hlinkClick xmlns:r="http://schemas.openxmlformats.org/officeDocument/2006/relationships" r:id="rId100"/>
          <a:extLst>
            <a:ext uri="{FF2B5EF4-FFF2-40B4-BE49-F238E27FC236}">
              <a16:creationId xmlns:a16="http://schemas.microsoft.com/office/drawing/2014/main" id="{00000000-0008-0000-0600-00008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7" name="Picture 25" descr="Uruguay">
          <a:hlinkClick xmlns:r="http://schemas.openxmlformats.org/officeDocument/2006/relationships" r:id="rId101"/>
          <a:extLst>
            <a:ext uri="{FF2B5EF4-FFF2-40B4-BE49-F238E27FC236}">
              <a16:creationId xmlns:a16="http://schemas.microsoft.com/office/drawing/2014/main" id="{00000000-0008-0000-0600-00008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8" name="Picture 26" descr="Italia">
          <a:hlinkClick xmlns:r="http://schemas.openxmlformats.org/officeDocument/2006/relationships" r:id="rId96"/>
          <a:extLst>
            <a:ext uri="{FF2B5EF4-FFF2-40B4-BE49-F238E27FC236}">
              <a16:creationId xmlns:a16="http://schemas.microsoft.com/office/drawing/2014/main" id="{00000000-0008-0000-0600-00008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9" name="Picture 27" descr="España">
          <a:hlinkClick xmlns:r="http://schemas.openxmlformats.org/officeDocument/2006/relationships" r:id="rId90"/>
          <a:extLst>
            <a:ext uri="{FF2B5EF4-FFF2-40B4-BE49-F238E27FC236}">
              <a16:creationId xmlns:a16="http://schemas.microsoft.com/office/drawing/2014/main" id="{00000000-0008-0000-0600-00008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0" name="Picture 28" descr="Nederland">
          <a:hlinkClick xmlns:r="http://schemas.openxmlformats.org/officeDocument/2006/relationships" r:id="rId95"/>
          <a:extLst>
            <a:ext uri="{FF2B5EF4-FFF2-40B4-BE49-F238E27FC236}">
              <a16:creationId xmlns:a16="http://schemas.microsoft.com/office/drawing/2014/main" id="{00000000-0008-0000-0600-00008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1" name="Picture 29" descr="Italia">
          <a:hlinkClick xmlns:r="http://schemas.openxmlformats.org/officeDocument/2006/relationships" r:id="rId96"/>
          <a:extLst>
            <a:ext uri="{FF2B5EF4-FFF2-40B4-BE49-F238E27FC236}">
              <a16:creationId xmlns:a16="http://schemas.microsoft.com/office/drawing/2014/main" id="{00000000-0008-0000-0600-00008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2" name="Picture 30" descr="Deutschland">
          <a:hlinkClick xmlns:r="http://schemas.openxmlformats.org/officeDocument/2006/relationships" r:id="rId102"/>
          <a:extLst>
            <a:ext uri="{FF2B5EF4-FFF2-40B4-BE49-F238E27FC236}">
              <a16:creationId xmlns:a16="http://schemas.microsoft.com/office/drawing/2014/main" id="{00000000-0008-0000-0600-00009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3" name="Picture 32" descr="Israel">
          <a:hlinkClick xmlns:r="http://schemas.openxmlformats.org/officeDocument/2006/relationships" r:id="rId103"/>
          <a:extLst>
            <a:ext uri="{FF2B5EF4-FFF2-40B4-BE49-F238E27FC236}">
              <a16:creationId xmlns:a16="http://schemas.microsoft.com/office/drawing/2014/main" id="{00000000-0008-0000-0600-00009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4" name="Picture 33" descr="Slovensko">
          <a:hlinkClick xmlns:r="http://schemas.openxmlformats.org/officeDocument/2006/relationships" r:id="rId104"/>
          <a:extLst>
            <a:ext uri="{FF2B5EF4-FFF2-40B4-BE49-F238E27FC236}">
              <a16:creationId xmlns:a16="http://schemas.microsoft.com/office/drawing/2014/main" id="{00000000-0008-0000-0600-00009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475" name="Picture 36" descr="España">
          <a:hlinkClick xmlns:r="http://schemas.openxmlformats.org/officeDocument/2006/relationships" r:id="rId77"/>
          <a:extLst>
            <a:ext uri="{FF2B5EF4-FFF2-40B4-BE49-F238E27FC236}">
              <a16:creationId xmlns:a16="http://schemas.microsoft.com/office/drawing/2014/main" id="{00000000-0008-0000-0600-00009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476" name="Picture 36" descr="España">
          <a:hlinkClick xmlns:r="http://schemas.openxmlformats.org/officeDocument/2006/relationships" r:id="rId77"/>
          <a:extLst>
            <a:ext uri="{FF2B5EF4-FFF2-40B4-BE49-F238E27FC236}">
              <a16:creationId xmlns:a16="http://schemas.microsoft.com/office/drawing/2014/main" id="{00000000-0008-0000-0600-00009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477" name="Picture 15" descr="Bulgaria">
          <a:hlinkClick xmlns:r="http://schemas.openxmlformats.org/officeDocument/2006/relationships" r:id="rId9"/>
          <a:extLst>
            <a:ext uri="{FF2B5EF4-FFF2-40B4-BE49-F238E27FC236}">
              <a16:creationId xmlns:a16="http://schemas.microsoft.com/office/drawing/2014/main" id="{00000000-0008-0000-0600-00009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8" name="Picture 13" descr="Deutschland">
          <a:hlinkClick xmlns:r="http://schemas.openxmlformats.org/officeDocument/2006/relationships" r:id="rId20"/>
          <a:extLst>
            <a:ext uri="{FF2B5EF4-FFF2-40B4-BE49-F238E27FC236}">
              <a16:creationId xmlns:a16="http://schemas.microsoft.com/office/drawing/2014/main" id="{00000000-0008-0000-0600-00009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9" name="Picture 40" descr="España">
          <a:hlinkClick xmlns:r="http://schemas.openxmlformats.org/officeDocument/2006/relationships" r:id="rId17"/>
          <a:extLst>
            <a:ext uri="{FF2B5EF4-FFF2-40B4-BE49-F238E27FC236}">
              <a16:creationId xmlns:a16="http://schemas.microsoft.com/office/drawing/2014/main" id="{00000000-0008-0000-0600-00009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0" name="Picture 41" descr="România">
          <a:hlinkClick xmlns:r="http://schemas.openxmlformats.org/officeDocument/2006/relationships" r:id="rId30"/>
          <a:extLst>
            <a:ext uri="{FF2B5EF4-FFF2-40B4-BE49-F238E27FC236}">
              <a16:creationId xmlns:a16="http://schemas.microsoft.com/office/drawing/2014/main" id="{00000000-0008-0000-0600-00009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1" name="Picture 8" descr="Argentina">
          <a:hlinkClick xmlns:r="http://schemas.openxmlformats.org/officeDocument/2006/relationships" r:id="rId32"/>
          <a:extLst>
            <a:ext uri="{FF2B5EF4-FFF2-40B4-BE49-F238E27FC236}">
              <a16:creationId xmlns:a16="http://schemas.microsoft.com/office/drawing/2014/main" id="{00000000-0008-0000-0600-00009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2" name="Picture 32" descr="España">
          <a:hlinkClick xmlns:r="http://schemas.openxmlformats.org/officeDocument/2006/relationships" r:id="rId31"/>
          <a:extLst>
            <a:ext uri="{FF2B5EF4-FFF2-40B4-BE49-F238E27FC236}">
              <a16:creationId xmlns:a16="http://schemas.microsoft.com/office/drawing/2014/main" id="{00000000-0008-0000-0600-00009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3" name="Picture 33" descr="España">
          <a:hlinkClick xmlns:r="http://schemas.openxmlformats.org/officeDocument/2006/relationships" r:id="rId31"/>
          <a:extLst>
            <a:ext uri="{FF2B5EF4-FFF2-40B4-BE49-F238E27FC236}">
              <a16:creationId xmlns:a16="http://schemas.microsoft.com/office/drawing/2014/main" id="{00000000-0008-0000-0600-00009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4" name="Picture 8" descr="Argentina">
          <a:hlinkClick xmlns:r="http://schemas.openxmlformats.org/officeDocument/2006/relationships" r:id="rId46"/>
          <a:extLst>
            <a:ext uri="{FF2B5EF4-FFF2-40B4-BE49-F238E27FC236}">
              <a16:creationId xmlns:a16="http://schemas.microsoft.com/office/drawing/2014/main" id="{00000000-0008-0000-0600-00009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5" name="Picture 33" descr="España">
          <a:hlinkClick xmlns:r="http://schemas.openxmlformats.org/officeDocument/2006/relationships" r:id="rId45"/>
          <a:extLst>
            <a:ext uri="{FF2B5EF4-FFF2-40B4-BE49-F238E27FC236}">
              <a16:creationId xmlns:a16="http://schemas.microsoft.com/office/drawing/2014/main" id="{00000000-0008-0000-0600-00009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6" name="Picture 34" descr="Italia">
          <a:hlinkClick xmlns:r="http://schemas.openxmlformats.org/officeDocument/2006/relationships" r:id="rId57"/>
          <a:extLst>
            <a:ext uri="{FF2B5EF4-FFF2-40B4-BE49-F238E27FC236}">
              <a16:creationId xmlns:a16="http://schemas.microsoft.com/office/drawing/2014/main" id="{00000000-0008-0000-0600-00009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7" name="Picture 38" descr="Portugal">
          <a:hlinkClick xmlns:r="http://schemas.openxmlformats.org/officeDocument/2006/relationships" r:id="rId50"/>
          <a:extLst>
            <a:ext uri="{FF2B5EF4-FFF2-40B4-BE49-F238E27FC236}">
              <a16:creationId xmlns:a16="http://schemas.microsoft.com/office/drawing/2014/main" id="{00000000-0008-0000-0600-00009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8" name="Picture 8" descr="Argentina">
          <a:hlinkClick xmlns:r="http://schemas.openxmlformats.org/officeDocument/2006/relationships" r:id="rId3"/>
          <a:extLst>
            <a:ext uri="{FF2B5EF4-FFF2-40B4-BE49-F238E27FC236}">
              <a16:creationId xmlns:a16="http://schemas.microsoft.com/office/drawing/2014/main" id="{00000000-0008-0000-0600-0000A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9" name="Picture 31" descr="Việt Nam">
          <a:hlinkClick xmlns:r="http://schemas.openxmlformats.org/officeDocument/2006/relationships" r:id="rId14"/>
          <a:extLst>
            <a:ext uri="{FF2B5EF4-FFF2-40B4-BE49-F238E27FC236}">
              <a16:creationId xmlns:a16="http://schemas.microsoft.com/office/drawing/2014/main" id="{00000000-0008-0000-0600-0000A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0" name="Picture 33" descr="Italia">
          <a:hlinkClick xmlns:r="http://schemas.openxmlformats.org/officeDocument/2006/relationships" r:id="rId4"/>
          <a:extLst>
            <a:ext uri="{FF2B5EF4-FFF2-40B4-BE49-F238E27FC236}">
              <a16:creationId xmlns:a16="http://schemas.microsoft.com/office/drawing/2014/main" id="{00000000-0008-0000-0600-0000A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1" name="Picture 37" descr="Portugal">
          <a:hlinkClick xmlns:r="http://schemas.openxmlformats.org/officeDocument/2006/relationships" r:id="rId16"/>
          <a:extLst>
            <a:ext uri="{FF2B5EF4-FFF2-40B4-BE49-F238E27FC236}">
              <a16:creationId xmlns:a16="http://schemas.microsoft.com/office/drawing/2014/main" id="{00000000-0008-0000-0600-0000A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2" name="Picture 8" descr="Argentina">
          <a:hlinkClick xmlns:r="http://schemas.openxmlformats.org/officeDocument/2006/relationships" r:id="rId64"/>
          <a:extLst>
            <a:ext uri="{FF2B5EF4-FFF2-40B4-BE49-F238E27FC236}">
              <a16:creationId xmlns:a16="http://schemas.microsoft.com/office/drawing/2014/main" id="{00000000-0008-0000-0600-0000A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3" name="Picture 34" descr="Italia">
          <a:hlinkClick xmlns:r="http://schemas.openxmlformats.org/officeDocument/2006/relationships" r:id="rId75"/>
          <a:extLst>
            <a:ext uri="{FF2B5EF4-FFF2-40B4-BE49-F238E27FC236}">
              <a16:creationId xmlns:a16="http://schemas.microsoft.com/office/drawing/2014/main" id="{00000000-0008-0000-0600-0000A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4" name="Picture 35" descr="España">
          <a:hlinkClick xmlns:r="http://schemas.openxmlformats.org/officeDocument/2006/relationships" r:id="rId63"/>
          <a:extLst>
            <a:ext uri="{FF2B5EF4-FFF2-40B4-BE49-F238E27FC236}">
              <a16:creationId xmlns:a16="http://schemas.microsoft.com/office/drawing/2014/main" id="{00000000-0008-0000-0600-0000A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5" name="Picture 8" descr="España">
          <a:hlinkClick xmlns:r="http://schemas.openxmlformats.org/officeDocument/2006/relationships" r:id="rId77"/>
          <a:extLst>
            <a:ext uri="{FF2B5EF4-FFF2-40B4-BE49-F238E27FC236}">
              <a16:creationId xmlns:a16="http://schemas.microsoft.com/office/drawing/2014/main" id="{00000000-0008-0000-0600-0000A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6" name="Picture 31" descr="Nederland">
          <a:hlinkClick xmlns:r="http://schemas.openxmlformats.org/officeDocument/2006/relationships" r:id="rId82"/>
          <a:extLst>
            <a:ext uri="{FF2B5EF4-FFF2-40B4-BE49-F238E27FC236}">
              <a16:creationId xmlns:a16="http://schemas.microsoft.com/office/drawing/2014/main" id="{00000000-0008-0000-0600-0000A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7" name="Picture 35" descr="România">
          <a:hlinkClick xmlns:r="http://schemas.openxmlformats.org/officeDocument/2006/relationships" r:id="rId89"/>
          <a:extLst>
            <a:ext uri="{FF2B5EF4-FFF2-40B4-BE49-F238E27FC236}">
              <a16:creationId xmlns:a16="http://schemas.microsoft.com/office/drawing/2014/main" id="{00000000-0008-0000-0600-0000A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498" name="Picture 15" descr="Bulgaria">
          <a:hlinkClick xmlns:r="http://schemas.openxmlformats.org/officeDocument/2006/relationships" r:id="rId9"/>
          <a:extLst>
            <a:ext uri="{FF2B5EF4-FFF2-40B4-BE49-F238E27FC236}">
              <a16:creationId xmlns:a16="http://schemas.microsoft.com/office/drawing/2014/main" id="{00000000-0008-0000-0600-0000A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499" name="Picture 13" descr="Deutschland">
          <a:hlinkClick xmlns:r="http://schemas.openxmlformats.org/officeDocument/2006/relationships" r:id="rId20"/>
          <a:extLst>
            <a:ext uri="{FF2B5EF4-FFF2-40B4-BE49-F238E27FC236}">
              <a16:creationId xmlns:a16="http://schemas.microsoft.com/office/drawing/2014/main" id="{00000000-0008-0000-0600-0000A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0" name="Picture 40" descr="España">
          <a:hlinkClick xmlns:r="http://schemas.openxmlformats.org/officeDocument/2006/relationships" r:id="rId17"/>
          <a:extLst>
            <a:ext uri="{FF2B5EF4-FFF2-40B4-BE49-F238E27FC236}">
              <a16:creationId xmlns:a16="http://schemas.microsoft.com/office/drawing/2014/main" id="{00000000-0008-0000-0600-0000A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1" name="Picture 41" descr="România">
          <a:hlinkClick xmlns:r="http://schemas.openxmlformats.org/officeDocument/2006/relationships" r:id="rId30"/>
          <a:extLst>
            <a:ext uri="{FF2B5EF4-FFF2-40B4-BE49-F238E27FC236}">
              <a16:creationId xmlns:a16="http://schemas.microsoft.com/office/drawing/2014/main" id="{00000000-0008-0000-0600-0000A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2" name="Picture 8" descr="Argentina">
          <a:hlinkClick xmlns:r="http://schemas.openxmlformats.org/officeDocument/2006/relationships" r:id="rId32"/>
          <a:extLst>
            <a:ext uri="{FF2B5EF4-FFF2-40B4-BE49-F238E27FC236}">
              <a16:creationId xmlns:a16="http://schemas.microsoft.com/office/drawing/2014/main" id="{00000000-0008-0000-0600-0000A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3" name="Picture 32" descr="España">
          <a:hlinkClick xmlns:r="http://schemas.openxmlformats.org/officeDocument/2006/relationships" r:id="rId31"/>
          <a:extLst>
            <a:ext uri="{FF2B5EF4-FFF2-40B4-BE49-F238E27FC236}">
              <a16:creationId xmlns:a16="http://schemas.microsoft.com/office/drawing/2014/main" id="{00000000-0008-0000-0600-0000A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4" name="Picture 33" descr="España">
          <a:hlinkClick xmlns:r="http://schemas.openxmlformats.org/officeDocument/2006/relationships" r:id="rId31"/>
          <a:extLst>
            <a:ext uri="{FF2B5EF4-FFF2-40B4-BE49-F238E27FC236}">
              <a16:creationId xmlns:a16="http://schemas.microsoft.com/office/drawing/2014/main" id="{00000000-0008-0000-0600-0000B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5" name="Picture 8" descr="Argentina">
          <a:hlinkClick xmlns:r="http://schemas.openxmlformats.org/officeDocument/2006/relationships" r:id="rId46"/>
          <a:extLst>
            <a:ext uri="{FF2B5EF4-FFF2-40B4-BE49-F238E27FC236}">
              <a16:creationId xmlns:a16="http://schemas.microsoft.com/office/drawing/2014/main" id="{00000000-0008-0000-0600-0000B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6" name="Picture 33" descr="España">
          <a:hlinkClick xmlns:r="http://schemas.openxmlformats.org/officeDocument/2006/relationships" r:id="rId45"/>
          <a:extLst>
            <a:ext uri="{FF2B5EF4-FFF2-40B4-BE49-F238E27FC236}">
              <a16:creationId xmlns:a16="http://schemas.microsoft.com/office/drawing/2014/main" id="{00000000-0008-0000-0600-0000B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7" name="Picture 34" descr="Italia">
          <a:hlinkClick xmlns:r="http://schemas.openxmlformats.org/officeDocument/2006/relationships" r:id="rId57"/>
          <a:extLst>
            <a:ext uri="{FF2B5EF4-FFF2-40B4-BE49-F238E27FC236}">
              <a16:creationId xmlns:a16="http://schemas.microsoft.com/office/drawing/2014/main" id="{00000000-0008-0000-0600-0000B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8" name="Picture 38" descr="Portugal">
          <a:hlinkClick xmlns:r="http://schemas.openxmlformats.org/officeDocument/2006/relationships" r:id="rId50"/>
          <a:extLst>
            <a:ext uri="{FF2B5EF4-FFF2-40B4-BE49-F238E27FC236}">
              <a16:creationId xmlns:a16="http://schemas.microsoft.com/office/drawing/2014/main" id="{00000000-0008-0000-0600-0000B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9" name="Picture 8" descr="Argentina">
          <a:hlinkClick xmlns:r="http://schemas.openxmlformats.org/officeDocument/2006/relationships" r:id="rId3"/>
          <a:extLst>
            <a:ext uri="{FF2B5EF4-FFF2-40B4-BE49-F238E27FC236}">
              <a16:creationId xmlns:a16="http://schemas.microsoft.com/office/drawing/2014/main" id="{00000000-0008-0000-0600-0000B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0" name="Picture 31" descr="Việt Nam">
          <a:hlinkClick xmlns:r="http://schemas.openxmlformats.org/officeDocument/2006/relationships" r:id="rId14"/>
          <a:extLst>
            <a:ext uri="{FF2B5EF4-FFF2-40B4-BE49-F238E27FC236}">
              <a16:creationId xmlns:a16="http://schemas.microsoft.com/office/drawing/2014/main" id="{00000000-0008-0000-0600-0000B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1" name="Picture 33" descr="Italia">
          <a:hlinkClick xmlns:r="http://schemas.openxmlformats.org/officeDocument/2006/relationships" r:id="rId4"/>
          <a:extLst>
            <a:ext uri="{FF2B5EF4-FFF2-40B4-BE49-F238E27FC236}">
              <a16:creationId xmlns:a16="http://schemas.microsoft.com/office/drawing/2014/main" id="{00000000-0008-0000-0600-0000B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2" name="Picture 37" descr="Portugal">
          <a:hlinkClick xmlns:r="http://schemas.openxmlformats.org/officeDocument/2006/relationships" r:id="rId16"/>
          <a:extLst>
            <a:ext uri="{FF2B5EF4-FFF2-40B4-BE49-F238E27FC236}">
              <a16:creationId xmlns:a16="http://schemas.microsoft.com/office/drawing/2014/main" id="{00000000-0008-0000-0600-0000B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3" name="Picture 8" descr="Argentina">
          <a:hlinkClick xmlns:r="http://schemas.openxmlformats.org/officeDocument/2006/relationships" r:id="rId64"/>
          <a:extLst>
            <a:ext uri="{FF2B5EF4-FFF2-40B4-BE49-F238E27FC236}">
              <a16:creationId xmlns:a16="http://schemas.microsoft.com/office/drawing/2014/main" id="{00000000-0008-0000-0600-0000B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4" name="Picture 34" descr="Italia">
          <a:hlinkClick xmlns:r="http://schemas.openxmlformats.org/officeDocument/2006/relationships" r:id="rId75"/>
          <a:extLst>
            <a:ext uri="{FF2B5EF4-FFF2-40B4-BE49-F238E27FC236}">
              <a16:creationId xmlns:a16="http://schemas.microsoft.com/office/drawing/2014/main" id="{00000000-0008-0000-0600-0000B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5" name="Picture 35" descr="España">
          <a:hlinkClick xmlns:r="http://schemas.openxmlformats.org/officeDocument/2006/relationships" r:id="rId63"/>
          <a:extLst>
            <a:ext uri="{FF2B5EF4-FFF2-40B4-BE49-F238E27FC236}">
              <a16:creationId xmlns:a16="http://schemas.microsoft.com/office/drawing/2014/main" id="{00000000-0008-0000-0600-0000B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6" name="Picture 8" descr="España">
          <a:hlinkClick xmlns:r="http://schemas.openxmlformats.org/officeDocument/2006/relationships" r:id="rId77"/>
          <a:extLst>
            <a:ext uri="{FF2B5EF4-FFF2-40B4-BE49-F238E27FC236}">
              <a16:creationId xmlns:a16="http://schemas.microsoft.com/office/drawing/2014/main" id="{00000000-0008-0000-0600-0000B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7" name="Picture 31" descr="Nederland">
          <a:hlinkClick xmlns:r="http://schemas.openxmlformats.org/officeDocument/2006/relationships" r:id="rId82"/>
          <a:extLst>
            <a:ext uri="{FF2B5EF4-FFF2-40B4-BE49-F238E27FC236}">
              <a16:creationId xmlns:a16="http://schemas.microsoft.com/office/drawing/2014/main" id="{00000000-0008-0000-0600-0000B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8" name="Picture 35" descr="România">
          <a:hlinkClick xmlns:r="http://schemas.openxmlformats.org/officeDocument/2006/relationships" r:id="rId89"/>
          <a:extLst>
            <a:ext uri="{FF2B5EF4-FFF2-40B4-BE49-F238E27FC236}">
              <a16:creationId xmlns:a16="http://schemas.microsoft.com/office/drawing/2014/main" id="{00000000-0008-0000-0600-0000B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a:extLst>
            <a:ext uri="{FF2B5EF4-FFF2-40B4-BE49-F238E27FC236}">
              <a16:creationId xmlns:a16="http://schemas.microsoft.com/office/drawing/2014/main" id="{00000000-0008-0000-11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943350" y="0"/>
          <a:ext cx="5670476" cy="11192381"/>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249977111117893"/>
  </sheetPr>
  <dimension ref="A1:AT145"/>
  <sheetViews>
    <sheetView zoomScale="80" zoomScaleNormal="80" workbookViewId="0">
      <selection activeCell="I8" sqref="I8"/>
    </sheetView>
  </sheetViews>
  <sheetFormatPr baseColWidth="10" defaultColWidth="11.42578125" defaultRowHeight="15" x14ac:dyDescent="0.25"/>
  <cols>
    <col min="1" max="1" width="5.5703125" customWidth="1"/>
    <col min="2" max="3" width="9.140625" bestFit="1" customWidth="1"/>
    <col min="4" max="4" width="8.85546875" bestFit="1" customWidth="1"/>
    <col min="5" max="6" width="9.28515625" bestFit="1" customWidth="1"/>
    <col min="7" max="7" width="6.28515625" bestFit="1" customWidth="1"/>
    <col min="8" max="8" width="7.140625" customWidth="1"/>
    <col min="9" max="23" width="6.28515625" bestFit="1" customWidth="1"/>
    <col min="24" max="24" width="5.5703125" customWidth="1"/>
    <col min="25" max="25" width="8.7109375" customWidth="1"/>
    <col min="26" max="26" width="5.85546875" bestFit="1" customWidth="1"/>
    <col min="27" max="44" width="4" bestFit="1" customWidth="1"/>
    <col min="45" max="45" width="3" bestFit="1" customWidth="1"/>
    <col min="46" max="46" width="5.5703125" bestFit="1" customWidth="1"/>
  </cols>
  <sheetData>
    <row r="1" spans="1:46" ht="15.75" x14ac:dyDescent="0.25">
      <c r="A1" s="68" t="s">
        <v>118</v>
      </c>
      <c r="B1" s="68"/>
      <c r="C1" s="68"/>
      <c r="D1" s="68"/>
      <c r="E1" s="68"/>
      <c r="F1" s="68"/>
      <c r="G1" s="68"/>
      <c r="H1" s="69"/>
      <c r="I1" s="68"/>
      <c r="J1" s="68"/>
      <c r="K1" s="68"/>
      <c r="L1" s="68"/>
      <c r="M1" s="68"/>
      <c r="N1" s="68"/>
      <c r="O1" s="68"/>
      <c r="P1" s="68"/>
      <c r="Q1" s="68"/>
      <c r="R1" s="68"/>
      <c r="S1" s="68"/>
      <c r="T1" s="68"/>
      <c r="U1" s="68"/>
      <c r="V1" s="68"/>
      <c r="W1" s="68"/>
      <c r="X1" s="70"/>
      <c r="Y1" s="71" t="s">
        <v>119</v>
      </c>
      <c r="Z1" s="71"/>
    </row>
    <row r="2" spans="1:46" ht="15.75" x14ac:dyDescent="0.25">
      <c r="A2" s="72" t="s">
        <v>120</v>
      </c>
      <c r="B2" s="73">
        <v>17</v>
      </c>
      <c r="C2" s="73">
        <v>18</v>
      </c>
      <c r="D2" s="73">
        <v>19</v>
      </c>
      <c r="E2" s="73">
        <v>20</v>
      </c>
      <c r="F2" s="74">
        <v>21</v>
      </c>
      <c r="G2" s="119">
        <v>22</v>
      </c>
      <c r="H2" s="73">
        <v>23</v>
      </c>
      <c r="I2" s="73">
        <v>24</v>
      </c>
      <c r="J2" s="73">
        <v>25</v>
      </c>
      <c r="K2" s="73">
        <v>26</v>
      </c>
      <c r="L2" s="73">
        <v>27</v>
      </c>
      <c r="M2" s="74">
        <v>28</v>
      </c>
      <c r="N2" s="74">
        <v>29</v>
      </c>
      <c r="O2" s="74">
        <v>30</v>
      </c>
      <c r="P2" s="74">
        <v>31</v>
      </c>
      <c r="Q2" s="73">
        <v>32</v>
      </c>
      <c r="R2" s="73">
        <v>33</v>
      </c>
      <c r="S2" s="73">
        <v>34</v>
      </c>
      <c r="T2" s="73">
        <v>35</v>
      </c>
      <c r="U2" s="73">
        <v>36</v>
      </c>
      <c r="V2" s="73">
        <v>37</v>
      </c>
      <c r="W2" s="73">
        <v>38</v>
      </c>
      <c r="X2" s="76"/>
      <c r="Y2" s="68" t="s">
        <v>123</v>
      </c>
      <c r="Z2" s="68"/>
    </row>
    <row r="3" spans="1:46" ht="16.5" thickBot="1" x14ac:dyDescent="0.3">
      <c r="A3" s="77">
        <v>0.05</v>
      </c>
      <c r="B3" s="78">
        <v>3.2</v>
      </c>
      <c r="C3" s="78">
        <v>3.7</v>
      </c>
      <c r="D3" s="78">
        <v>4.0999999999999996</v>
      </c>
      <c r="E3" s="78">
        <v>4.4000000000000004</v>
      </c>
      <c r="F3" s="120">
        <v>4.5999999999999996</v>
      </c>
      <c r="G3" s="121">
        <v>4.7</v>
      </c>
      <c r="H3" s="78">
        <v>4.55</v>
      </c>
      <c r="I3" s="78">
        <v>4.4000000000000004</v>
      </c>
      <c r="J3" s="78">
        <v>4.25</v>
      </c>
      <c r="K3" s="78">
        <v>4.0999999999999996</v>
      </c>
      <c r="L3" s="78">
        <v>3.95</v>
      </c>
      <c r="M3" s="79">
        <v>3.8</v>
      </c>
      <c r="N3" s="79">
        <v>3.6500000000000004</v>
      </c>
      <c r="O3" s="79">
        <v>3.5</v>
      </c>
      <c r="P3" s="79">
        <v>3.3499999999999996</v>
      </c>
      <c r="Q3" s="78">
        <v>3.1500000000000004</v>
      </c>
      <c r="R3" s="78">
        <v>2.95</v>
      </c>
      <c r="S3" s="78">
        <v>2.65</v>
      </c>
      <c r="T3" s="78">
        <v>2.2999999999999998</v>
      </c>
      <c r="U3" s="78">
        <v>1.9</v>
      </c>
      <c r="V3" s="78">
        <v>1.4500000000000002</v>
      </c>
      <c r="W3" s="78">
        <v>0.95</v>
      </c>
      <c r="X3" s="80"/>
      <c r="Y3" s="68"/>
      <c r="Z3" s="68"/>
    </row>
    <row r="4" spans="1:46" ht="16.5" thickBot="1" x14ac:dyDescent="0.3">
      <c r="A4" s="77">
        <v>0.06</v>
      </c>
      <c r="B4" s="78">
        <v>3.5700000000000003</v>
      </c>
      <c r="C4" s="78">
        <v>4.07</v>
      </c>
      <c r="D4" s="78">
        <v>4.47</v>
      </c>
      <c r="E4" s="78">
        <v>4.7699999999999996</v>
      </c>
      <c r="F4" s="120">
        <v>4.97</v>
      </c>
      <c r="G4" s="121">
        <v>5.07</v>
      </c>
      <c r="H4" s="78">
        <v>4.92</v>
      </c>
      <c r="I4" s="78">
        <v>4.7699999999999996</v>
      </c>
      <c r="J4" s="78">
        <v>4.62</v>
      </c>
      <c r="K4" s="78">
        <v>4.47</v>
      </c>
      <c r="L4" s="78">
        <v>4.32</v>
      </c>
      <c r="M4" s="79">
        <v>4.17</v>
      </c>
      <c r="N4" s="79">
        <v>4.0199999999999996</v>
      </c>
      <c r="O4" s="79">
        <v>3.87</v>
      </c>
      <c r="P4" s="79">
        <v>3.7199999999999998</v>
      </c>
      <c r="Q4" s="78">
        <v>3.5199999999999996</v>
      </c>
      <c r="R4" s="78">
        <v>3.3200000000000003</v>
      </c>
      <c r="S4" s="78">
        <v>3.0199999999999996</v>
      </c>
      <c r="T4" s="78">
        <v>2.67</v>
      </c>
      <c r="U4" s="78">
        <v>2.27</v>
      </c>
      <c r="V4" s="78">
        <v>1.8199999999999998</v>
      </c>
      <c r="W4" s="78">
        <v>1.3199999999999998</v>
      </c>
      <c r="X4" s="80"/>
      <c r="Y4" s="75" t="s">
        <v>121</v>
      </c>
      <c r="Z4" s="75" t="s">
        <v>159</v>
      </c>
      <c r="AA4" s="75">
        <v>0</v>
      </c>
      <c r="AB4" s="75">
        <v>5</v>
      </c>
      <c r="AC4" s="75">
        <v>10</v>
      </c>
      <c r="AD4" s="75">
        <v>15</v>
      </c>
      <c r="AE4" s="75">
        <v>20</v>
      </c>
      <c r="AF4" s="75">
        <v>25</v>
      </c>
      <c r="AG4" s="75">
        <v>30</v>
      </c>
      <c r="AH4" s="75">
        <v>35</v>
      </c>
      <c r="AI4" s="75">
        <v>40</v>
      </c>
      <c r="AJ4" s="75">
        <v>45</v>
      </c>
      <c r="AK4" s="75">
        <v>50</v>
      </c>
      <c r="AL4" s="75">
        <v>55</v>
      </c>
      <c r="AM4" s="75">
        <v>60</v>
      </c>
      <c r="AN4" s="75">
        <v>65</v>
      </c>
      <c r="AO4" s="75">
        <v>70</v>
      </c>
      <c r="AP4" s="75">
        <v>75</v>
      </c>
      <c r="AQ4" s="75">
        <v>80</v>
      </c>
      <c r="AR4" s="75">
        <v>85</v>
      </c>
      <c r="AS4" s="75">
        <v>90</v>
      </c>
      <c r="AT4" s="75" t="s">
        <v>122</v>
      </c>
    </row>
    <row r="5" spans="1:46" ht="16.5" thickBot="1" x14ac:dyDescent="0.3">
      <c r="A5" s="77">
        <v>7.0000000000000007E-2</v>
      </c>
      <c r="B5" s="78">
        <v>3.92</v>
      </c>
      <c r="C5" s="78">
        <v>4.42</v>
      </c>
      <c r="D5" s="78">
        <v>4.82</v>
      </c>
      <c r="E5" s="78">
        <v>5.12</v>
      </c>
      <c r="F5" s="120">
        <v>5.32</v>
      </c>
      <c r="G5" s="121">
        <v>5.42</v>
      </c>
      <c r="H5" s="78">
        <v>5.27</v>
      </c>
      <c r="I5" s="78">
        <v>5.12</v>
      </c>
      <c r="J5" s="78">
        <v>4.97</v>
      </c>
      <c r="K5" s="78">
        <v>4.82</v>
      </c>
      <c r="L5" s="78">
        <v>4.67</v>
      </c>
      <c r="M5" s="79">
        <v>4.5199999999999996</v>
      </c>
      <c r="N5" s="79">
        <v>4.37</v>
      </c>
      <c r="O5" s="79">
        <v>4.22</v>
      </c>
      <c r="P5" s="79">
        <v>4.07</v>
      </c>
      <c r="Q5" s="78">
        <v>3.87</v>
      </c>
      <c r="R5" s="78">
        <v>3.67</v>
      </c>
      <c r="S5" s="78">
        <v>3.37</v>
      </c>
      <c r="T5" s="78">
        <v>3.0199999999999996</v>
      </c>
      <c r="U5" s="78">
        <v>2.62</v>
      </c>
      <c r="V5" s="78">
        <v>2.17</v>
      </c>
      <c r="W5" s="78">
        <v>1.67</v>
      </c>
      <c r="X5" s="80"/>
      <c r="Y5" s="75">
        <v>9</v>
      </c>
      <c r="Z5" s="75">
        <f>Y5-1</f>
        <v>8</v>
      </c>
      <c r="AA5" s="75">
        <v>100</v>
      </c>
      <c r="AB5" s="75">
        <v>100</v>
      </c>
      <c r="AC5" s="75">
        <v>100</v>
      </c>
      <c r="AD5" s="75">
        <v>100</v>
      </c>
      <c r="AE5" s="75">
        <v>100</v>
      </c>
      <c r="AF5" s="75">
        <v>100</v>
      </c>
      <c r="AG5" s="75">
        <v>100</v>
      </c>
      <c r="AH5" s="75">
        <v>100</v>
      </c>
      <c r="AI5" s="75">
        <v>100</v>
      </c>
      <c r="AJ5" s="75">
        <v>100</v>
      </c>
      <c r="AK5" s="75">
        <v>100</v>
      </c>
      <c r="AL5" s="75">
        <v>100</v>
      </c>
      <c r="AM5" s="75">
        <v>100</v>
      </c>
      <c r="AN5" s="75">
        <v>100</v>
      </c>
      <c r="AO5" s="75">
        <v>100</v>
      </c>
      <c r="AP5" s="75">
        <v>100</v>
      </c>
      <c r="AQ5" s="75">
        <v>100</v>
      </c>
      <c r="AR5" s="75">
        <v>100</v>
      </c>
      <c r="AS5" s="75">
        <v>99</v>
      </c>
      <c r="AT5" s="75">
        <v>99.95</v>
      </c>
    </row>
    <row r="6" spans="1:46" ht="19.5" thickBot="1" x14ac:dyDescent="0.35">
      <c r="A6" s="77">
        <v>0.08</v>
      </c>
      <c r="B6" s="78">
        <v>4.24</v>
      </c>
      <c r="C6" s="78">
        <v>4.74</v>
      </c>
      <c r="D6" s="78">
        <v>5.14</v>
      </c>
      <c r="E6" s="78">
        <v>5.44</v>
      </c>
      <c r="F6" s="120">
        <v>5.64</v>
      </c>
      <c r="G6" s="121">
        <v>5.74</v>
      </c>
      <c r="H6" s="78">
        <v>5.59</v>
      </c>
      <c r="I6" s="78">
        <v>5.44</v>
      </c>
      <c r="J6" s="78">
        <v>5.29</v>
      </c>
      <c r="K6" s="78">
        <v>5.14</v>
      </c>
      <c r="L6" s="78">
        <v>4.99</v>
      </c>
      <c r="M6" s="79">
        <v>4.84</v>
      </c>
      <c r="N6" s="79">
        <v>4.6900000000000004</v>
      </c>
      <c r="O6" s="79">
        <v>4.54</v>
      </c>
      <c r="P6" s="79">
        <v>4.3899999999999997</v>
      </c>
      <c r="Q6" s="78">
        <v>4.1900000000000004</v>
      </c>
      <c r="R6" s="78">
        <v>3.99</v>
      </c>
      <c r="S6" s="78">
        <v>3.6900000000000004</v>
      </c>
      <c r="T6" s="78">
        <v>3.34</v>
      </c>
      <c r="U6" s="78">
        <v>2.94</v>
      </c>
      <c r="V6" s="78">
        <v>2.4900000000000002</v>
      </c>
      <c r="W6" s="78">
        <v>1.9900000000000002</v>
      </c>
      <c r="X6" s="81"/>
      <c r="Y6" s="75">
        <v>8.9</v>
      </c>
      <c r="Z6" s="75">
        <f t="shared" ref="Z6:Z45" si="0">Y6-1</f>
        <v>7.9</v>
      </c>
      <c r="AA6" s="75">
        <v>100</v>
      </c>
      <c r="AB6" s="75">
        <v>100</v>
      </c>
      <c r="AC6" s="75">
        <v>100</v>
      </c>
      <c r="AD6" s="75">
        <v>100</v>
      </c>
      <c r="AE6" s="75">
        <v>100</v>
      </c>
      <c r="AF6" s="75">
        <v>100</v>
      </c>
      <c r="AG6" s="75">
        <v>100</v>
      </c>
      <c r="AH6" s="75">
        <v>100</v>
      </c>
      <c r="AI6" s="75">
        <v>100</v>
      </c>
      <c r="AJ6" s="75">
        <v>100</v>
      </c>
      <c r="AK6" s="75">
        <v>100</v>
      </c>
      <c r="AL6" s="75">
        <v>100</v>
      </c>
      <c r="AM6" s="75">
        <v>100</v>
      </c>
      <c r="AN6" s="75">
        <v>100</v>
      </c>
      <c r="AO6" s="75">
        <v>100</v>
      </c>
      <c r="AP6" s="75">
        <v>100</v>
      </c>
      <c r="AQ6" s="75">
        <v>100</v>
      </c>
      <c r="AR6" s="75">
        <v>100</v>
      </c>
      <c r="AS6" s="75">
        <v>98</v>
      </c>
      <c r="AT6" s="75">
        <v>99.89</v>
      </c>
    </row>
    <row r="7" spans="1:46" ht="16.5" thickBot="1" x14ac:dyDescent="0.3">
      <c r="A7" s="77">
        <v>0.09</v>
      </c>
      <c r="B7" s="78">
        <v>4.53</v>
      </c>
      <c r="C7" s="78">
        <v>5.03</v>
      </c>
      <c r="D7" s="78">
        <v>5.43</v>
      </c>
      <c r="E7" s="78">
        <v>5.73</v>
      </c>
      <c r="F7" s="120">
        <v>5.93</v>
      </c>
      <c r="G7" s="121">
        <v>6.03</v>
      </c>
      <c r="H7" s="78">
        <v>5.88</v>
      </c>
      <c r="I7" s="78">
        <v>5.73</v>
      </c>
      <c r="J7" s="78">
        <v>5.58</v>
      </c>
      <c r="K7" s="78">
        <v>5.43</v>
      </c>
      <c r="L7" s="78">
        <v>5.28</v>
      </c>
      <c r="M7" s="79">
        <v>5.13</v>
      </c>
      <c r="N7" s="79">
        <v>4.9800000000000004</v>
      </c>
      <c r="O7" s="79">
        <v>4.83</v>
      </c>
      <c r="P7" s="79">
        <v>4.68</v>
      </c>
      <c r="Q7" s="78">
        <v>4.4800000000000004</v>
      </c>
      <c r="R7" s="78">
        <v>4.28</v>
      </c>
      <c r="S7" s="78">
        <v>3.9800000000000004</v>
      </c>
      <c r="T7" s="78">
        <v>3.63</v>
      </c>
      <c r="U7" s="78">
        <v>3.2300000000000004</v>
      </c>
      <c r="V7" s="78">
        <v>2.78</v>
      </c>
      <c r="W7" s="78">
        <v>2.2799999999999998</v>
      </c>
      <c r="X7" s="80"/>
      <c r="Y7" s="75">
        <v>8.8000000000000007</v>
      </c>
      <c r="Z7" s="75">
        <f t="shared" si="0"/>
        <v>7.8000000000000007</v>
      </c>
      <c r="AA7" s="75">
        <v>100</v>
      </c>
      <c r="AB7" s="75">
        <v>100</v>
      </c>
      <c r="AC7" s="75">
        <v>100</v>
      </c>
      <c r="AD7" s="75">
        <v>100</v>
      </c>
      <c r="AE7" s="75">
        <v>100</v>
      </c>
      <c r="AF7" s="75">
        <v>100</v>
      </c>
      <c r="AG7" s="75">
        <v>100</v>
      </c>
      <c r="AH7" s="75">
        <v>100</v>
      </c>
      <c r="AI7" s="75">
        <v>100</v>
      </c>
      <c r="AJ7" s="75">
        <v>100</v>
      </c>
      <c r="AK7" s="75">
        <v>100</v>
      </c>
      <c r="AL7" s="75">
        <v>100</v>
      </c>
      <c r="AM7" s="75">
        <v>100</v>
      </c>
      <c r="AN7" s="75">
        <v>100</v>
      </c>
      <c r="AO7" s="75">
        <v>100</v>
      </c>
      <c r="AP7" s="75">
        <v>100</v>
      </c>
      <c r="AQ7" s="75">
        <v>100</v>
      </c>
      <c r="AR7" s="75">
        <v>100</v>
      </c>
      <c r="AS7" s="75">
        <v>97</v>
      </c>
      <c r="AT7" s="75">
        <v>99.84</v>
      </c>
    </row>
    <row r="8" spans="1:46" ht="15.75" thickBot="1" x14ac:dyDescent="0.3">
      <c r="A8" s="117">
        <v>0.1</v>
      </c>
      <c r="B8" s="118">
        <v>4.8099999999999996</v>
      </c>
      <c r="C8" s="118">
        <v>5.31</v>
      </c>
      <c r="D8" s="118">
        <v>5.71</v>
      </c>
      <c r="E8" s="118">
        <v>6.01</v>
      </c>
      <c r="F8" s="118">
        <v>6.21</v>
      </c>
      <c r="G8" s="118">
        <v>6.31</v>
      </c>
      <c r="H8" s="118">
        <v>6.16</v>
      </c>
      <c r="I8" s="118">
        <v>6.01</v>
      </c>
      <c r="J8" s="118">
        <v>5.86</v>
      </c>
      <c r="K8" s="118">
        <v>5.71</v>
      </c>
      <c r="L8" s="118">
        <v>5.56</v>
      </c>
      <c r="M8" s="118">
        <v>5.41</v>
      </c>
      <c r="N8" s="118">
        <v>5.26</v>
      </c>
      <c r="O8" s="118">
        <v>5.1100000000000003</v>
      </c>
      <c r="P8" s="118">
        <v>4.96</v>
      </c>
      <c r="Q8" s="118">
        <v>4.76</v>
      </c>
      <c r="R8" s="118">
        <v>4.5599999999999996</v>
      </c>
      <c r="S8" s="118">
        <v>4.26</v>
      </c>
      <c r="T8" s="118">
        <v>3.91</v>
      </c>
      <c r="U8" s="118">
        <v>3.51</v>
      </c>
      <c r="V8" s="118">
        <v>3.0599999999999996</v>
      </c>
      <c r="W8" s="118">
        <v>2.56</v>
      </c>
      <c r="X8" s="80"/>
      <c r="Y8" s="75">
        <v>8.6999999999999993</v>
      </c>
      <c r="Z8" s="75">
        <f t="shared" si="0"/>
        <v>7.6999999999999993</v>
      </c>
      <c r="AA8" s="75">
        <v>100</v>
      </c>
      <c r="AB8" s="75">
        <v>100</v>
      </c>
      <c r="AC8" s="75">
        <v>100</v>
      </c>
      <c r="AD8" s="75">
        <v>100</v>
      </c>
      <c r="AE8" s="75">
        <v>100</v>
      </c>
      <c r="AF8" s="75">
        <v>100</v>
      </c>
      <c r="AG8" s="75">
        <v>100</v>
      </c>
      <c r="AH8" s="75">
        <v>100</v>
      </c>
      <c r="AI8" s="75">
        <v>100</v>
      </c>
      <c r="AJ8" s="75">
        <v>100</v>
      </c>
      <c r="AK8" s="75">
        <v>100</v>
      </c>
      <c r="AL8" s="75">
        <v>100</v>
      </c>
      <c r="AM8" s="75">
        <v>100</v>
      </c>
      <c r="AN8" s="75">
        <v>100</v>
      </c>
      <c r="AO8" s="75">
        <v>100</v>
      </c>
      <c r="AP8" s="75">
        <v>100</v>
      </c>
      <c r="AQ8" s="75">
        <v>100</v>
      </c>
      <c r="AR8" s="75">
        <v>100</v>
      </c>
      <c r="AS8" s="75">
        <v>96</v>
      </c>
      <c r="AT8" s="75">
        <v>99.79</v>
      </c>
    </row>
    <row r="9" spans="1:46" ht="15.75" thickBot="1" x14ac:dyDescent="0.3">
      <c r="A9" s="117">
        <v>0.11</v>
      </c>
      <c r="B9" s="79">
        <v>5.0599999999999996</v>
      </c>
      <c r="C9" s="79">
        <v>5.56</v>
      </c>
      <c r="D9" s="79">
        <v>5.96</v>
      </c>
      <c r="E9" s="79">
        <v>6.26</v>
      </c>
      <c r="F9" s="79">
        <v>6.46</v>
      </c>
      <c r="G9" s="118">
        <v>6.56</v>
      </c>
      <c r="H9" s="79">
        <v>6.41</v>
      </c>
      <c r="I9" s="79">
        <v>6.26</v>
      </c>
      <c r="J9" s="79">
        <v>6.11</v>
      </c>
      <c r="K9" s="79">
        <v>5.96</v>
      </c>
      <c r="L9" s="79">
        <v>5.81</v>
      </c>
      <c r="M9" s="79">
        <v>5.66</v>
      </c>
      <c r="N9" s="79">
        <v>5.51</v>
      </c>
      <c r="O9" s="79">
        <v>5.36</v>
      </c>
      <c r="P9" s="79">
        <v>5.21</v>
      </c>
      <c r="Q9" s="79">
        <v>5.01</v>
      </c>
      <c r="R9" s="79">
        <v>4.8099999999999996</v>
      </c>
      <c r="S9" s="79">
        <v>4.51</v>
      </c>
      <c r="T9" s="79">
        <v>4.16</v>
      </c>
      <c r="U9" s="79">
        <v>3.76</v>
      </c>
      <c r="V9" s="79">
        <v>3.3099999999999996</v>
      </c>
      <c r="W9" s="79">
        <v>2.81</v>
      </c>
      <c r="X9" s="80"/>
      <c r="Y9" s="75">
        <v>8.6</v>
      </c>
      <c r="Z9" s="75">
        <f t="shared" si="0"/>
        <v>7.6</v>
      </c>
      <c r="AA9" s="75">
        <v>100</v>
      </c>
      <c r="AB9" s="75">
        <v>100</v>
      </c>
      <c r="AC9" s="75">
        <v>100</v>
      </c>
      <c r="AD9" s="75">
        <v>100</v>
      </c>
      <c r="AE9" s="75">
        <v>100</v>
      </c>
      <c r="AF9" s="75">
        <v>100</v>
      </c>
      <c r="AG9" s="75">
        <v>100</v>
      </c>
      <c r="AH9" s="75">
        <v>100</v>
      </c>
      <c r="AI9" s="75">
        <v>100</v>
      </c>
      <c r="AJ9" s="75">
        <v>100</v>
      </c>
      <c r="AK9" s="75">
        <v>100</v>
      </c>
      <c r="AL9" s="75">
        <v>100</v>
      </c>
      <c r="AM9" s="75">
        <v>100</v>
      </c>
      <c r="AN9" s="75">
        <v>100</v>
      </c>
      <c r="AO9" s="75">
        <v>100</v>
      </c>
      <c r="AP9" s="75">
        <v>100</v>
      </c>
      <c r="AQ9" s="75">
        <v>100</v>
      </c>
      <c r="AR9" s="75">
        <v>98</v>
      </c>
      <c r="AS9" s="75">
        <v>95</v>
      </c>
      <c r="AT9" s="75">
        <v>99.63</v>
      </c>
    </row>
    <row r="10" spans="1:46" ht="15.75" thickBot="1" x14ac:dyDescent="0.3">
      <c r="A10" s="117">
        <v>0.12</v>
      </c>
      <c r="B10" s="118">
        <v>5.3</v>
      </c>
      <c r="C10" s="118">
        <v>5.8</v>
      </c>
      <c r="D10" s="118">
        <v>6.2</v>
      </c>
      <c r="E10" s="118">
        <v>6.5</v>
      </c>
      <c r="F10" s="118">
        <v>6.7</v>
      </c>
      <c r="G10" s="118">
        <v>6.8</v>
      </c>
      <c r="H10" s="118">
        <v>6.65</v>
      </c>
      <c r="I10" s="118">
        <v>6.5</v>
      </c>
      <c r="J10" s="118">
        <v>6.35</v>
      </c>
      <c r="K10" s="118">
        <v>6.2</v>
      </c>
      <c r="L10" s="118">
        <v>6.05</v>
      </c>
      <c r="M10" s="118">
        <v>5.9</v>
      </c>
      <c r="N10" s="118">
        <v>5.75</v>
      </c>
      <c r="O10" s="118">
        <v>5.6</v>
      </c>
      <c r="P10" s="118">
        <v>5.45</v>
      </c>
      <c r="Q10" s="118">
        <v>5.25</v>
      </c>
      <c r="R10" s="118">
        <v>5.05</v>
      </c>
      <c r="S10" s="118">
        <v>4.75</v>
      </c>
      <c r="T10" s="118">
        <v>4.4000000000000004</v>
      </c>
      <c r="U10" s="118">
        <v>4</v>
      </c>
      <c r="V10" s="118">
        <v>3.55</v>
      </c>
      <c r="W10" s="118">
        <v>3.05</v>
      </c>
      <c r="X10" s="76"/>
      <c r="Y10" s="75">
        <v>8.5</v>
      </c>
      <c r="Z10" s="75">
        <f t="shared" si="0"/>
        <v>7.5</v>
      </c>
      <c r="AA10" s="75">
        <v>100</v>
      </c>
      <c r="AB10" s="75">
        <v>100</v>
      </c>
      <c r="AC10" s="75">
        <v>100</v>
      </c>
      <c r="AD10" s="75">
        <v>100</v>
      </c>
      <c r="AE10" s="75">
        <v>100</v>
      </c>
      <c r="AF10" s="75">
        <v>100</v>
      </c>
      <c r="AG10" s="75">
        <v>100</v>
      </c>
      <c r="AH10" s="75">
        <v>100</v>
      </c>
      <c r="AI10" s="75">
        <v>100</v>
      </c>
      <c r="AJ10" s="75">
        <v>100</v>
      </c>
      <c r="AK10" s="75">
        <v>100</v>
      </c>
      <c r="AL10" s="75">
        <v>100</v>
      </c>
      <c r="AM10" s="75">
        <v>100</v>
      </c>
      <c r="AN10" s="75">
        <v>100</v>
      </c>
      <c r="AO10" s="75">
        <v>100</v>
      </c>
      <c r="AP10" s="75">
        <v>100</v>
      </c>
      <c r="AQ10" s="75">
        <v>100</v>
      </c>
      <c r="AR10" s="75">
        <v>98</v>
      </c>
      <c r="AS10" s="75">
        <v>94</v>
      </c>
      <c r="AT10" s="75">
        <v>99.58</v>
      </c>
    </row>
    <row r="11" spans="1:46" ht="15.75" thickBot="1" x14ac:dyDescent="0.3">
      <c r="A11" s="117">
        <v>0.13</v>
      </c>
      <c r="B11" s="79">
        <v>5.52</v>
      </c>
      <c r="C11" s="79">
        <v>6.02</v>
      </c>
      <c r="D11" s="79">
        <v>6.42</v>
      </c>
      <c r="E11" s="79">
        <v>6.72</v>
      </c>
      <c r="F11" s="79">
        <v>6.92</v>
      </c>
      <c r="G11" s="118">
        <v>7.02</v>
      </c>
      <c r="H11" s="79">
        <v>6.87</v>
      </c>
      <c r="I11" s="79">
        <v>6.72</v>
      </c>
      <c r="J11" s="79">
        <v>6.57</v>
      </c>
      <c r="K11" s="79">
        <v>6.42</v>
      </c>
      <c r="L11" s="79">
        <v>6.27</v>
      </c>
      <c r="M11" s="79">
        <v>6.12</v>
      </c>
      <c r="N11" s="79">
        <v>5.97</v>
      </c>
      <c r="O11" s="79">
        <v>5.82</v>
      </c>
      <c r="P11" s="79">
        <v>5.67</v>
      </c>
      <c r="Q11" s="79">
        <v>5.47</v>
      </c>
      <c r="R11" s="79">
        <v>5.27</v>
      </c>
      <c r="S11" s="79">
        <v>4.97</v>
      </c>
      <c r="T11" s="79">
        <v>4.62</v>
      </c>
      <c r="U11" s="79">
        <v>4.22</v>
      </c>
      <c r="V11" s="79">
        <v>3.7699999999999996</v>
      </c>
      <c r="W11" s="79">
        <v>3.2699999999999996</v>
      </c>
      <c r="X11" s="80"/>
      <c r="Y11" s="75">
        <v>8.4</v>
      </c>
      <c r="Z11" s="75">
        <f t="shared" si="0"/>
        <v>7.4</v>
      </c>
      <c r="AA11" s="75">
        <v>100</v>
      </c>
      <c r="AB11" s="75">
        <v>100</v>
      </c>
      <c r="AC11" s="75">
        <v>100</v>
      </c>
      <c r="AD11" s="75">
        <v>100</v>
      </c>
      <c r="AE11" s="75">
        <v>100</v>
      </c>
      <c r="AF11" s="75">
        <v>100</v>
      </c>
      <c r="AG11" s="75">
        <v>100</v>
      </c>
      <c r="AH11" s="75">
        <v>100</v>
      </c>
      <c r="AI11" s="75">
        <v>100</v>
      </c>
      <c r="AJ11" s="75">
        <v>100</v>
      </c>
      <c r="AK11" s="75">
        <v>100</v>
      </c>
      <c r="AL11" s="75">
        <v>100</v>
      </c>
      <c r="AM11" s="75">
        <v>100</v>
      </c>
      <c r="AN11" s="75">
        <v>100</v>
      </c>
      <c r="AO11" s="75">
        <v>100</v>
      </c>
      <c r="AP11" s="75">
        <v>100</v>
      </c>
      <c r="AQ11" s="75">
        <v>99</v>
      </c>
      <c r="AR11" s="75">
        <v>96</v>
      </c>
      <c r="AS11" s="75">
        <v>93</v>
      </c>
      <c r="AT11" s="75">
        <v>99.37</v>
      </c>
    </row>
    <row r="12" spans="1:46" ht="15.75" thickBot="1" x14ac:dyDescent="0.3">
      <c r="A12" s="117">
        <v>0.14000000000000001</v>
      </c>
      <c r="B12" s="79">
        <v>5.72</v>
      </c>
      <c r="C12" s="79">
        <v>6.22</v>
      </c>
      <c r="D12" s="79">
        <v>6.62</v>
      </c>
      <c r="E12" s="79">
        <v>6.92</v>
      </c>
      <c r="F12" s="79">
        <v>7.1199999999999992</v>
      </c>
      <c r="G12" s="118">
        <v>7.2200000000000006</v>
      </c>
      <c r="H12" s="79">
        <v>7.07</v>
      </c>
      <c r="I12" s="79">
        <v>6.92</v>
      </c>
      <c r="J12" s="79">
        <v>6.77</v>
      </c>
      <c r="K12" s="79">
        <v>6.62</v>
      </c>
      <c r="L12" s="79">
        <v>6.47</v>
      </c>
      <c r="M12" s="79">
        <v>6.32</v>
      </c>
      <c r="N12" s="79">
        <v>6.17</v>
      </c>
      <c r="O12" s="79">
        <v>6.02</v>
      </c>
      <c r="P12" s="79">
        <v>5.87</v>
      </c>
      <c r="Q12" s="79">
        <v>5.67</v>
      </c>
      <c r="R12" s="79">
        <v>5.47</v>
      </c>
      <c r="S12" s="79">
        <v>5.17</v>
      </c>
      <c r="T12" s="79">
        <v>4.82</v>
      </c>
      <c r="U12" s="79">
        <v>4.42</v>
      </c>
      <c r="V12" s="79">
        <v>3.9699999999999998</v>
      </c>
      <c r="W12" s="79">
        <v>3.4699999999999998</v>
      </c>
      <c r="X12" s="80"/>
      <c r="Y12" s="75">
        <v>8.3000000000000007</v>
      </c>
      <c r="Z12" s="75">
        <f t="shared" si="0"/>
        <v>7.3000000000000007</v>
      </c>
      <c r="AA12" s="75">
        <v>100</v>
      </c>
      <c r="AB12" s="75">
        <v>100</v>
      </c>
      <c r="AC12" s="75">
        <v>100</v>
      </c>
      <c r="AD12" s="75">
        <v>100</v>
      </c>
      <c r="AE12" s="75">
        <v>100</v>
      </c>
      <c r="AF12" s="75">
        <v>100</v>
      </c>
      <c r="AG12" s="75">
        <v>100</v>
      </c>
      <c r="AH12" s="75">
        <v>100</v>
      </c>
      <c r="AI12" s="75">
        <v>100</v>
      </c>
      <c r="AJ12" s="75">
        <v>100</v>
      </c>
      <c r="AK12" s="75">
        <v>100</v>
      </c>
      <c r="AL12" s="75">
        <v>100</v>
      </c>
      <c r="AM12" s="75">
        <v>100</v>
      </c>
      <c r="AN12" s="75">
        <v>100</v>
      </c>
      <c r="AO12" s="75">
        <v>100</v>
      </c>
      <c r="AP12" s="75">
        <v>100</v>
      </c>
      <c r="AQ12" s="75">
        <v>99</v>
      </c>
      <c r="AR12" s="75">
        <v>95</v>
      </c>
      <c r="AS12" s="75">
        <v>92</v>
      </c>
      <c r="AT12" s="75">
        <v>99.26</v>
      </c>
    </row>
    <row r="13" spans="1:46" ht="15.75" thickBot="1" x14ac:dyDescent="0.3">
      <c r="A13" s="117">
        <v>0.15</v>
      </c>
      <c r="B13" s="79">
        <v>5.91</v>
      </c>
      <c r="C13" s="79">
        <v>6.41</v>
      </c>
      <c r="D13" s="79">
        <v>6.81</v>
      </c>
      <c r="E13" s="79">
        <v>7.1099999999999994</v>
      </c>
      <c r="F13" s="79">
        <v>7.3100000000000005</v>
      </c>
      <c r="G13" s="118">
        <v>7.41</v>
      </c>
      <c r="H13" s="79">
        <v>7.26</v>
      </c>
      <c r="I13" s="79">
        <v>7.1099999999999994</v>
      </c>
      <c r="J13" s="79">
        <v>6.96</v>
      </c>
      <c r="K13" s="79">
        <v>6.81</v>
      </c>
      <c r="L13" s="79">
        <v>6.66</v>
      </c>
      <c r="M13" s="79">
        <v>6.51</v>
      </c>
      <c r="N13" s="79">
        <v>6.36</v>
      </c>
      <c r="O13" s="79">
        <v>6.21</v>
      </c>
      <c r="P13" s="79">
        <v>6.06</v>
      </c>
      <c r="Q13" s="79">
        <v>5.86</v>
      </c>
      <c r="R13" s="79">
        <v>5.66</v>
      </c>
      <c r="S13" s="79">
        <v>5.36</v>
      </c>
      <c r="T13" s="79">
        <v>5.01</v>
      </c>
      <c r="U13" s="79">
        <v>4.6100000000000003</v>
      </c>
      <c r="V13" s="79">
        <v>4.16</v>
      </c>
      <c r="W13" s="79">
        <v>3.66</v>
      </c>
      <c r="X13" s="80"/>
      <c r="Y13" s="75">
        <v>8.1999999999999993</v>
      </c>
      <c r="Z13" s="75">
        <f t="shared" si="0"/>
        <v>7.1999999999999993</v>
      </c>
      <c r="AA13" s="75">
        <v>100</v>
      </c>
      <c r="AB13" s="75">
        <v>100</v>
      </c>
      <c r="AC13" s="75">
        <v>100</v>
      </c>
      <c r="AD13" s="75">
        <v>100</v>
      </c>
      <c r="AE13" s="75">
        <v>100</v>
      </c>
      <c r="AF13" s="75">
        <v>100</v>
      </c>
      <c r="AG13" s="75">
        <v>100</v>
      </c>
      <c r="AH13" s="75">
        <v>100</v>
      </c>
      <c r="AI13" s="75">
        <v>100</v>
      </c>
      <c r="AJ13" s="75">
        <v>100</v>
      </c>
      <c r="AK13" s="75">
        <v>100</v>
      </c>
      <c r="AL13" s="75">
        <v>100</v>
      </c>
      <c r="AM13" s="75">
        <v>100</v>
      </c>
      <c r="AN13" s="75">
        <v>100</v>
      </c>
      <c r="AO13" s="75">
        <v>100</v>
      </c>
      <c r="AP13" s="75">
        <v>100</v>
      </c>
      <c r="AQ13" s="75">
        <v>97</v>
      </c>
      <c r="AR13" s="75">
        <v>94</v>
      </c>
      <c r="AS13" s="75">
        <v>91</v>
      </c>
      <c r="AT13" s="75">
        <v>99.05</v>
      </c>
    </row>
    <row r="14" spans="1:46" ht="15.75" thickBot="1" x14ac:dyDescent="0.3">
      <c r="A14" s="117">
        <v>0.16</v>
      </c>
      <c r="B14" s="79">
        <v>6.09</v>
      </c>
      <c r="C14" s="79">
        <v>6.59</v>
      </c>
      <c r="D14" s="79">
        <v>6.99</v>
      </c>
      <c r="E14" s="79">
        <v>7.2899999999999991</v>
      </c>
      <c r="F14" s="79">
        <v>7.49</v>
      </c>
      <c r="G14" s="118">
        <v>7.59</v>
      </c>
      <c r="H14" s="79">
        <v>7.4399999999999995</v>
      </c>
      <c r="I14" s="79">
        <v>7.2899999999999991</v>
      </c>
      <c r="J14" s="79">
        <v>7.1400000000000006</v>
      </c>
      <c r="K14" s="79">
        <v>6.99</v>
      </c>
      <c r="L14" s="79">
        <v>6.84</v>
      </c>
      <c r="M14" s="79">
        <v>6.69</v>
      </c>
      <c r="N14" s="79">
        <v>6.54</v>
      </c>
      <c r="O14" s="79">
        <v>6.39</v>
      </c>
      <c r="P14" s="79">
        <v>6.24</v>
      </c>
      <c r="Q14" s="79">
        <v>6.04</v>
      </c>
      <c r="R14" s="79">
        <v>5.84</v>
      </c>
      <c r="S14" s="79">
        <v>5.54</v>
      </c>
      <c r="T14" s="79">
        <v>5.19</v>
      </c>
      <c r="U14" s="79">
        <v>4.79</v>
      </c>
      <c r="V14" s="79">
        <v>4.34</v>
      </c>
      <c r="W14" s="79">
        <v>3.84</v>
      </c>
      <c r="X14" s="80"/>
      <c r="Y14" s="75">
        <v>8.1</v>
      </c>
      <c r="Z14" s="75">
        <f t="shared" si="0"/>
        <v>7.1</v>
      </c>
      <c r="AA14" s="75">
        <v>100</v>
      </c>
      <c r="AB14" s="75">
        <v>100</v>
      </c>
      <c r="AC14" s="75">
        <v>100</v>
      </c>
      <c r="AD14" s="75">
        <v>100</v>
      </c>
      <c r="AE14" s="75">
        <v>100</v>
      </c>
      <c r="AF14" s="75">
        <v>100</v>
      </c>
      <c r="AG14" s="75">
        <v>100</v>
      </c>
      <c r="AH14" s="75">
        <v>100</v>
      </c>
      <c r="AI14" s="75">
        <v>100</v>
      </c>
      <c r="AJ14" s="75">
        <v>100</v>
      </c>
      <c r="AK14" s="75">
        <v>100</v>
      </c>
      <c r="AL14" s="75">
        <v>100</v>
      </c>
      <c r="AM14" s="75">
        <v>100</v>
      </c>
      <c r="AN14" s="75">
        <v>100</v>
      </c>
      <c r="AO14" s="75">
        <v>100</v>
      </c>
      <c r="AP14" s="75">
        <v>100</v>
      </c>
      <c r="AQ14" s="75">
        <v>97</v>
      </c>
      <c r="AR14" s="75">
        <v>93</v>
      </c>
      <c r="AS14" s="75">
        <v>90</v>
      </c>
      <c r="AT14" s="75">
        <v>98.95</v>
      </c>
    </row>
    <row r="15" spans="1:46" ht="19.5" thickBot="1" x14ac:dyDescent="0.35">
      <c r="A15" s="117">
        <v>0.17</v>
      </c>
      <c r="B15" s="118">
        <v>6.25</v>
      </c>
      <c r="C15" s="118">
        <v>6.75</v>
      </c>
      <c r="D15" s="118">
        <v>7.15</v>
      </c>
      <c r="E15" s="118">
        <v>7.4499999999999993</v>
      </c>
      <c r="F15" s="118">
        <v>7.65</v>
      </c>
      <c r="G15" s="118">
        <v>7.75</v>
      </c>
      <c r="H15" s="118">
        <v>7.6</v>
      </c>
      <c r="I15" s="118">
        <v>7.4499999999999993</v>
      </c>
      <c r="J15" s="118">
        <v>7.3000000000000007</v>
      </c>
      <c r="K15" s="118">
        <v>7.15</v>
      </c>
      <c r="L15" s="118">
        <v>7</v>
      </c>
      <c r="M15" s="118">
        <v>6.85</v>
      </c>
      <c r="N15" s="118">
        <v>6.7</v>
      </c>
      <c r="O15" s="118">
        <v>6.55</v>
      </c>
      <c r="P15" s="118">
        <v>6.4</v>
      </c>
      <c r="Q15" s="118">
        <v>6.2</v>
      </c>
      <c r="R15" s="118">
        <v>6</v>
      </c>
      <c r="S15" s="118">
        <v>5.7</v>
      </c>
      <c r="T15" s="118">
        <v>5.35</v>
      </c>
      <c r="U15" s="118">
        <v>4.95</v>
      </c>
      <c r="V15" s="118">
        <v>4.5</v>
      </c>
      <c r="W15" s="118">
        <v>4</v>
      </c>
      <c r="X15" s="81"/>
      <c r="Y15" s="75">
        <v>8</v>
      </c>
      <c r="Z15" s="75">
        <f t="shared" si="0"/>
        <v>7</v>
      </c>
      <c r="AA15" s="75">
        <v>100</v>
      </c>
      <c r="AB15" s="75">
        <v>100</v>
      </c>
      <c r="AC15" s="75">
        <v>100</v>
      </c>
      <c r="AD15" s="75">
        <v>100</v>
      </c>
      <c r="AE15" s="75">
        <v>100</v>
      </c>
      <c r="AF15" s="75">
        <v>100</v>
      </c>
      <c r="AG15" s="75">
        <v>100</v>
      </c>
      <c r="AH15" s="75">
        <v>100</v>
      </c>
      <c r="AI15" s="75">
        <v>100</v>
      </c>
      <c r="AJ15" s="75">
        <v>99</v>
      </c>
      <c r="AK15" s="75">
        <v>100</v>
      </c>
      <c r="AL15" s="75">
        <v>100</v>
      </c>
      <c r="AM15" s="75">
        <v>100</v>
      </c>
      <c r="AN15" s="75">
        <v>100</v>
      </c>
      <c r="AO15" s="75">
        <v>100</v>
      </c>
      <c r="AP15" s="75">
        <v>99</v>
      </c>
      <c r="AQ15" s="75">
        <v>95</v>
      </c>
      <c r="AR15" s="75">
        <v>92</v>
      </c>
      <c r="AS15" s="75">
        <v>89</v>
      </c>
      <c r="AT15" s="75">
        <v>98.63</v>
      </c>
    </row>
    <row r="16" spans="1:46" ht="15.75" thickBot="1" x14ac:dyDescent="0.3">
      <c r="A16" s="117">
        <v>0.18</v>
      </c>
      <c r="B16" s="79">
        <v>6.4</v>
      </c>
      <c r="C16" s="79">
        <v>6.9</v>
      </c>
      <c r="D16" s="79">
        <v>7.3000000000000007</v>
      </c>
      <c r="E16" s="79">
        <v>7.6</v>
      </c>
      <c r="F16" s="79">
        <v>7.8000000000000007</v>
      </c>
      <c r="G16" s="118">
        <v>7.9</v>
      </c>
      <c r="H16" s="79">
        <v>7.75</v>
      </c>
      <c r="I16" s="79">
        <v>7.6</v>
      </c>
      <c r="J16" s="79">
        <v>7.4499999999999993</v>
      </c>
      <c r="K16" s="79">
        <v>7.3000000000000007</v>
      </c>
      <c r="L16" s="79">
        <v>7.15</v>
      </c>
      <c r="M16" s="79">
        <v>7</v>
      </c>
      <c r="N16" s="79">
        <v>6.85</v>
      </c>
      <c r="O16" s="79">
        <v>6.7</v>
      </c>
      <c r="P16" s="79">
        <v>6.55</v>
      </c>
      <c r="Q16" s="79">
        <v>6.35</v>
      </c>
      <c r="R16" s="79">
        <v>6.15</v>
      </c>
      <c r="S16" s="79">
        <v>5.85</v>
      </c>
      <c r="T16" s="79">
        <v>5.5</v>
      </c>
      <c r="U16" s="79">
        <v>5.0999999999999996</v>
      </c>
      <c r="V16" s="79">
        <v>4.6500000000000004</v>
      </c>
      <c r="W16" s="79">
        <v>4.1500000000000004</v>
      </c>
      <c r="X16" s="80"/>
      <c r="Y16" s="75">
        <v>7.9</v>
      </c>
      <c r="Z16" s="75">
        <f t="shared" si="0"/>
        <v>6.9</v>
      </c>
      <c r="AA16" s="75">
        <v>100</v>
      </c>
      <c r="AB16" s="75">
        <v>100</v>
      </c>
      <c r="AC16" s="75">
        <v>100</v>
      </c>
      <c r="AD16" s="75">
        <v>100</v>
      </c>
      <c r="AE16" s="75">
        <v>100</v>
      </c>
      <c r="AF16" s="75">
        <v>100</v>
      </c>
      <c r="AG16" s="75">
        <v>100</v>
      </c>
      <c r="AH16" s="75">
        <v>100</v>
      </c>
      <c r="AI16" s="75">
        <v>100</v>
      </c>
      <c r="AJ16" s="75">
        <v>99</v>
      </c>
      <c r="AK16" s="75">
        <v>100</v>
      </c>
      <c r="AL16" s="75">
        <v>100</v>
      </c>
      <c r="AM16" s="75">
        <v>100</v>
      </c>
      <c r="AN16" s="75">
        <v>100</v>
      </c>
      <c r="AO16" s="75">
        <v>100</v>
      </c>
      <c r="AP16" s="75">
        <v>98</v>
      </c>
      <c r="AQ16" s="75">
        <v>95</v>
      </c>
      <c r="AR16" s="75">
        <v>92</v>
      </c>
      <c r="AS16" s="75">
        <v>88</v>
      </c>
      <c r="AT16" s="75">
        <v>98.53</v>
      </c>
    </row>
    <row r="17" spans="1:46" ht="15.75" thickBot="1" x14ac:dyDescent="0.3">
      <c r="A17" s="117">
        <v>0.19</v>
      </c>
      <c r="B17" s="79">
        <v>6.54</v>
      </c>
      <c r="C17" s="79">
        <v>7.0399999999999991</v>
      </c>
      <c r="D17" s="79">
        <v>7.4399999999999995</v>
      </c>
      <c r="E17" s="79">
        <v>7.74</v>
      </c>
      <c r="F17" s="79">
        <v>7.9399999999999995</v>
      </c>
      <c r="G17" s="118">
        <v>8.0399999999999991</v>
      </c>
      <c r="H17" s="79">
        <v>7.8900000000000006</v>
      </c>
      <c r="I17" s="79">
        <v>7.74</v>
      </c>
      <c r="J17" s="79">
        <v>7.59</v>
      </c>
      <c r="K17" s="79">
        <v>7.4399999999999995</v>
      </c>
      <c r="L17" s="79">
        <v>7.2899999999999991</v>
      </c>
      <c r="M17" s="79">
        <v>7.1400000000000006</v>
      </c>
      <c r="N17" s="79">
        <v>6.99</v>
      </c>
      <c r="O17" s="79">
        <v>6.84</v>
      </c>
      <c r="P17" s="79">
        <v>6.69</v>
      </c>
      <c r="Q17" s="79">
        <v>6.49</v>
      </c>
      <c r="R17" s="79">
        <v>6.29</v>
      </c>
      <c r="S17" s="79">
        <v>5.99</v>
      </c>
      <c r="T17" s="79">
        <v>5.64</v>
      </c>
      <c r="U17" s="79">
        <v>5.24</v>
      </c>
      <c r="V17" s="79">
        <v>4.79</v>
      </c>
      <c r="W17" s="79">
        <v>4.29</v>
      </c>
      <c r="X17" s="80"/>
      <c r="Y17" s="75">
        <v>7.8</v>
      </c>
      <c r="Z17" s="75">
        <f t="shared" si="0"/>
        <v>6.8</v>
      </c>
      <c r="AA17" s="75">
        <v>100</v>
      </c>
      <c r="AB17" s="75">
        <v>100</v>
      </c>
      <c r="AC17" s="75">
        <v>100</v>
      </c>
      <c r="AD17" s="75">
        <v>100</v>
      </c>
      <c r="AE17" s="75">
        <v>100</v>
      </c>
      <c r="AF17" s="75">
        <v>100</v>
      </c>
      <c r="AG17" s="75">
        <v>100</v>
      </c>
      <c r="AH17" s="75">
        <v>100</v>
      </c>
      <c r="AI17" s="75">
        <v>100</v>
      </c>
      <c r="AJ17" s="75">
        <v>98</v>
      </c>
      <c r="AK17" s="75">
        <v>100</v>
      </c>
      <c r="AL17" s="75">
        <v>100</v>
      </c>
      <c r="AM17" s="75">
        <v>100</v>
      </c>
      <c r="AN17" s="75">
        <v>100</v>
      </c>
      <c r="AO17" s="75">
        <v>100</v>
      </c>
      <c r="AP17" s="75">
        <v>97</v>
      </c>
      <c r="AQ17" s="75">
        <v>94</v>
      </c>
      <c r="AR17" s="75">
        <v>91</v>
      </c>
      <c r="AS17" s="75">
        <v>87</v>
      </c>
      <c r="AT17" s="75">
        <v>98.26</v>
      </c>
    </row>
    <row r="18" spans="1:46" ht="19.5" thickBot="1" x14ac:dyDescent="0.35">
      <c r="A18" s="82">
        <v>0.2</v>
      </c>
      <c r="B18" s="84">
        <v>6.67</v>
      </c>
      <c r="C18" s="84">
        <v>7.17</v>
      </c>
      <c r="D18" s="84">
        <v>7.57</v>
      </c>
      <c r="E18" s="84">
        <v>7.8699999999999992</v>
      </c>
      <c r="F18" s="84">
        <v>8.07</v>
      </c>
      <c r="G18" s="83">
        <v>8.17</v>
      </c>
      <c r="H18" s="84">
        <v>8.02</v>
      </c>
      <c r="I18" s="84">
        <v>7.8699999999999992</v>
      </c>
      <c r="J18" s="84">
        <v>7.7200000000000006</v>
      </c>
      <c r="K18" s="84">
        <v>7.57</v>
      </c>
      <c r="L18" s="84">
        <v>7.42</v>
      </c>
      <c r="M18" s="84">
        <v>7.27</v>
      </c>
      <c r="N18" s="84">
        <v>7.1199999999999992</v>
      </c>
      <c r="O18" s="84">
        <v>6.97</v>
      </c>
      <c r="P18" s="84">
        <v>6.82</v>
      </c>
      <c r="Q18" s="84">
        <v>6.62</v>
      </c>
      <c r="R18" s="84">
        <v>6.42</v>
      </c>
      <c r="S18" s="84">
        <v>6.12</v>
      </c>
      <c r="T18" s="84">
        <v>5.77</v>
      </c>
      <c r="U18" s="84">
        <v>5.37</v>
      </c>
      <c r="V18" s="84">
        <v>4.92</v>
      </c>
      <c r="W18" s="84">
        <v>4.42</v>
      </c>
      <c r="X18" s="80"/>
      <c r="Y18" s="75">
        <v>7.7</v>
      </c>
      <c r="Z18" s="75">
        <f t="shared" si="0"/>
        <v>6.7</v>
      </c>
      <c r="AA18" s="75">
        <v>100</v>
      </c>
      <c r="AB18" s="75">
        <v>100</v>
      </c>
      <c r="AC18" s="75">
        <v>100</v>
      </c>
      <c r="AD18" s="75">
        <v>100</v>
      </c>
      <c r="AE18" s="75">
        <v>100</v>
      </c>
      <c r="AF18" s="75">
        <v>100</v>
      </c>
      <c r="AG18" s="75">
        <v>100</v>
      </c>
      <c r="AH18" s="75">
        <v>100</v>
      </c>
      <c r="AI18" s="75">
        <v>100</v>
      </c>
      <c r="AJ18" s="75">
        <v>97</v>
      </c>
      <c r="AK18" s="75">
        <v>100</v>
      </c>
      <c r="AL18" s="75">
        <v>100</v>
      </c>
      <c r="AM18" s="75">
        <v>100</v>
      </c>
      <c r="AN18" s="75">
        <v>100</v>
      </c>
      <c r="AO18" s="75">
        <v>99</v>
      </c>
      <c r="AP18" s="75">
        <v>96</v>
      </c>
      <c r="AQ18" s="75">
        <v>93</v>
      </c>
      <c r="AR18" s="75">
        <v>89</v>
      </c>
      <c r="AS18" s="75">
        <v>86</v>
      </c>
      <c r="AT18" s="75">
        <v>97.89</v>
      </c>
    </row>
    <row r="19" spans="1:46" ht="16.5" customHeight="1" thickBot="1" x14ac:dyDescent="0.3">
      <c r="A19" s="77">
        <v>0.21</v>
      </c>
      <c r="B19" s="78">
        <v>6.8</v>
      </c>
      <c r="C19" s="78">
        <v>7.3000000000000007</v>
      </c>
      <c r="D19" s="78">
        <v>7.6999999999999993</v>
      </c>
      <c r="E19" s="78">
        <v>8</v>
      </c>
      <c r="F19" s="120">
        <v>8.1999999999999993</v>
      </c>
      <c r="G19" s="121">
        <v>8.3000000000000007</v>
      </c>
      <c r="H19" s="78">
        <v>8.15</v>
      </c>
      <c r="I19" s="78">
        <v>8</v>
      </c>
      <c r="J19" s="78">
        <v>7.85</v>
      </c>
      <c r="K19" s="78">
        <v>7.6999999999999993</v>
      </c>
      <c r="L19" s="78">
        <v>7.5500000000000007</v>
      </c>
      <c r="M19" s="79">
        <v>7.4</v>
      </c>
      <c r="N19" s="79">
        <v>7.25</v>
      </c>
      <c r="O19" s="79">
        <v>7.1</v>
      </c>
      <c r="P19" s="79">
        <v>6.95</v>
      </c>
      <c r="Q19" s="78">
        <v>6.75</v>
      </c>
      <c r="R19" s="78">
        <v>6.55</v>
      </c>
      <c r="S19" s="78">
        <v>6.25</v>
      </c>
      <c r="T19" s="78">
        <v>5.9</v>
      </c>
      <c r="U19" s="78">
        <v>5.5</v>
      </c>
      <c r="V19" s="78">
        <v>5.05</v>
      </c>
      <c r="W19" s="78">
        <v>4.55</v>
      </c>
      <c r="X19" s="80"/>
      <c r="Y19" s="75">
        <v>7.6</v>
      </c>
      <c r="Z19" s="75">
        <f t="shared" si="0"/>
        <v>6.6</v>
      </c>
      <c r="AA19" s="75">
        <v>100</v>
      </c>
      <c r="AB19" s="75">
        <v>100</v>
      </c>
      <c r="AC19" s="75">
        <v>100</v>
      </c>
      <c r="AD19" s="75">
        <v>100</v>
      </c>
      <c r="AE19" s="75">
        <v>100</v>
      </c>
      <c r="AF19" s="75">
        <v>100</v>
      </c>
      <c r="AG19" s="75">
        <v>100</v>
      </c>
      <c r="AH19" s="75">
        <v>100</v>
      </c>
      <c r="AI19" s="75">
        <v>100</v>
      </c>
      <c r="AJ19" s="75">
        <v>96</v>
      </c>
      <c r="AK19" s="75">
        <v>100</v>
      </c>
      <c r="AL19" s="75">
        <v>100</v>
      </c>
      <c r="AM19" s="75">
        <v>100</v>
      </c>
      <c r="AN19" s="75">
        <v>100</v>
      </c>
      <c r="AO19" s="75">
        <v>98</v>
      </c>
      <c r="AP19" s="75">
        <v>95</v>
      </c>
      <c r="AQ19" s="75">
        <v>91</v>
      </c>
      <c r="AR19" s="75">
        <v>88</v>
      </c>
      <c r="AS19" s="75">
        <v>85</v>
      </c>
      <c r="AT19" s="75">
        <v>97.53</v>
      </c>
    </row>
    <row r="20" spans="1:46" ht="16.5" customHeight="1" thickBot="1" x14ac:dyDescent="0.3">
      <c r="A20" s="77">
        <v>0.22</v>
      </c>
      <c r="B20" s="78">
        <v>6.91</v>
      </c>
      <c r="C20" s="78">
        <v>7.41</v>
      </c>
      <c r="D20" s="78">
        <v>7.8100000000000005</v>
      </c>
      <c r="E20" s="78">
        <v>8.11</v>
      </c>
      <c r="F20" s="120">
        <v>8.31</v>
      </c>
      <c r="G20" s="121">
        <v>8.33</v>
      </c>
      <c r="H20" s="78">
        <v>8.26</v>
      </c>
      <c r="I20" s="78">
        <v>8.11</v>
      </c>
      <c r="J20" s="78">
        <v>7.9600000000000009</v>
      </c>
      <c r="K20" s="78">
        <v>7.8100000000000005</v>
      </c>
      <c r="L20" s="78">
        <v>7.66</v>
      </c>
      <c r="M20" s="79">
        <v>7.51</v>
      </c>
      <c r="N20" s="79">
        <v>7.3599999999999994</v>
      </c>
      <c r="O20" s="79">
        <v>7.2100000000000009</v>
      </c>
      <c r="P20" s="79">
        <v>7.0600000000000005</v>
      </c>
      <c r="Q20" s="78">
        <v>6.86</v>
      </c>
      <c r="R20" s="78">
        <v>6.66</v>
      </c>
      <c r="S20" s="78">
        <v>6.36</v>
      </c>
      <c r="T20" s="78">
        <v>6.01</v>
      </c>
      <c r="U20" s="78">
        <v>5.61</v>
      </c>
      <c r="V20" s="78">
        <v>5.16</v>
      </c>
      <c r="W20" s="78">
        <v>4.66</v>
      </c>
      <c r="X20" s="80"/>
      <c r="Y20" s="75">
        <v>7.5</v>
      </c>
      <c r="Z20" s="75">
        <f t="shared" si="0"/>
        <v>6.5</v>
      </c>
      <c r="AA20" s="75">
        <v>100</v>
      </c>
      <c r="AB20" s="75">
        <v>100</v>
      </c>
      <c r="AC20" s="75">
        <v>100</v>
      </c>
      <c r="AD20" s="75">
        <v>100</v>
      </c>
      <c r="AE20" s="75">
        <v>100</v>
      </c>
      <c r="AF20" s="75">
        <v>100</v>
      </c>
      <c r="AG20" s="75">
        <v>100</v>
      </c>
      <c r="AH20" s="75">
        <v>100</v>
      </c>
      <c r="AI20" s="75">
        <v>100</v>
      </c>
      <c r="AJ20" s="75">
        <v>96</v>
      </c>
      <c r="AK20" s="75">
        <v>100</v>
      </c>
      <c r="AL20" s="75">
        <v>100</v>
      </c>
      <c r="AM20" s="75">
        <v>100</v>
      </c>
      <c r="AN20" s="75">
        <v>100</v>
      </c>
      <c r="AO20" s="75">
        <v>98</v>
      </c>
      <c r="AP20" s="75">
        <v>95</v>
      </c>
      <c r="AQ20" s="75">
        <v>91</v>
      </c>
      <c r="AR20" s="75">
        <v>88</v>
      </c>
      <c r="AS20" s="75">
        <v>84</v>
      </c>
      <c r="AT20" s="75">
        <v>97.47</v>
      </c>
    </row>
    <row r="21" spans="1:46" ht="16.5" customHeight="1" thickBot="1" x14ac:dyDescent="0.3">
      <c r="A21" s="77">
        <v>0.23</v>
      </c>
      <c r="B21" s="78">
        <v>7.01</v>
      </c>
      <c r="C21" s="78">
        <v>7.51</v>
      </c>
      <c r="D21" s="78">
        <v>7.91</v>
      </c>
      <c r="E21" s="78">
        <v>8.2100000000000009</v>
      </c>
      <c r="F21" s="120">
        <v>8.33</v>
      </c>
      <c r="G21" s="121">
        <v>8.33</v>
      </c>
      <c r="H21" s="78">
        <v>8.33</v>
      </c>
      <c r="I21" s="78">
        <v>8.2100000000000009</v>
      </c>
      <c r="J21" s="78">
        <v>8.06</v>
      </c>
      <c r="K21" s="78">
        <v>7.91</v>
      </c>
      <c r="L21" s="78">
        <v>7.76</v>
      </c>
      <c r="M21" s="79">
        <v>7.6099999999999994</v>
      </c>
      <c r="N21" s="79">
        <v>7.4600000000000009</v>
      </c>
      <c r="O21" s="79">
        <v>7.3100000000000005</v>
      </c>
      <c r="P21" s="79">
        <v>7.16</v>
      </c>
      <c r="Q21" s="78">
        <v>6.96</v>
      </c>
      <c r="R21" s="78">
        <v>6.76</v>
      </c>
      <c r="S21" s="78">
        <v>6.46</v>
      </c>
      <c r="T21" s="78">
        <v>6.11</v>
      </c>
      <c r="U21" s="78">
        <v>5.71</v>
      </c>
      <c r="V21" s="78">
        <v>5.26</v>
      </c>
      <c r="W21" s="78">
        <v>4.76</v>
      </c>
      <c r="X21" s="80"/>
      <c r="Y21" s="75">
        <v>7.4</v>
      </c>
      <c r="Z21" s="75">
        <f t="shared" si="0"/>
        <v>6.4</v>
      </c>
      <c r="AA21" s="75">
        <v>100</v>
      </c>
      <c r="AB21" s="75">
        <v>100</v>
      </c>
      <c r="AC21" s="75">
        <v>100</v>
      </c>
      <c r="AD21" s="75">
        <v>100</v>
      </c>
      <c r="AE21" s="75">
        <v>100</v>
      </c>
      <c r="AF21" s="75">
        <v>100</v>
      </c>
      <c r="AG21" s="75">
        <v>100</v>
      </c>
      <c r="AH21" s="75">
        <v>100</v>
      </c>
      <c r="AI21" s="75">
        <v>99</v>
      </c>
      <c r="AJ21" s="75">
        <v>96</v>
      </c>
      <c r="AK21" s="75">
        <v>100</v>
      </c>
      <c r="AL21" s="75">
        <v>100</v>
      </c>
      <c r="AM21" s="75">
        <v>100</v>
      </c>
      <c r="AN21" s="75">
        <v>100</v>
      </c>
      <c r="AO21" s="75">
        <v>97</v>
      </c>
      <c r="AP21" s="75">
        <v>94</v>
      </c>
      <c r="AQ21" s="75">
        <v>90</v>
      </c>
      <c r="AR21" s="75">
        <v>87</v>
      </c>
      <c r="AS21" s="75">
        <v>83</v>
      </c>
      <c r="AT21" s="75">
        <v>97.16</v>
      </c>
    </row>
    <row r="22" spans="1:46" ht="16.5" customHeight="1" thickBot="1" x14ac:dyDescent="0.3">
      <c r="A22" s="77">
        <v>0.24</v>
      </c>
      <c r="B22" s="78">
        <v>7.1099999999999994</v>
      </c>
      <c r="C22" s="78">
        <v>7.6099999999999994</v>
      </c>
      <c r="D22" s="78">
        <v>8.01</v>
      </c>
      <c r="E22" s="78">
        <v>8.31</v>
      </c>
      <c r="F22" s="120">
        <v>8.33</v>
      </c>
      <c r="G22" s="121">
        <v>8.33</v>
      </c>
      <c r="H22" s="78">
        <v>8.33</v>
      </c>
      <c r="I22" s="78">
        <v>8.31</v>
      </c>
      <c r="J22" s="78">
        <v>8.16</v>
      </c>
      <c r="K22" s="78">
        <v>8.01</v>
      </c>
      <c r="L22" s="78">
        <v>7.8599999999999994</v>
      </c>
      <c r="M22" s="79">
        <v>7.7100000000000009</v>
      </c>
      <c r="N22" s="79">
        <v>7.5600000000000005</v>
      </c>
      <c r="O22" s="79">
        <v>7.41</v>
      </c>
      <c r="P22" s="79">
        <v>7.26</v>
      </c>
      <c r="Q22" s="78">
        <v>7.0600000000000005</v>
      </c>
      <c r="R22" s="78">
        <v>6.86</v>
      </c>
      <c r="S22" s="78">
        <v>6.56</v>
      </c>
      <c r="T22" s="78">
        <v>6.21</v>
      </c>
      <c r="U22" s="78">
        <v>5.81</v>
      </c>
      <c r="V22" s="78">
        <v>5.36</v>
      </c>
      <c r="W22" s="78">
        <v>4.8600000000000003</v>
      </c>
      <c r="X22" s="80"/>
      <c r="Y22" s="75">
        <v>7.3</v>
      </c>
      <c r="Z22" s="75">
        <f t="shared" si="0"/>
        <v>6.3</v>
      </c>
      <c r="AA22" s="75">
        <v>100</v>
      </c>
      <c r="AB22" s="75">
        <v>100</v>
      </c>
      <c r="AC22" s="75">
        <v>100</v>
      </c>
      <c r="AD22" s="75">
        <v>100</v>
      </c>
      <c r="AE22" s="75">
        <v>100</v>
      </c>
      <c r="AF22" s="75">
        <v>100</v>
      </c>
      <c r="AG22" s="75">
        <v>100</v>
      </c>
      <c r="AH22" s="75">
        <v>100</v>
      </c>
      <c r="AI22" s="75">
        <v>98</v>
      </c>
      <c r="AJ22" s="75">
        <v>95</v>
      </c>
      <c r="AK22" s="75">
        <v>100</v>
      </c>
      <c r="AL22" s="75">
        <v>100</v>
      </c>
      <c r="AM22" s="75">
        <v>100</v>
      </c>
      <c r="AN22" s="75">
        <v>100</v>
      </c>
      <c r="AO22" s="75">
        <v>96</v>
      </c>
      <c r="AP22" s="75">
        <v>93</v>
      </c>
      <c r="AQ22" s="75">
        <v>89</v>
      </c>
      <c r="AR22" s="75">
        <v>86</v>
      </c>
      <c r="AS22" s="75">
        <v>82</v>
      </c>
      <c r="AT22" s="75">
        <v>96.79</v>
      </c>
    </row>
    <row r="23" spans="1:46" ht="19.5" thickBot="1" x14ac:dyDescent="0.35">
      <c r="A23" s="82">
        <v>0.25</v>
      </c>
      <c r="B23" s="84">
        <v>7.1999999999999993</v>
      </c>
      <c r="C23" s="84">
        <v>7.6999999999999993</v>
      </c>
      <c r="D23" s="84">
        <v>8.1</v>
      </c>
      <c r="E23" s="84">
        <v>8.33</v>
      </c>
      <c r="F23" s="84">
        <v>8.33</v>
      </c>
      <c r="G23" s="83">
        <v>8.33</v>
      </c>
      <c r="H23" s="84">
        <v>8.33</v>
      </c>
      <c r="I23" s="84">
        <v>8.33</v>
      </c>
      <c r="J23" s="84">
        <v>8.25</v>
      </c>
      <c r="K23" s="84">
        <v>8.1</v>
      </c>
      <c r="L23" s="84">
        <v>7.9499999999999993</v>
      </c>
      <c r="M23" s="84">
        <v>7.8000000000000007</v>
      </c>
      <c r="N23" s="84">
        <v>7.65</v>
      </c>
      <c r="O23" s="84">
        <v>7.5</v>
      </c>
      <c r="P23" s="84">
        <v>7.35</v>
      </c>
      <c r="Q23" s="84">
        <v>7.15</v>
      </c>
      <c r="R23" s="84">
        <v>6.95</v>
      </c>
      <c r="S23" s="84">
        <v>6.65</v>
      </c>
      <c r="T23" s="84">
        <v>6.3</v>
      </c>
      <c r="U23" s="84">
        <v>5.9</v>
      </c>
      <c r="V23" s="84">
        <v>5.45</v>
      </c>
      <c r="W23" s="84">
        <v>4.95</v>
      </c>
      <c r="X23" s="80"/>
      <c r="Y23" s="75">
        <v>7.2</v>
      </c>
      <c r="Z23" s="75">
        <f t="shared" si="0"/>
        <v>6.2</v>
      </c>
      <c r="AA23" s="75">
        <v>100</v>
      </c>
      <c r="AB23" s="75">
        <v>100</v>
      </c>
      <c r="AC23" s="75">
        <v>100</v>
      </c>
      <c r="AD23" s="75">
        <v>100</v>
      </c>
      <c r="AE23" s="75">
        <v>100</v>
      </c>
      <c r="AF23" s="75">
        <v>100</v>
      </c>
      <c r="AG23" s="75">
        <v>100</v>
      </c>
      <c r="AH23" s="75">
        <v>100</v>
      </c>
      <c r="AI23" s="75">
        <v>98</v>
      </c>
      <c r="AJ23" s="75">
        <v>94</v>
      </c>
      <c r="AK23" s="75">
        <v>100</v>
      </c>
      <c r="AL23" s="75">
        <v>100</v>
      </c>
      <c r="AM23" s="75">
        <v>100</v>
      </c>
      <c r="AN23" s="75">
        <v>99</v>
      </c>
      <c r="AO23" s="75">
        <v>95</v>
      </c>
      <c r="AP23" s="75">
        <v>92</v>
      </c>
      <c r="AQ23" s="75">
        <v>88</v>
      </c>
      <c r="AR23" s="75">
        <v>85</v>
      </c>
      <c r="AS23" s="75">
        <v>81</v>
      </c>
      <c r="AT23" s="75">
        <v>96.42</v>
      </c>
    </row>
    <row r="24" spans="1:46" ht="16.5" thickBot="1" x14ac:dyDescent="0.3">
      <c r="A24" s="77">
        <v>0.26</v>
      </c>
      <c r="B24" s="78">
        <v>7.2799999999999994</v>
      </c>
      <c r="C24" s="78">
        <v>7.7799999999999994</v>
      </c>
      <c r="D24" s="78">
        <v>8.18</v>
      </c>
      <c r="E24" s="78">
        <v>8.33</v>
      </c>
      <c r="F24" s="120">
        <v>8.33</v>
      </c>
      <c r="G24" s="121">
        <v>8.33</v>
      </c>
      <c r="H24" s="78">
        <v>8.33</v>
      </c>
      <c r="I24" s="78">
        <v>8.33</v>
      </c>
      <c r="J24" s="78">
        <v>8.33</v>
      </c>
      <c r="K24" s="78">
        <v>8.18</v>
      </c>
      <c r="L24" s="78">
        <v>8.0299999999999994</v>
      </c>
      <c r="M24" s="79">
        <v>7.8800000000000008</v>
      </c>
      <c r="N24" s="79">
        <v>7.73</v>
      </c>
      <c r="O24" s="79">
        <v>7.58</v>
      </c>
      <c r="P24" s="79">
        <v>7.43</v>
      </c>
      <c r="Q24" s="78">
        <v>7.23</v>
      </c>
      <c r="R24" s="78">
        <v>7.0299999999999994</v>
      </c>
      <c r="S24" s="78">
        <v>6.73</v>
      </c>
      <c r="T24" s="78">
        <v>6.38</v>
      </c>
      <c r="U24" s="78">
        <v>5.98</v>
      </c>
      <c r="V24" s="78">
        <v>5.53</v>
      </c>
      <c r="W24" s="78">
        <v>5.03</v>
      </c>
      <c r="X24" s="80"/>
      <c r="Y24" s="75">
        <v>7.1</v>
      </c>
      <c r="Z24" s="75">
        <f t="shared" si="0"/>
        <v>6.1</v>
      </c>
      <c r="AA24" s="75">
        <v>100</v>
      </c>
      <c r="AB24" s="75">
        <v>100</v>
      </c>
      <c r="AC24" s="75">
        <v>100</v>
      </c>
      <c r="AD24" s="75">
        <v>100</v>
      </c>
      <c r="AE24" s="75">
        <v>100</v>
      </c>
      <c r="AF24" s="75">
        <v>100</v>
      </c>
      <c r="AG24" s="75">
        <v>100</v>
      </c>
      <c r="AH24" s="75">
        <v>100</v>
      </c>
      <c r="AI24" s="75">
        <v>97</v>
      </c>
      <c r="AJ24" s="75">
        <v>94</v>
      </c>
      <c r="AK24" s="75">
        <v>100</v>
      </c>
      <c r="AL24" s="75">
        <v>100</v>
      </c>
      <c r="AM24" s="75">
        <v>100</v>
      </c>
      <c r="AN24" s="75">
        <v>98</v>
      </c>
      <c r="AO24" s="75">
        <v>95</v>
      </c>
      <c r="AP24" s="75">
        <v>91</v>
      </c>
      <c r="AQ24" s="75">
        <v>87</v>
      </c>
      <c r="AR24" s="75">
        <v>84</v>
      </c>
      <c r="AS24" s="75">
        <v>80</v>
      </c>
      <c r="AT24" s="75">
        <v>96.11</v>
      </c>
    </row>
    <row r="25" spans="1:46" ht="16.5" customHeight="1" thickBot="1" x14ac:dyDescent="0.3">
      <c r="A25" s="77">
        <v>0.27</v>
      </c>
      <c r="B25" s="78">
        <v>7.3599999999999994</v>
      </c>
      <c r="C25" s="78">
        <v>7.8599999999999994</v>
      </c>
      <c r="D25" s="78">
        <v>8.26</v>
      </c>
      <c r="E25" s="78">
        <v>8.33</v>
      </c>
      <c r="F25" s="120">
        <v>8.33</v>
      </c>
      <c r="G25" s="121">
        <v>8.33</v>
      </c>
      <c r="H25" s="78">
        <v>8.33</v>
      </c>
      <c r="I25" s="78">
        <v>8.33</v>
      </c>
      <c r="J25" s="78">
        <v>8.33</v>
      </c>
      <c r="K25" s="78">
        <v>8.26</v>
      </c>
      <c r="L25" s="78">
        <v>8.11</v>
      </c>
      <c r="M25" s="79">
        <v>7.9600000000000009</v>
      </c>
      <c r="N25" s="79">
        <v>7.8100000000000005</v>
      </c>
      <c r="O25" s="79">
        <v>7.66</v>
      </c>
      <c r="P25" s="79">
        <v>7.51</v>
      </c>
      <c r="Q25" s="78">
        <v>7.3100000000000005</v>
      </c>
      <c r="R25" s="78">
        <v>7.1099999999999994</v>
      </c>
      <c r="S25" s="78">
        <v>6.81</v>
      </c>
      <c r="T25" s="78">
        <v>6.46</v>
      </c>
      <c r="U25" s="78">
        <v>6.06</v>
      </c>
      <c r="V25" s="78">
        <v>5.61</v>
      </c>
      <c r="W25" s="78">
        <v>5.1100000000000003</v>
      </c>
      <c r="X25" s="80"/>
      <c r="Y25" s="75">
        <v>7</v>
      </c>
      <c r="Z25" s="75">
        <f t="shared" si="0"/>
        <v>6</v>
      </c>
      <c r="AA25" s="75">
        <v>100</v>
      </c>
      <c r="AB25" s="75">
        <v>100</v>
      </c>
      <c r="AC25" s="75">
        <v>100</v>
      </c>
      <c r="AD25" s="75">
        <v>100</v>
      </c>
      <c r="AE25" s="75">
        <v>100</v>
      </c>
      <c r="AF25" s="75">
        <v>100</v>
      </c>
      <c r="AG25" s="75">
        <v>100</v>
      </c>
      <c r="AH25" s="75">
        <v>100</v>
      </c>
      <c r="AI25" s="75">
        <v>96</v>
      </c>
      <c r="AJ25" s="75">
        <v>93</v>
      </c>
      <c r="AK25" s="75">
        <v>100</v>
      </c>
      <c r="AL25" s="75">
        <v>100</v>
      </c>
      <c r="AM25" s="75">
        <v>100</v>
      </c>
      <c r="AN25" s="75">
        <v>97</v>
      </c>
      <c r="AO25" s="75">
        <v>94</v>
      </c>
      <c r="AP25" s="75">
        <v>90</v>
      </c>
      <c r="AQ25" s="75">
        <v>86</v>
      </c>
      <c r="AR25" s="75">
        <v>82</v>
      </c>
      <c r="AS25" s="75">
        <v>79</v>
      </c>
      <c r="AT25" s="75">
        <v>95.79</v>
      </c>
    </row>
    <row r="26" spans="1:46" ht="16.5" customHeight="1" thickBot="1" x14ac:dyDescent="0.3">
      <c r="A26" s="77">
        <v>0.28000000000000003</v>
      </c>
      <c r="B26" s="78">
        <v>7.43</v>
      </c>
      <c r="C26" s="78">
        <v>7.93</v>
      </c>
      <c r="D26" s="78">
        <v>8.33</v>
      </c>
      <c r="E26" s="78">
        <v>8.33</v>
      </c>
      <c r="F26" s="120">
        <v>8.33</v>
      </c>
      <c r="G26" s="121">
        <v>8.33</v>
      </c>
      <c r="H26" s="78">
        <v>8.33</v>
      </c>
      <c r="I26" s="78">
        <v>8.33</v>
      </c>
      <c r="J26" s="78">
        <v>8.33</v>
      </c>
      <c r="K26" s="78">
        <v>8.33</v>
      </c>
      <c r="L26" s="78">
        <v>8.18</v>
      </c>
      <c r="M26" s="79">
        <v>8.0299999999999994</v>
      </c>
      <c r="N26" s="79">
        <v>7.8800000000000008</v>
      </c>
      <c r="O26" s="79">
        <v>7.73</v>
      </c>
      <c r="P26" s="79">
        <v>7.58</v>
      </c>
      <c r="Q26" s="78">
        <v>7.3800000000000008</v>
      </c>
      <c r="R26" s="78">
        <v>7.18</v>
      </c>
      <c r="S26" s="78">
        <v>6.88</v>
      </c>
      <c r="T26" s="78">
        <v>6.53</v>
      </c>
      <c r="U26" s="78">
        <v>6.13</v>
      </c>
      <c r="V26" s="78">
        <v>5.68</v>
      </c>
      <c r="W26" s="78">
        <v>5.18</v>
      </c>
      <c r="X26" s="80"/>
      <c r="Y26" s="75">
        <v>6.9</v>
      </c>
      <c r="Z26" s="75">
        <f t="shared" si="0"/>
        <v>5.9</v>
      </c>
      <c r="AA26" s="75">
        <v>100</v>
      </c>
      <c r="AB26" s="75">
        <v>100</v>
      </c>
      <c r="AC26" s="75">
        <v>100</v>
      </c>
      <c r="AD26" s="75">
        <v>100</v>
      </c>
      <c r="AE26" s="75">
        <v>100</v>
      </c>
      <c r="AF26" s="75">
        <v>100</v>
      </c>
      <c r="AG26" s="75">
        <v>100</v>
      </c>
      <c r="AH26" s="75">
        <v>100</v>
      </c>
      <c r="AI26" s="75">
        <v>96</v>
      </c>
      <c r="AJ26" s="75">
        <v>92</v>
      </c>
      <c r="AK26" s="75">
        <v>100</v>
      </c>
      <c r="AL26" s="75">
        <v>100</v>
      </c>
      <c r="AM26" s="75">
        <v>100</v>
      </c>
      <c r="AN26" s="75">
        <v>96</v>
      </c>
      <c r="AO26" s="75">
        <v>93</v>
      </c>
      <c r="AP26" s="75">
        <v>89</v>
      </c>
      <c r="AQ26" s="75">
        <v>85</v>
      </c>
      <c r="AR26" s="75">
        <v>82</v>
      </c>
      <c r="AS26" s="75">
        <v>78</v>
      </c>
      <c r="AT26" s="75">
        <v>95.32</v>
      </c>
    </row>
    <row r="27" spans="1:46" ht="16.5" thickBot="1" x14ac:dyDescent="0.3">
      <c r="A27" s="77">
        <v>0.28999999999999998</v>
      </c>
      <c r="B27" s="78">
        <v>7.5</v>
      </c>
      <c r="C27" s="78">
        <v>8</v>
      </c>
      <c r="D27" s="78">
        <v>8.33</v>
      </c>
      <c r="E27" s="78">
        <v>8.33</v>
      </c>
      <c r="F27" s="120">
        <v>8.33</v>
      </c>
      <c r="G27" s="121">
        <v>8.33</v>
      </c>
      <c r="H27" s="78">
        <v>8.33</v>
      </c>
      <c r="I27" s="78">
        <v>8.33</v>
      </c>
      <c r="J27" s="78">
        <v>8.33</v>
      </c>
      <c r="K27" s="78">
        <v>8.33</v>
      </c>
      <c r="L27" s="78">
        <v>8.25</v>
      </c>
      <c r="M27" s="79">
        <v>8.1</v>
      </c>
      <c r="N27" s="79">
        <v>7.9499999999999993</v>
      </c>
      <c r="O27" s="79">
        <v>7.8000000000000007</v>
      </c>
      <c r="P27" s="79">
        <v>7.65</v>
      </c>
      <c r="Q27" s="78">
        <v>7.4499999999999993</v>
      </c>
      <c r="R27" s="78">
        <v>7.25</v>
      </c>
      <c r="S27" s="78">
        <v>6.95</v>
      </c>
      <c r="T27" s="78">
        <v>6.6</v>
      </c>
      <c r="U27" s="78">
        <v>6.2</v>
      </c>
      <c r="V27" s="78">
        <v>5.75</v>
      </c>
      <c r="W27" s="78">
        <v>5.25</v>
      </c>
      <c r="X27" s="80"/>
      <c r="Y27" s="75">
        <v>6.8</v>
      </c>
      <c r="Z27" s="75">
        <f t="shared" si="0"/>
        <v>5.8</v>
      </c>
      <c r="AA27" s="75">
        <v>100</v>
      </c>
      <c r="AB27" s="75">
        <v>100</v>
      </c>
      <c r="AC27" s="75">
        <v>100</v>
      </c>
      <c r="AD27" s="75">
        <v>100</v>
      </c>
      <c r="AE27" s="75">
        <v>100</v>
      </c>
      <c r="AF27" s="75">
        <v>100</v>
      </c>
      <c r="AG27" s="75">
        <v>100</v>
      </c>
      <c r="AH27" s="75">
        <v>99</v>
      </c>
      <c r="AI27" s="75">
        <v>95</v>
      </c>
      <c r="AJ27" s="75">
        <v>91</v>
      </c>
      <c r="AK27" s="75">
        <v>100</v>
      </c>
      <c r="AL27" s="75">
        <v>100</v>
      </c>
      <c r="AM27" s="75">
        <v>99</v>
      </c>
      <c r="AN27" s="75">
        <v>95</v>
      </c>
      <c r="AO27" s="75">
        <v>91</v>
      </c>
      <c r="AP27" s="75">
        <v>88</v>
      </c>
      <c r="AQ27" s="75">
        <v>84</v>
      </c>
      <c r="AR27" s="75">
        <v>80</v>
      </c>
      <c r="AS27" s="75">
        <v>77</v>
      </c>
      <c r="AT27" s="75">
        <v>94.68</v>
      </c>
    </row>
    <row r="28" spans="1:46" ht="16.5" customHeight="1" thickBot="1" x14ac:dyDescent="0.3">
      <c r="A28" s="77">
        <v>0.3</v>
      </c>
      <c r="B28" s="78">
        <v>7.5600000000000005</v>
      </c>
      <c r="C28" s="78">
        <v>8.06</v>
      </c>
      <c r="D28" s="78">
        <v>8.33</v>
      </c>
      <c r="E28" s="78">
        <v>8.33</v>
      </c>
      <c r="F28" s="120">
        <v>8.33</v>
      </c>
      <c r="G28" s="121">
        <v>8.33</v>
      </c>
      <c r="H28" s="78">
        <v>8.33</v>
      </c>
      <c r="I28" s="78">
        <v>8.33</v>
      </c>
      <c r="J28" s="78">
        <v>8.33</v>
      </c>
      <c r="K28" s="78">
        <v>8.33</v>
      </c>
      <c r="L28" s="78">
        <v>8.31</v>
      </c>
      <c r="M28" s="79">
        <v>8.16</v>
      </c>
      <c r="N28" s="79">
        <v>8.01</v>
      </c>
      <c r="O28" s="79">
        <v>7.8599999999999994</v>
      </c>
      <c r="P28" s="79">
        <v>7.7100000000000009</v>
      </c>
      <c r="Q28" s="78">
        <v>7.51</v>
      </c>
      <c r="R28" s="78">
        <v>7.3100000000000005</v>
      </c>
      <c r="S28" s="78">
        <v>7.01</v>
      </c>
      <c r="T28" s="78">
        <v>6.66</v>
      </c>
      <c r="U28" s="78">
        <v>6.26</v>
      </c>
      <c r="V28" s="78">
        <v>5.81</v>
      </c>
      <c r="W28" s="78">
        <v>5.31</v>
      </c>
      <c r="X28" s="80"/>
      <c r="Y28" s="75">
        <v>6.7</v>
      </c>
      <c r="Z28" s="75">
        <f t="shared" si="0"/>
        <v>5.7</v>
      </c>
      <c r="AA28" s="75">
        <v>100</v>
      </c>
      <c r="AB28" s="75">
        <v>100</v>
      </c>
      <c r="AC28" s="75">
        <v>100</v>
      </c>
      <c r="AD28" s="75">
        <v>100</v>
      </c>
      <c r="AE28" s="75">
        <v>100</v>
      </c>
      <c r="AF28" s="75">
        <v>100</v>
      </c>
      <c r="AG28" s="75">
        <v>100</v>
      </c>
      <c r="AH28" s="75">
        <v>99</v>
      </c>
      <c r="AI28" s="75">
        <v>95</v>
      </c>
      <c r="AJ28" s="75">
        <v>91</v>
      </c>
      <c r="AK28" s="75">
        <v>100</v>
      </c>
      <c r="AL28" s="75">
        <v>100</v>
      </c>
      <c r="AM28" s="75">
        <v>99</v>
      </c>
      <c r="AN28" s="75">
        <v>95</v>
      </c>
      <c r="AO28" s="75">
        <v>91</v>
      </c>
      <c r="AP28" s="75">
        <v>87</v>
      </c>
      <c r="AQ28" s="75">
        <v>84</v>
      </c>
      <c r="AR28" s="75">
        <v>80</v>
      </c>
      <c r="AS28" s="75">
        <v>76</v>
      </c>
      <c r="AT28" s="75">
        <v>94.58</v>
      </c>
    </row>
    <row r="29" spans="1:46" ht="16.5" customHeight="1" thickBot="1" x14ac:dyDescent="0.3">
      <c r="A29" s="77">
        <v>0.31</v>
      </c>
      <c r="B29" s="78">
        <v>7.6199999999999992</v>
      </c>
      <c r="C29" s="78">
        <v>8.1199999999999992</v>
      </c>
      <c r="D29" s="78">
        <v>8.33</v>
      </c>
      <c r="E29" s="78">
        <v>8.33</v>
      </c>
      <c r="F29" s="120">
        <v>8.33</v>
      </c>
      <c r="G29" s="121">
        <v>8.33</v>
      </c>
      <c r="H29" s="78">
        <v>8.33</v>
      </c>
      <c r="I29" s="78">
        <v>8.33</v>
      </c>
      <c r="J29" s="78">
        <v>8.33</v>
      </c>
      <c r="K29" s="78">
        <v>8.33</v>
      </c>
      <c r="L29" s="78">
        <v>8.33</v>
      </c>
      <c r="M29" s="79">
        <v>8.2200000000000006</v>
      </c>
      <c r="N29" s="79">
        <v>8.07</v>
      </c>
      <c r="O29" s="79">
        <v>7.92</v>
      </c>
      <c r="P29" s="79">
        <v>7.77</v>
      </c>
      <c r="Q29" s="78">
        <v>7.57</v>
      </c>
      <c r="R29" s="78">
        <v>7.3699999999999992</v>
      </c>
      <c r="S29" s="78">
        <v>7.07</v>
      </c>
      <c r="T29" s="78">
        <v>6.72</v>
      </c>
      <c r="U29" s="78">
        <v>6.32</v>
      </c>
      <c r="V29" s="78">
        <v>5.87</v>
      </c>
      <c r="W29" s="78">
        <v>5.37</v>
      </c>
      <c r="X29" s="80"/>
      <c r="Y29" s="75">
        <v>6.6</v>
      </c>
      <c r="Z29" s="75">
        <f t="shared" si="0"/>
        <v>5.6</v>
      </c>
      <c r="AA29" s="75">
        <v>100</v>
      </c>
      <c r="AB29" s="75">
        <v>100</v>
      </c>
      <c r="AC29" s="75">
        <v>100</v>
      </c>
      <c r="AD29" s="75">
        <v>100</v>
      </c>
      <c r="AE29" s="75">
        <v>100</v>
      </c>
      <c r="AF29" s="75">
        <v>100</v>
      </c>
      <c r="AG29" s="75">
        <v>100</v>
      </c>
      <c r="AH29" s="75">
        <v>98</v>
      </c>
      <c r="AI29" s="75">
        <v>94</v>
      </c>
      <c r="AJ29" s="75">
        <v>90</v>
      </c>
      <c r="AK29" s="75">
        <v>100</v>
      </c>
      <c r="AL29" s="75">
        <v>100</v>
      </c>
      <c r="AM29" s="75">
        <v>97</v>
      </c>
      <c r="AN29" s="75">
        <v>94</v>
      </c>
      <c r="AO29" s="75">
        <v>90</v>
      </c>
      <c r="AP29" s="75">
        <v>86</v>
      </c>
      <c r="AQ29" s="75">
        <v>82</v>
      </c>
      <c r="AR29" s="75">
        <v>78</v>
      </c>
      <c r="AS29" s="75">
        <v>75</v>
      </c>
      <c r="AT29" s="75">
        <v>93.89</v>
      </c>
    </row>
    <row r="30" spans="1:46" ht="16.5" customHeight="1" thickBot="1" x14ac:dyDescent="0.3">
      <c r="A30" s="77">
        <v>0.32</v>
      </c>
      <c r="B30" s="78">
        <v>7.67</v>
      </c>
      <c r="C30" s="78">
        <v>8.17</v>
      </c>
      <c r="D30" s="78">
        <v>8.33</v>
      </c>
      <c r="E30" s="78">
        <v>8.33</v>
      </c>
      <c r="F30" s="120">
        <v>8.33</v>
      </c>
      <c r="G30" s="121">
        <v>8.33</v>
      </c>
      <c r="H30" s="78">
        <v>8.33</v>
      </c>
      <c r="I30" s="78">
        <v>8.33</v>
      </c>
      <c r="J30" s="78">
        <v>8.33</v>
      </c>
      <c r="K30" s="78">
        <v>8.33</v>
      </c>
      <c r="L30" s="78">
        <v>8.33</v>
      </c>
      <c r="M30" s="79">
        <v>8.27</v>
      </c>
      <c r="N30" s="79">
        <v>8.1199999999999992</v>
      </c>
      <c r="O30" s="79">
        <v>7.9700000000000006</v>
      </c>
      <c r="P30" s="79">
        <v>7.82</v>
      </c>
      <c r="Q30" s="78">
        <v>7.6199999999999992</v>
      </c>
      <c r="R30" s="78">
        <v>7.42</v>
      </c>
      <c r="S30" s="78">
        <v>7.1199999999999992</v>
      </c>
      <c r="T30" s="78">
        <v>6.77</v>
      </c>
      <c r="U30" s="78">
        <v>6.37</v>
      </c>
      <c r="V30" s="78">
        <v>5.92</v>
      </c>
      <c r="W30" s="78">
        <v>5.42</v>
      </c>
      <c r="X30" s="80"/>
      <c r="Y30" s="75">
        <v>6.5</v>
      </c>
      <c r="Z30" s="75">
        <f t="shared" si="0"/>
        <v>5.5</v>
      </c>
      <c r="AA30" s="75">
        <v>100</v>
      </c>
      <c r="AB30" s="75">
        <v>100</v>
      </c>
      <c r="AC30" s="75">
        <v>100</v>
      </c>
      <c r="AD30" s="75">
        <v>100</v>
      </c>
      <c r="AE30" s="75">
        <v>100</v>
      </c>
      <c r="AF30" s="75">
        <v>100</v>
      </c>
      <c r="AG30" s="75">
        <v>100</v>
      </c>
      <c r="AH30" s="75">
        <v>97</v>
      </c>
      <c r="AI30" s="75">
        <v>93</v>
      </c>
      <c r="AJ30" s="75">
        <v>90</v>
      </c>
      <c r="AK30" s="75">
        <v>100</v>
      </c>
      <c r="AL30" s="75">
        <v>100</v>
      </c>
      <c r="AM30" s="75">
        <v>97</v>
      </c>
      <c r="AN30" s="75">
        <v>93</v>
      </c>
      <c r="AO30" s="75">
        <v>89</v>
      </c>
      <c r="AP30" s="75">
        <v>85</v>
      </c>
      <c r="AQ30" s="75">
        <v>82</v>
      </c>
      <c r="AR30" s="75">
        <v>78</v>
      </c>
      <c r="AS30" s="75">
        <v>74</v>
      </c>
      <c r="AT30" s="75">
        <v>93.58</v>
      </c>
    </row>
    <row r="31" spans="1:46" ht="16.5" customHeight="1" thickBot="1" x14ac:dyDescent="0.3">
      <c r="A31" s="77">
        <v>0.33</v>
      </c>
      <c r="B31" s="78">
        <v>7.7200000000000006</v>
      </c>
      <c r="C31" s="78">
        <v>8.2200000000000006</v>
      </c>
      <c r="D31" s="78">
        <v>8.33</v>
      </c>
      <c r="E31" s="78">
        <v>8.33</v>
      </c>
      <c r="F31" s="120">
        <v>8.33</v>
      </c>
      <c r="G31" s="121">
        <v>8.33</v>
      </c>
      <c r="H31" s="78">
        <v>8.33</v>
      </c>
      <c r="I31" s="78">
        <v>8.33</v>
      </c>
      <c r="J31" s="78">
        <v>8.33</v>
      </c>
      <c r="K31" s="78">
        <v>8.33</v>
      </c>
      <c r="L31" s="78">
        <v>8.33</v>
      </c>
      <c r="M31" s="79">
        <v>8.32</v>
      </c>
      <c r="N31" s="79">
        <v>8.17</v>
      </c>
      <c r="O31" s="79">
        <v>8.02</v>
      </c>
      <c r="P31" s="79">
        <v>7.8699999999999992</v>
      </c>
      <c r="Q31" s="78">
        <v>7.67</v>
      </c>
      <c r="R31" s="78">
        <v>7.4700000000000006</v>
      </c>
      <c r="S31" s="78">
        <v>7.17</v>
      </c>
      <c r="T31" s="78">
        <v>6.82</v>
      </c>
      <c r="U31" s="78">
        <v>6.42</v>
      </c>
      <c r="V31" s="78">
        <v>5.97</v>
      </c>
      <c r="W31" s="78">
        <v>5.47</v>
      </c>
      <c r="X31" s="80"/>
      <c r="Y31" s="75">
        <v>6.4</v>
      </c>
      <c r="Z31" s="75">
        <f t="shared" si="0"/>
        <v>5.4</v>
      </c>
      <c r="AA31" s="75">
        <v>100</v>
      </c>
      <c r="AB31" s="75">
        <v>100</v>
      </c>
      <c r="AC31" s="75">
        <v>100</v>
      </c>
      <c r="AD31" s="75">
        <v>100</v>
      </c>
      <c r="AE31" s="75">
        <v>100</v>
      </c>
      <c r="AF31" s="75">
        <v>100</v>
      </c>
      <c r="AG31" s="75">
        <v>100</v>
      </c>
      <c r="AH31" s="75">
        <v>97</v>
      </c>
      <c r="AI31" s="75">
        <v>93</v>
      </c>
      <c r="AJ31" s="75">
        <v>89</v>
      </c>
      <c r="AK31" s="75">
        <v>100</v>
      </c>
      <c r="AL31" s="75">
        <v>100</v>
      </c>
      <c r="AM31" s="75">
        <v>96</v>
      </c>
      <c r="AN31" s="75">
        <v>93</v>
      </c>
      <c r="AO31" s="75">
        <v>89</v>
      </c>
      <c r="AP31" s="75">
        <v>85</v>
      </c>
      <c r="AQ31" s="75">
        <v>81</v>
      </c>
      <c r="AR31" s="75">
        <v>77</v>
      </c>
      <c r="AS31" s="75">
        <v>73</v>
      </c>
      <c r="AT31" s="75">
        <v>93.32</v>
      </c>
    </row>
    <row r="32" spans="1:46" ht="16.5" customHeight="1" thickBot="1" x14ac:dyDescent="0.3">
      <c r="A32" s="77">
        <v>0.34</v>
      </c>
      <c r="B32" s="78">
        <v>7.77</v>
      </c>
      <c r="C32" s="78">
        <v>8.27</v>
      </c>
      <c r="D32" s="78">
        <v>8.33</v>
      </c>
      <c r="E32" s="78">
        <v>8.33</v>
      </c>
      <c r="F32" s="120">
        <v>8.33</v>
      </c>
      <c r="G32" s="121">
        <v>8.33</v>
      </c>
      <c r="H32" s="78">
        <v>8.33</v>
      </c>
      <c r="I32" s="78">
        <v>8.33</v>
      </c>
      <c r="J32" s="78">
        <v>8.33</v>
      </c>
      <c r="K32" s="78">
        <v>8.33</v>
      </c>
      <c r="L32" s="78">
        <v>8.33</v>
      </c>
      <c r="M32" s="79">
        <v>8.33</v>
      </c>
      <c r="N32" s="79">
        <v>8.2200000000000006</v>
      </c>
      <c r="O32" s="79">
        <v>8.07</v>
      </c>
      <c r="P32" s="79">
        <v>7.92</v>
      </c>
      <c r="Q32" s="78">
        <v>7.7200000000000006</v>
      </c>
      <c r="R32" s="78">
        <v>7.52</v>
      </c>
      <c r="S32" s="78">
        <v>7.2200000000000006</v>
      </c>
      <c r="T32" s="78">
        <v>6.87</v>
      </c>
      <c r="U32" s="78">
        <v>6.47</v>
      </c>
      <c r="V32" s="78">
        <v>6.02</v>
      </c>
      <c r="W32" s="78">
        <v>5.52</v>
      </c>
      <c r="X32" s="80"/>
      <c r="Y32" s="75">
        <v>6.3</v>
      </c>
      <c r="Z32" s="75">
        <f t="shared" si="0"/>
        <v>5.3</v>
      </c>
      <c r="AA32" s="75">
        <v>100</v>
      </c>
      <c r="AB32" s="75">
        <v>100</v>
      </c>
      <c r="AC32" s="75">
        <v>100</v>
      </c>
      <c r="AD32" s="75">
        <v>100</v>
      </c>
      <c r="AE32" s="75">
        <v>100</v>
      </c>
      <c r="AF32" s="75">
        <v>100</v>
      </c>
      <c r="AG32" s="75">
        <v>100</v>
      </c>
      <c r="AH32" s="75">
        <v>96</v>
      </c>
      <c r="AI32" s="75">
        <v>92</v>
      </c>
      <c r="AJ32" s="75">
        <v>88</v>
      </c>
      <c r="AK32" s="75">
        <v>100</v>
      </c>
      <c r="AL32" s="75">
        <v>99</v>
      </c>
      <c r="AM32" s="75">
        <v>95</v>
      </c>
      <c r="AN32" s="75">
        <v>91</v>
      </c>
      <c r="AO32" s="75">
        <v>88</v>
      </c>
      <c r="AP32" s="75">
        <v>84</v>
      </c>
      <c r="AQ32" s="75">
        <v>80</v>
      </c>
      <c r="AR32" s="75">
        <v>76</v>
      </c>
      <c r="AS32" s="75">
        <v>72</v>
      </c>
      <c r="AT32" s="75">
        <v>92.68</v>
      </c>
    </row>
    <row r="33" spans="1:46" ht="16.5" customHeight="1" thickBot="1" x14ac:dyDescent="0.3">
      <c r="A33" s="77">
        <v>0.35</v>
      </c>
      <c r="B33" s="78">
        <v>7.8100000000000005</v>
      </c>
      <c r="C33" s="78">
        <v>8.31</v>
      </c>
      <c r="D33" s="78">
        <v>8.33</v>
      </c>
      <c r="E33" s="78">
        <v>8.33</v>
      </c>
      <c r="F33" s="120">
        <v>8.33</v>
      </c>
      <c r="G33" s="121">
        <v>8.33</v>
      </c>
      <c r="H33" s="78">
        <v>8.33</v>
      </c>
      <c r="I33" s="78">
        <v>8.33</v>
      </c>
      <c r="J33" s="78">
        <v>8.33</v>
      </c>
      <c r="K33" s="78">
        <v>8.33</v>
      </c>
      <c r="L33" s="78">
        <v>8.33</v>
      </c>
      <c r="M33" s="79">
        <v>8.33</v>
      </c>
      <c r="N33" s="79">
        <v>8.26</v>
      </c>
      <c r="O33" s="79">
        <v>8.11</v>
      </c>
      <c r="P33" s="79">
        <v>7.9600000000000009</v>
      </c>
      <c r="Q33" s="78">
        <v>7.76</v>
      </c>
      <c r="R33" s="78">
        <v>7.5600000000000005</v>
      </c>
      <c r="S33" s="78">
        <v>7.26</v>
      </c>
      <c r="T33" s="78">
        <v>6.91</v>
      </c>
      <c r="U33" s="78">
        <v>6.51</v>
      </c>
      <c r="V33" s="78">
        <v>6.06</v>
      </c>
      <c r="W33" s="78">
        <v>5.56</v>
      </c>
      <c r="X33" s="80"/>
      <c r="Y33" s="75">
        <v>6.2</v>
      </c>
      <c r="Z33" s="75">
        <f t="shared" si="0"/>
        <v>5.2</v>
      </c>
      <c r="AA33" s="75">
        <v>100</v>
      </c>
      <c r="AB33" s="75">
        <v>100</v>
      </c>
      <c r="AC33" s="75">
        <v>100</v>
      </c>
      <c r="AD33" s="75">
        <v>100</v>
      </c>
      <c r="AE33" s="75">
        <v>100</v>
      </c>
      <c r="AF33" s="75">
        <v>100</v>
      </c>
      <c r="AG33" s="75">
        <v>99</v>
      </c>
      <c r="AH33" s="75">
        <v>95</v>
      </c>
      <c r="AI33" s="75">
        <v>91</v>
      </c>
      <c r="AJ33" s="75">
        <v>87</v>
      </c>
      <c r="AK33" s="75">
        <v>100</v>
      </c>
      <c r="AL33" s="75">
        <v>98</v>
      </c>
      <c r="AM33" s="75">
        <v>94</v>
      </c>
      <c r="AN33" s="75">
        <v>90</v>
      </c>
      <c r="AO33" s="75">
        <v>86</v>
      </c>
      <c r="AP33" s="75">
        <v>82</v>
      </c>
      <c r="AQ33" s="75">
        <v>78</v>
      </c>
      <c r="AR33" s="75">
        <v>75</v>
      </c>
      <c r="AS33" s="75">
        <v>71</v>
      </c>
      <c r="AT33" s="75">
        <v>91.89</v>
      </c>
    </row>
    <row r="34" spans="1:46" ht="16.5" customHeight="1" thickBot="1" x14ac:dyDescent="0.3">
      <c r="A34" s="77">
        <v>0.36</v>
      </c>
      <c r="B34" s="78">
        <v>7.85</v>
      </c>
      <c r="C34" s="78">
        <v>8.33</v>
      </c>
      <c r="D34" s="78">
        <v>8.33</v>
      </c>
      <c r="E34" s="78">
        <v>8.33</v>
      </c>
      <c r="F34" s="120">
        <v>8.33</v>
      </c>
      <c r="G34" s="121">
        <v>8.33</v>
      </c>
      <c r="H34" s="78">
        <v>8.33</v>
      </c>
      <c r="I34" s="78">
        <v>8.33</v>
      </c>
      <c r="J34" s="78">
        <v>8.33</v>
      </c>
      <c r="K34" s="78">
        <v>8.33</v>
      </c>
      <c r="L34" s="78">
        <v>8.33</v>
      </c>
      <c r="M34" s="79">
        <v>8.33</v>
      </c>
      <c r="N34" s="79">
        <v>8.3000000000000007</v>
      </c>
      <c r="O34" s="79">
        <v>8.15</v>
      </c>
      <c r="P34" s="79">
        <v>8</v>
      </c>
      <c r="Q34" s="78">
        <v>7.8000000000000007</v>
      </c>
      <c r="R34" s="78">
        <v>7.6</v>
      </c>
      <c r="S34" s="78">
        <v>7.3000000000000007</v>
      </c>
      <c r="T34" s="78">
        <v>6.95</v>
      </c>
      <c r="U34" s="78">
        <v>6.55</v>
      </c>
      <c r="V34" s="78">
        <v>6.1</v>
      </c>
      <c r="W34" s="78">
        <v>5.6</v>
      </c>
      <c r="X34" s="80"/>
      <c r="Y34" s="75">
        <v>6.1</v>
      </c>
      <c r="Z34" s="75">
        <f t="shared" si="0"/>
        <v>5.0999999999999996</v>
      </c>
      <c r="AA34" s="75">
        <v>100</v>
      </c>
      <c r="AB34" s="75">
        <v>100</v>
      </c>
      <c r="AC34" s="75">
        <v>100</v>
      </c>
      <c r="AD34" s="75">
        <v>100</v>
      </c>
      <c r="AE34" s="75">
        <v>100</v>
      </c>
      <c r="AF34" s="75">
        <v>100</v>
      </c>
      <c r="AG34" s="75">
        <v>99</v>
      </c>
      <c r="AH34" s="75">
        <v>95</v>
      </c>
      <c r="AI34" s="75">
        <v>91</v>
      </c>
      <c r="AJ34" s="75">
        <v>86</v>
      </c>
      <c r="AK34" s="75">
        <v>100</v>
      </c>
      <c r="AL34" s="75">
        <v>98</v>
      </c>
      <c r="AM34" s="75">
        <v>93</v>
      </c>
      <c r="AN34" s="75">
        <v>89</v>
      </c>
      <c r="AO34" s="75">
        <v>86</v>
      </c>
      <c r="AP34" s="75">
        <v>81</v>
      </c>
      <c r="AQ34" s="75">
        <v>78</v>
      </c>
      <c r="AR34" s="75">
        <v>74</v>
      </c>
      <c r="AS34" s="75">
        <v>70</v>
      </c>
      <c r="AT34" s="75">
        <v>91.58</v>
      </c>
    </row>
    <row r="35" spans="1:46" ht="16.5" customHeight="1" thickBot="1" x14ac:dyDescent="0.3">
      <c r="A35" s="77">
        <v>0.37</v>
      </c>
      <c r="B35" s="78">
        <v>7.8800000000000008</v>
      </c>
      <c r="C35" s="78">
        <v>8.33</v>
      </c>
      <c r="D35" s="78">
        <v>8.33</v>
      </c>
      <c r="E35" s="78">
        <v>8.33</v>
      </c>
      <c r="F35" s="120">
        <v>8.33</v>
      </c>
      <c r="G35" s="121">
        <v>8.33</v>
      </c>
      <c r="H35" s="78">
        <v>8.33</v>
      </c>
      <c r="I35" s="78">
        <v>8.33</v>
      </c>
      <c r="J35" s="78">
        <v>8.33</v>
      </c>
      <c r="K35" s="78">
        <v>8.33</v>
      </c>
      <c r="L35" s="78">
        <v>8.33</v>
      </c>
      <c r="M35" s="79">
        <v>8.33</v>
      </c>
      <c r="N35" s="79">
        <v>8.33</v>
      </c>
      <c r="O35" s="79">
        <v>8.18</v>
      </c>
      <c r="P35" s="79">
        <v>8.0299999999999994</v>
      </c>
      <c r="Q35" s="78">
        <v>7.83</v>
      </c>
      <c r="R35" s="78">
        <v>7.6300000000000008</v>
      </c>
      <c r="S35" s="78">
        <v>7.33</v>
      </c>
      <c r="T35" s="78">
        <v>6.98</v>
      </c>
      <c r="U35" s="78">
        <v>6.58</v>
      </c>
      <c r="V35" s="78">
        <v>6.13</v>
      </c>
      <c r="W35" s="78">
        <v>5.63</v>
      </c>
      <c r="X35" s="80"/>
      <c r="Y35" s="75">
        <v>6</v>
      </c>
      <c r="Z35" s="75">
        <f t="shared" si="0"/>
        <v>5</v>
      </c>
      <c r="AA35" s="75">
        <v>100</v>
      </c>
      <c r="AB35" s="75">
        <v>100</v>
      </c>
      <c r="AC35" s="75">
        <v>100</v>
      </c>
      <c r="AD35" s="75">
        <v>100</v>
      </c>
      <c r="AE35" s="75">
        <v>100</v>
      </c>
      <c r="AF35" s="75">
        <v>100</v>
      </c>
      <c r="AG35" s="75">
        <v>98</v>
      </c>
      <c r="AH35" s="75">
        <v>94</v>
      </c>
      <c r="AI35" s="75">
        <v>90</v>
      </c>
      <c r="AJ35" s="75">
        <v>86</v>
      </c>
      <c r="AK35" s="75">
        <v>100</v>
      </c>
      <c r="AL35" s="75">
        <v>97</v>
      </c>
      <c r="AM35" s="75">
        <v>93</v>
      </c>
      <c r="AN35" s="75">
        <v>89</v>
      </c>
      <c r="AO35" s="75">
        <v>85</v>
      </c>
      <c r="AP35" s="75">
        <v>81</v>
      </c>
      <c r="AQ35" s="75">
        <v>77</v>
      </c>
      <c r="AR35" s="75">
        <v>73</v>
      </c>
      <c r="AS35" s="75">
        <v>69</v>
      </c>
      <c r="AT35" s="75">
        <v>91.16</v>
      </c>
    </row>
    <row r="36" spans="1:46" ht="16.5" customHeight="1" thickBot="1" x14ac:dyDescent="0.3">
      <c r="A36" s="77">
        <v>0.38</v>
      </c>
      <c r="B36" s="78">
        <v>7.92</v>
      </c>
      <c r="C36" s="78">
        <v>8.33</v>
      </c>
      <c r="D36" s="78">
        <v>8.33</v>
      </c>
      <c r="E36" s="78">
        <v>8.33</v>
      </c>
      <c r="F36" s="120">
        <v>8.33</v>
      </c>
      <c r="G36" s="121">
        <v>8.33</v>
      </c>
      <c r="H36" s="78">
        <v>8.33</v>
      </c>
      <c r="I36" s="78">
        <v>8.33</v>
      </c>
      <c r="J36" s="78">
        <v>8.33</v>
      </c>
      <c r="K36" s="78">
        <v>8.33</v>
      </c>
      <c r="L36" s="78">
        <v>8.33</v>
      </c>
      <c r="M36" s="79">
        <v>8.33</v>
      </c>
      <c r="N36" s="79">
        <v>8.33</v>
      </c>
      <c r="O36" s="79">
        <v>8.2200000000000006</v>
      </c>
      <c r="P36" s="79">
        <v>8.07</v>
      </c>
      <c r="Q36" s="78">
        <v>7.8699999999999992</v>
      </c>
      <c r="R36" s="78">
        <v>7.67</v>
      </c>
      <c r="S36" s="78">
        <v>7.3699999999999992</v>
      </c>
      <c r="T36" s="78">
        <v>7.02</v>
      </c>
      <c r="U36" s="78">
        <v>6.62</v>
      </c>
      <c r="V36" s="78">
        <v>6.17</v>
      </c>
      <c r="W36" s="78">
        <v>5.67</v>
      </c>
      <c r="X36" s="80"/>
      <c r="Y36" s="75">
        <v>5.9</v>
      </c>
      <c r="Z36" s="75">
        <f t="shared" si="0"/>
        <v>4.9000000000000004</v>
      </c>
      <c r="AA36" s="75">
        <v>100</v>
      </c>
      <c r="AB36" s="75">
        <v>100</v>
      </c>
      <c r="AC36" s="75">
        <v>100</v>
      </c>
      <c r="AD36" s="75">
        <v>100</v>
      </c>
      <c r="AE36" s="75">
        <v>100</v>
      </c>
      <c r="AF36" s="75">
        <v>100</v>
      </c>
      <c r="AG36" s="75">
        <v>98</v>
      </c>
      <c r="AH36" s="75">
        <v>94</v>
      </c>
      <c r="AI36" s="75">
        <v>90</v>
      </c>
      <c r="AJ36" s="75">
        <v>86</v>
      </c>
      <c r="AK36" s="75">
        <v>100</v>
      </c>
      <c r="AL36" s="75">
        <v>96</v>
      </c>
      <c r="AM36" s="75">
        <v>92</v>
      </c>
      <c r="AN36" s="75">
        <v>88</v>
      </c>
      <c r="AO36" s="75">
        <v>84</v>
      </c>
      <c r="AP36" s="75">
        <v>80</v>
      </c>
      <c r="AQ36" s="75">
        <v>76</v>
      </c>
      <c r="AR36" s="75">
        <v>72</v>
      </c>
      <c r="AS36" s="75">
        <v>68</v>
      </c>
      <c r="AT36" s="75">
        <v>90.74</v>
      </c>
    </row>
    <row r="37" spans="1:46" ht="16.5" customHeight="1" thickBot="1" x14ac:dyDescent="0.3">
      <c r="A37" s="77">
        <v>0.39</v>
      </c>
      <c r="B37" s="78">
        <v>7.9499999999999993</v>
      </c>
      <c r="C37" s="78">
        <v>8.33</v>
      </c>
      <c r="D37" s="78">
        <v>8.33</v>
      </c>
      <c r="E37" s="78">
        <v>8.33</v>
      </c>
      <c r="F37" s="120">
        <v>8.33</v>
      </c>
      <c r="G37" s="121">
        <v>8.33</v>
      </c>
      <c r="H37" s="78">
        <v>8.33</v>
      </c>
      <c r="I37" s="78">
        <v>8.33</v>
      </c>
      <c r="J37" s="78">
        <v>8.33</v>
      </c>
      <c r="K37" s="78">
        <v>8.33</v>
      </c>
      <c r="L37" s="78">
        <v>8.33</v>
      </c>
      <c r="M37" s="79">
        <v>8.33</v>
      </c>
      <c r="N37" s="79">
        <v>8.33</v>
      </c>
      <c r="O37" s="79">
        <v>8.25</v>
      </c>
      <c r="P37" s="79">
        <v>8.1</v>
      </c>
      <c r="Q37" s="78">
        <v>7.9</v>
      </c>
      <c r="R37" s="78">
        <v>7.6999999999999993</v>
      </c>
      <c r="S37" s="78">
        <v>7.4</v>
      </c>
      <c r="T37" s="78">
        <v>7.0500000000000007</v>
      </c>
      <c r="U37" s="78">
        <v>6.65</v>
      </c>
      <c r="V37" s="78">
        <v>6.2</v>
      </c>
      <c r="W37" s="78">
        <v>5.7</v>
      </c>
      <c r="X37" s="80"/>
      <c r="Y37" s="75">
        <v>5.8</v>
      </c>
      <c r="Z37" s="75">
        <f t="shared" si="0"/>
        <v>4.8</v>
      </c>
      <c r="AA37" s="75">
        <v>100</v>
      </c>
      <c r="AB37" s="75">
        <v>100</v>
      </c>
      <c r="AC37" s="75">
        <v>100</v>
      </c>
      <c r="AD37" s="75">
        <v>100</v>
      </c>
      <c r="AE37" s="75">
        <v>100</v>
      </c>
      <c r="AF37" s="75">
        <v>100</v>
      </c>
      <c r="AG37" s="75">
        <v>97</v>
      </c>
      <c r="AH37" s="75">
        <v>93</v>
      </c>
      <c r="AI37" s="75">
        <v>89</v>
      </c>
      <c r="AJ37" s="75">
        <v>85</v>
      </c>
      <c r="AK37" s="75">
        <v>100</v>
      </c>
      <c r="AL37" s="75">
        <v>96</v>
      </c>
      <c r="AM37" s="75">
        <v>91</v>
      </c>
      <c r="AN37" s="75">
        <v>88</v>
      </c>
      <c r="AO37" s="75">
        <v>84</v>
      </c>
      <c r="AP37" s="75">
        <v>79</v>
      </c>
      <c r="AQ37" s="75">
        <v>76</v>
      </c>
      <c r="AR37" s="75">
        <v>71</v>
      </c>
      <c r="AS37" s="75">
        <v>67</v>
      </c>
      <c r="AT37" s="75">
        <v>90.32</v>
      </c>
    </row>
    <row r="38" spans="1:46" ht="16.5" customHeight="1" thickBot="1" x14ac:dyDescent="0.3">
      <c r="A38" s="77">
        <v>0.4</v>
      </c>
      <c r="B38" s="78">
        <v>7.98</v>
      </c>
      <c r="C38" s="78">
        <v>8.33</v>
      </c>
      <c r="D38" s="78">
        <v>8.33</v>
      </c>
      <c r="E38" s="78">
        <v>8.33</v>
      </c>
      <c r="F38" s="120">
        <v>8.33</v>
      </c>
      <c r="G38" s="121">
        <v>8.33</v>
      </c>
      <c r="H38" s="78">
        <v>8.33</v>
      </c>
      <c r="I38" s="78">
        <v>8.33</v>
      </c>
      <c r="J38" s="78">
        <v>8.33</v>
      </c>
      <c r="K38" s="78">
        <v>8.33</v>
      </c>
      <c r="L38" s="78">
        <v>8.33</v>
      </c>
      <c r="M38" s="79">
        <v>8.33</v>
      </c>
      <c r="N38" s="79">
        <v>8.33</v>
      </c>
      <c r="O38" s="79">
        <v>8.2799999999999994</v>
      </c>
      <c r="P38" s="79">
        <v>8.1300000000000008</v>
      </c>
      <c r="Q38" s="78">
        <v>7.93</v>
      </c>
      <c r="R38" s="78">
        <v>7.73</v>
      </c>
      <c r="S38" s="78">
        <v>7.43</v>
      </c>
      <c r="T38" s="78">
        <v>7.08</v>
      </c>
      <c r="U38" s="78">
        <v>6.68</v>
      </c>
      <c r="V38" s="78">
        <v>6.23</v>
      </c>
      <c r="W38" s="78">
        <v>5.73</v>
      </c>
      <c r="X38" s="80"/>
      <c r="Y38" s="75">
        <v>5.7</v>
      </c>
      <c r="Z38" s="75">
        <f t="shared" si="0"/>
        <v>4.7</v>
      </c>
      <c r="AA38" s="75">
        <v>100</v>
      </c>
      <c r="AB38" s="75">
        <v>100</v>
      </c>
      <c r="AC38" s="75">
        <v>100</v>
      </c>
      <c r="AD38" s="75">
        <v>100</v>
      </c>
      <c r="AE38" s="75">
        <v>100</v>
      </c>
      <c r="AF38" s="75">
        <v>100</v>
      </c>
      <c r="AG38" s="75">
        <v>97</v>
      </c>
      <c r="AH38" s="75">
        <v>93</v>
      </c>
      <c r="AI38" s="75">
        <v>88</v>
      </c>
      <c r="AJ38" s="75">
        <v>85</v>
      </c>
      <c r="AK38" s="75">
        <v>99</v>
      </c>
      <c r="AL38" s="75">
        <v>95</v>
      </c>
      <c r="AM38" s="75">
        <v>90</v>
      </c>
      <c r="AN38" s="75">
        <v>87</v>
      </c>
      <c r="AO38" s="75">
        <v>83</v>
      </c>
      <c r="AP38" s="75">
        <v>78</v>
      </c>
      <c r="AQ38" s="75">
        <v>75</v>
      </c>
      <c r="AR38" s="75">
        <v>70</v>
      </c>
      <c r="AS38" s="75">
        <v>66</v>
      </c>
      <c r="AT38" s="75">
        <v>89.79</v>
      </c>
    </row>
    <row r="39" spans="1:46" ht="16.5" thickBot="1" x14ac:dyDescent="0.3">
      <c r="A39" s="85">
        <v>0.41</v>
      </c>
      <c r="B39" s="78">
        <v>8.01</v>
      </c>
      <c r="C39" s="78">
        <v>8.33</v>
      </c>
      <c r="D39" s="78">
        <v>8.33</v>
      </c>
      <c r="E39" s="78">
        <v>8.33</v>
      </c>
      <c r="F39" s="120">
        <v>8.33</v>
      </c>
      <c r="G39" s="121">
        <v>8.33</v>
      </c>
      <c r="H39" s="78">
        <v>8.33</v>
      </c>
      <c r="I39" s="78">
        <v>8.33</v>
      </c>
      <c r="J39" s="78">
        <v>8.33</v>
      </c>
      <c r="K39" s="78">
        <v>8.33</v>
      </c>
      <c r="L39" s="78">
        <v>8.33</v>
      </c>
      <c r="M39" s="79">
        <v>8.33</v>
      </c>
      <c r="N39" s="79">
        <v>8.33</v>
      </c>
      <c r="O39" s="79">
        <v>8.31</v>
      </c>
      <c r="P39" s="79">
        <v>8.16</v>
      </c>
      <c r="Q39" s="78">
        <v>7.9600000000000009</v>
      </c>
      <c r="R39" s="78">
        <v>7.76</v>
      </c>
      <c r="S39" s="78">
        <v>7.4600000000000009</v>
      </c>
      <c r="T39" s="78">
        <v>7.1099999999999994</v>
      </c>
      <c r="U39" s="78">
        <v>6.71</v>
      </c>
      <c r="V39" s="78">
        <v>6.26</v>
      </c>
      <c r="W39" s="78">
        <v>5.76</v>
      </c>
      <c r="X39" s="80"/>
      <c r="Y39" s="75">
        <v>5.6</v>
      </c>
      <c r="Z39" s="75">
        <f t="shared" si="0"/>
        <v>4.5999999999999996</v>
      </c>
      <c r="AA39" s="75">
        <v>100</v>
      </c>
      <c r="AB39" s="75">
        <v>100</v>
      </c>
      <c r="AC39" s="75">
        <v>100</v>
      </c>
      <c r="AD39" s="75">
        <v>100</v>
      </c>
      <c r="AE39" s="75">
        <v>100</v>
      </c>
      <c r="AF39" s="75">
        <v>100</v>
      </c>
      <c r="AG39" s="75">
        <v>97</v>
      </c>
      <c r="AH39" s="75">
        <v>93</v>
      </c>
      <c r="AI39" s="75">
        <v>88</v>
      </c>
      <c r="AJ39" s="75">
        <v>84</v>
      </c>
      <c r="AK39" s="75">
        <v>99</v>
      </c>
      <c r="AL39" s="75">
        <v>95</v>
      </c>
      <c r="AM39" s="75">
        <v>90</v>
      </c>
      <c r="AN39" s="75">
        <v>86</v>
      </c>
      <c r="AO39" s="75">
        <v>82</v>
      </c>
      <c r="AP39" s="75">
        <v>78</v>
      </c>
      <c r="AQ39" s="75">
        <v>74</v>
      </c>
      <c r="AR39" s="75">
        <v>69</v>
      </c>
      <c r="AS39" s="75">
        <v>65</v>
      </c>
      <c r="AT39" s="75">
        <v>89.47</v>
      </c>
    </row>
    <row r="40" spans="1:46" ht="16.5" thickBot="1" x14ac:dyDescent="0.3">
      <c r="A40" s="85">
        <v>0.42</v>
      </c>
      <c r="B40" s="78">
        <v>8.0299999999999994</v>
      </c>
      <c r="C40" s="78">
        <v>8.33</v>
      </c>
      <c r="D40" s="78">
        <v>8.33</v>
      </c>
      <c r="E40" s="78">
        <v>8.33</v>
      </c>
      <c r="F40" s="120">
        <v>8.33</v>
      </c>
      <c r="G40" s="121">
        <v>8.33</v>
      </c>
      <c r="H40" s="78">
        <v>8.33</v>
      </c>
      <c r="I40" s="78">
        <v>8.33</v>
      </c>
      <c r="J40" s="78">
        <v>8.33</v>
      </c>
      <c r="K40" s="78">
        <v>8.33</v>
      </c>
      <c r="L40" s="78">
        <v>8.33</v>
      </c>
      <c r="M40" s="79">
        <v>8.33</v>
      </c>
      <c r="N40" s="79">
        <v>8.33</v>
      </c>
      <c r="O40" s="79">
        <v>8.33</v>
      </c>
      <c r="P40" s="79">
        <v>8.18</v>
      </c>
      <c r="Q40" s="78">
        <v>7.98</v>
      </c>
      <c r="R40" s="78">
        <v>7.7799999999999994</v>
      </c>
      <c r="S40" s="78">
        <v>7.48</v>
      </c>
      <c r="T40" s="78">
        <v>7.1300000000000008</v>
      </c>
      <c r="U40" s="78">
        <v>6.73</v>
      </c>
      <c r="V40" s="78">
        <v>6.28</v>
      </c>
      <c r="W40" s="78">
        <v>5.78</v>
      </c>
      <c r="X40" s="80"/>
      <c r="Y40" s="75">
        <v>5.5</v>
      </c>
      <c r="Z40" s="75">
        <f t="shared" si="0"/>
        <v>4.5</v>
      </c>
      <c r="AA40" s="75">
        <v>100</v>
      </c>
      <c r="AB40" s="75">
        <v>100</v>
      </c>
      <c r="AC40" s="75">
        <v>100</v>
      </c>
      <c r="AD40" s="75">
        <v>100</v>
      </c>
      <c r="AE40" s="75">
        <v>100</v>
      </c>
      <c r="AF40" s="75">
        <v>100</v>
      </c>
      <c r="AG40" s="75">
        <v>96</v>
      </c>
      <c r="AH40" s="75">
        <v>92</v>
      </c>
      <c r="AI40" s="75">
        <v>87</v>
      </c>
      <c r="AJ40" s="75">
        <v>83</v>
      </c>
      <c r="AK40" s="75">
        <v>98</v>
      </c>
      <c r="AL40" s="75">
        <v>94</v>
      </c>
      <c r="AM40" s="75">
        <v>89</v>
      </c>
      <c r="AN40" s="75">
        <v>85</v>
      </c>
      <c r="AO40" s="75">
        <v>81</v>
      </c>
      <c r="AP40" s="75">
        <v>77</v>
      </c>
      <c r="AQ40" s="75">
        <v>73</v>
      </c>
      <c r="AR40" s="75">
        <v>68</v>
      </c>
      <c r="AS40" s="75">
        <v>64</v>
      </c>
      <c r="AT40" s="75">
        <v>88.79</v>
      </c>
    </row>
    <row r="41" spans="1:46" ht="16.5" thickBot="1" x14ac:dyDescent="0.3">
      <c r="A41" s="85">
        <v>0.43</v>
      </c>
      <c r="B41" s="78">
        <v>8.0500000000000007</v>
      </c>
      <c r="C41" s="78">
        <v>8.33</v>
      </c>
      <c r="D41" s="78">
        <v>8.33</v>
      </c>
      <c r="E41" s="78">
        <v>8.33</v>
      </c>
      <c r="F41" s="120">
        <v>8.33</v>
      </c>
      <c r="G41" s="121">
        <v>8.33</v>
      </c>
      <c r="H41" s="78">
        <v>8.33</v>
      </c>
      <c r="I41" s="78">
        <v>8.33</v>
      </c>
      <c r="J41" s="78">
        <v>8.33</v>
      </c>
      <c r="K41" s="78">
        <v>8.33</v>
      </c>
      <c r="L41" s="78">
        <v>8.33</v>
      </c>
      <c r="M41" s="79">
        <v>8.33</v>
      </c>
      <c r="N41" s="79">
        <v>8.33</v>
      </c>
      <c r="O41" s="79">
        <v>8.33</v>
      </c>
      <c r="P41" s="79">
        <v>8.1999999999999993</v>
      </c>
      <c r="Q41" s="78">
        <v>8</v>
      </c>
      <c r="R41" s="78">
        <v>7.8000000000000007</v>
      </c>
      <c r="S41" s="78">
        <v>7.5</v>
      </c>
      <c r="T41" s="78">
        <v>7.15</v>
      </c>
      <c r="U41" s="78">
        <v>6.75</v>
      </c>
      <c r="V41" s="78">
        <v>6.3</v>
      </c>
      <c r="W41" s="78">
        <v>5.8</v>
      </c>
      <c r="X41" s="80"/>
      <c r="Y41" s="75">
        <v>5.4</v>
      </c>
      <c r="Z41" s="75">
        <f t="shared" si="0"/>
        <v>4.4000000000000004</v>
      </c>
      <c r="AA41" s="75">
        <v>100</v>
      </c>
      <c r="AB41" s="75">
        <v>100</v>
      </c>
      <c r="AC41" s="75">
        <v>100</v>
      </c>
      <c r="AD41" s="75">
        <v>100</v>
      </c>
      <c r="AE41" s="75">
        <v>100</v>
      </c>
      <c r="AF41" s="75">
        <v>99</v>
      </c>
      <c r="AG41" s="75">
        <v>95</v>
      </c>
      <c r="AH41" s="75">
        <v>91</v>
      </c>
      <c r="AI41" s="75">
        <v>87</v>
      </c>
      <c r="AJ41" s="75">
        <v>82</v>
      </c>
      <c r="AK41" s="75">
        <v>97</v>
      </c>
      <c r="AL41" s="75">
        <v>93</v>
      </c>
      <c r="AM41" s="75">
        <v>88</v>
      </c>
      <c r="AN41" s="75">
        <v>84</v>
      </c>
      <c r="AO41" s="75">
        <v>80</v>
      </c>
      <c r="AP41" s="75">
        <v>76</v>
      </c>
      <c r="AQ41" s="75">
        <v>72</v>
      </c>
      <c r="AR41" s="75">
        <v>67</v>
      </c>
      <c r="AS41" s="75">
        <v>63</v>
      </c>
      <c r="AT41" s="75">
        <v>88.11</v>
      </c>
    </row>
    <row r="42" spans="1:46" ht="16.5" thickBot="1" x14ac:dyDescent="0.3">
      <c r="A42" s="85">
        <v>0.44</v>
      </c>
      <c r="B42" s="78">
        <v>8.08</v>
      </c>
      <c r="C42" s="78">
        <v>8.33</v>
      </c>
      <c r="D42" s="78">
        <v>8.33</v>
      </c>
      <c r="E42" s="78">
        <v>8.33</v>
      </c>
      <c r="F42" s="120">
        <v>8.33</v>
      </c>
      <c r="G42" s="121">
        <v>8.33</v>
      </c>
      <c r="H42" s="78">
        <v>8.33</v>
      </c>
      <c r="I42" s="78">
        <v>8.33</v>
      </c>
      <c r="J42" s="78">
        <v>8.33</v>
      </c>
      <c r="K42" s="78">
        <v>8.33</v>
      </c>
      <c r="L42" s="78">
        <v>8.33</v>
      </c>
      <c r="M42" s="79">
        <v>8.33</v>
      </c>
      <c r="N42" s="79">
        <v>8.33</v>
      </c>
      <c r="O42" s="79">
        <v>8.33</v>
      </c>
      <c r="P42" s="79">
        <v>8.23</v>
      </c>
      <c r="Q42" s="78">
        <v>8.0299999999999994</v>
      </c>
      <c r="R42" s="78">
        <v>7.83</v>
      </c>
      <c r="S42" s="78">
        <v>7.5299999999999994</v>
      </c>
      <c r="T42" s="78">
        <v>7.18</v>
      </c>
      <c r="U42" s="78">
        <v>6.78</v>
      </c>
      <c r="V42" s="78">
        <v>6.33</v>
      </c>
      <c r="W42" s="78">
        <v>5.83</v>
      </c>
      <c r="X42" s="80"/>
      <c r="Y42" s="75">
        <v>5.3</v>
      </c>
      <c r="Z42" s="75">
        <f t="shared" si="0"/>
        <v>4.3</v>
      </c>
      <c r="AA42" s="75">
        <v>100</v>
      </c>
      <c r="AB42" s="75">
        <v>100</v>
      </c>
      <c r="AC42" s="75">
        <v>100</v>
      </c>
      <c r="AD42" s="75">
        <v>100</v>
      </c>
      <c r="AE42" s="75">
        <v>100</v>
      </c>
      <c r="AF42" s="75">
        <v>99</v>
      </c>
      <c r="AG42" s="75">
        <v>95</v>
      </c>
      <c r="AH42" s="75">
        <v>91</v>
      </c>
      <c r="AI42" s="75">
        <v>86</v>
      </c>
      <c r="AJ42" s="75">
        <v>82</v>
      </c>
      <c r="AK42" s="75">
        <v>97</v>
      </c>
      <c r="AL42" s="75">
        <v>92</v>
      </c>
      <c r="AM42" s="75">
        <v>88</v>
      </c>
      <c r="AN42" s="75">
        <v>84</v>
      </c>
      <c r="AO42" s="75">
        <v>80</v>
      </c>
      <c r="AP42" s="75">
        <v>75</v>
      </c>
      <c r="AQ42" s="75">
        <v>71</v>
      </c>
      <c r="AR42" s="75">
        <v>67</v>
      </c>
      <c r="AS42" s="75">
        <v>62</v>
      </c>
      <c r="AT42" s="75">
        <v>87.84</v>
      </c>
    </row>
    <row r="43" spans="1:46" ht="16.5" thickBot="1" x14ac:dyDescent="0.3">
      <c r="A43" s="85">
        <v>0.45</v>
      </c>
      <c r="B43" s="78">
        <v>8.1</v>
      </c>
      <c r="C43" s="78">
        <v>8.33</v>
      </c>
      <c r="D43" s="78">
        <v>8.33</v>
      </c>
      <c r="E43" s="78">
        <v>8.33</v>
      </c>
      <c r="F43" s="120">
        <v>8.33</v>
      </c>
      <c r="G43" s="121">
        <v>8.33</v>
      </c>
      <c r="H43" s="78">
        <v>8.33</v>
      </c>
      <c r="I43" s="78">
        <v>8.33</v>
      </c>
      <c r="J43" s="78">
        <v>8.33</v>
      </c>
      <c r="K43" s="78">
        <v>8.33</v>
      </c>
      <c r="L43" s="78">
        <v>8.33</v>
      </c>
      <c r="M43" s="79">
        <v>8.33</v>
      </c>
      <c r="N43" s="79">
        <v>8.33</v>
      </c>
      <c r="O43" s="79">
        <v>8.33</v>
      </c>
      <c r="P43" s="79">
        <v>8.25</v>
      </c>
      <c r="Q43" s="78">
        <v>8.0500000000000007</v>
      </c>
      <c r="R43" s="78">
        <v>7.85</v>
      </c>
      <c r="S43" s="78">
        <v>7.5500000000000007</v>
      </c>
      <c r="T43" s="78">
        <v>7.1999999999999993</v>
      </c>
      <c r="U43" s="78">
        <v>6.8</v>
      </c>
      <c r="V43" s="78">
        <v>6.35</v>
      </c>
      <c r="W43" s="78">
        <v>5.85</v>
      </c>
      <c r="X43" s="80"/>
      <c r="Y43" s="75">
        <v>5.2</v>
      </c>
      <c r="Z43" s="75">
        <f t="shared" si="0"/>
        <v>4.2</v>
      </c>
      <c r="AA43" s="75">
        <v>100</v>
      </c>
      <c r="AB43" s="75">
        <v>100</v>
      </c>
      <c r="AC43" s="75">
        <v>100</v>
      </c>
      <c r="AD43" s="75">
        <v>100</v>
      </c>
      <c r="AE43" s="75">
        <v>100</v>
      </c>
      <c r="AF43" s="75">
        <v>99</v>
      </c>
      <c r="AG43" s="75">
        <v>94</v>
      </c>
      <c r="AH43" s="75">
        <v>90</v>
      </c>
      <c r="AI43" s="75">
        <v>86</v>
      </c>
      <c r="AJ43" s="75">
        <v>81</v>
      </c>
      <c r="AK43" s="75">
        <v>96</v>
      </c>
      <c r="AL43" s="75">
        <v>91</v>
      </c>
      <c r="AM43" s="75">
        <v>87</v>
      </c>
      <c r="AN43" s="75">
        <v>83</v>
      </c>
      <c r="AO43" s="75">
        <v>78</v>
      </c>
      <c r="AP43" s="75">
        <v>74</v>
      </c>
      <c r="AQ43" s="75">
        <v>70</v>
      </c>
      <c r="AR43" s="75">
        <v>66</v>
      </c>
      <c r="AS43" s="75">
        <v>61</v>
      </c>
      <c r="AT43" s="75">
        <v>87.16</v>
      </c>
    </row>
    <row r="44" spans="1:46" ht="16.5" thickBot="1" x14ac:dyDescent="0.3">
      <c r="A44" s="85">
        <v>0.46</v>
      </c>
      <c r="B44" s="78">
        <v>8.11</v>
      </c>
      <c r="C44" s="78">
        <v>8.33</v>
      </c>
      <c r="D44" s="78">
        <v>8.33</v>
      </c>
      <c r="E44" s="78">
        <v>8.33</v>
      </c>
      <c r="F44" s="120">
        <v>8.33</v>
      </c>
      <c r="G44" s="121">
        <v>8.33</v>
      </c>
      <c r="H44" s="78">
        <v>8.33</v>
      </c>
      <c r="I44" s="78">
        <v>8.33</v>
      </c>
      <c r="J44" s="78">
        <v>8.33</v>
      </c>
      <c r="K44" s="78">
        <v>8.33</v>
      </c>
      <c r="L44" s="78">
        <v>8.33</v>
      </c>
      <c r="M44" s="79">
        <v>8.33</v>
      </c>
      <c r="N44" s="79">
        <v>8.33</v>
      </c>
      <c r="O44" s="79">
        <v>8.33</v>
      </c>
      <c r="P44" s="79">
        <v>8.26</v>
      </c>
      <c r="Q44" s="78">
        <v>8.06</v>
      </c>
      <c r="R44" s="78">
        <v>7.8599999999999994</v>
      </c>
      <c r="S44" s="78">
        <v>7.5600000000000005</v>
      </c>
      <c r="T44" s="78">
        <v>7.2100000000000009</v>
      </c>
      <c r="U44" s="78">
        <v>6.81</v>
      </c>
      <c r="V44" s="78">
        <v>6.36</v>
      </c>
      <c r="W44" s="78">
        <v>5.86</v>
      </c>
      <c r="X44" s="80"/>
      <c r="Y44" s="75">
        <v>5.0999999999999996</v>
      </c>
      <c r="Z44" s="75">
        <f t="shared" si="0"/>
        <v>4.0999999999999996</v>
      </c>
      <c r="AA44" s="75">
        <v>100</v>
      </c>
      <c r="AB44" s="75">
        <v>100</v>
      </c>
      <c r="AC44" s="75">
        <v>100</v>
      </c>
      <c r="AD44" s="75">
        <v>100</v>
      </c>
      <c r="AE44" s="75">
        <v>100</v>
      </c>
      <c r="AF44" s="75">
        <v>98</v>
      </c>
      <c r="AG44" s="75">
        <v>94</v>
      </c>
      <c r="AH44" s="75">
        <v>89</v>
      </c>
      <c r="AI44" s="75">
        <v>85</v>
      </c>
      <c r="AJ44" s="75">
        <v>81</v>
      </c>
      <c r="AK44" s="75">
        <v>95</v>
      </c>
      <c r="AL44" s="75">
        <v>91</v>
      </c>
      <c r="AM44" s="75">
        <v>86</v>
      </c>
      <c r="AN44" s="75">
        <v>82</v>
      </c>
      <c r="AO44" s="75">
        <v>78</v>
      </c>
      <c r="AP44" s="75">
        <v>73</v>
      </c>
      <c r="AQ44" s="75">
        <v>69</v>
      </c>
      <c r="AR44" s="75">
        <v>64</v>
      </c>
      <c r="AS44" s="75">
        <v>60</v>
      </c>
      <c r="AT44" s="75">
        <v>86.58</v>
      </c>
    </row>
    <row r="45" spans="1:46" ht="16.5" thickBot="1" x14ac:dyDescent="0.3">
      <c r="A45" s="85">
        <v>0.47</v>
      </c>
      <c r="B45" s="78">
        <v>8.1300000000000008</v>
      </c>
      <c r="C45" s="78">
        <v>8.33</v>
      </c>
      <c r="D45" s="78">
        <v>8.33</v>
      </c>
      <c r="E45" s="78">
        <v>8.33</v>
      </c>
      <c r="F45" s="120">
        <v>8.33</v>
      </c>
      <c r="G45" s="121">
        <v>8.33</v>
      </c>
      <c r="H45" s="78">
        <v>8.33</v>
      </c>
      <c r="I45" s="78">
        <v>8.33</v>
      </c>
      <c r="J45" s="78">
        <v>8.33</v>
      </c>
      <c r="K45" s="78">
        <v>8.33</v>
      </c>
      <c r="L45" s="78">
        <v>8.33</v>
      </c>
      <c r="M45" s="79">
        <v>8.33</v>
      </c>
      <c r="N45" s="79">
        <v>8.33</v>
      </c>
      <c r="O45" s="79">
        <v>8.33</v>
      </c>
      <c r="P45" s="79">
        <v>8.2799999999999994</v>
      </c>
      <c r="Q45" s="78">
        <v>8.08</v>
      </c>
      <c r="R45" s="78">
        <v>7.8800000000000008</v>
      </c>
      <c r="S45" s="78">
        <v>7.58</v>
      </c>
      <c r="T45" s="78">
        <v>7.23</v>
      </c>
      <c r="U45" s="78">
        <v>6.83</v>
      </c>
      <c r="V45" s="78">
        <v>6.38</v>
      </c>
      <c r="W45" s="78">
        <v>5.88</v>
      </c>
      <c r="X45" s="80"/>
      <c r="Y45" s="75">
        <v>5</v>
      </c>
      <c r="Z45" s="75">
        <f t="shared" si="0"/>
        <v>4</v>
      </c>
      <c r="AA45" s="75">
        <v>100</v>
      </c>
      <c r="AB45" s="75">
        <v>100</v>
      </c>
      <c r="AC45" s="75">
        <v>100</v>
      </c>
      <c r="AD45" s="75">
        <v>100</v>
      </c>
      <c r="AE45" s="75">
        <v>100</v>
      </c>
      <c r="AF45" s="75">
        <v>97</v>
      </c>
      <c r="AG45" s="75">
        <v>93</v>
      </c>
      <c r="AH45" s="75">
        <v>89</v>
      </c>
      <c r="AI45" s="75">
        <v>84</v>
      </c>
      <c r="AJ45" s="75">
        <v>80</v>
      </c>
      <c r="AK45" s="75">
        <v>95</v>
      </c>
      <c r="AL45" s="75">
        <v>90</v>
      </c>
      <c r="AM45" s="75">
        <v>85</v>
      </c>
      <c r="AN45" s="75">
        <v>81</v>
      </c>
      <c r="AO45" s="75">
        <v>77</v>
      </c>
      <c r="AP45" s="75">
        <v>72</v>
      </c>
      <c r="AQ45" s="75">
        <v>68</v>
      </c>
      <c r="AR45" s="75">
        <v>63</v>
      </c>
      <c r="AS45" s="75">
        <v>59</v>
      </c>
      <c r="AT45" s="75">
        <v>85.95</v>
      </c>
    </row>
    <row r="46" spans="1:46" ht="15.75" x14ac:dyDescent="0.25">
      <c r="A46" s="85">
        <v>0.48</v>
      </c>
      <c r="B46" s="78">
        <v>8.15</v>
      </c>
      <c r="C46" s="78">
        <v>8.33</v>
      </c>
      <c r="D46" s="78">
        <v>8.33</v>
      </c>
      <c r="E46" s="78">
        <v>8.33</v>
      </c>
      <c r="F46" s="120">
        <v>8.33</v>
      </c>
      <c r="G46" s="121">
        <v>8.33</v>
      </c>
      <c r="H46" s="78">
        <v>8.33</v>
      </c>
      <c r="I46" s="78">
        <v>8.33</v>
      </c>
      <c r="J46" s="78">
        <v>8.33</v>
      </c>
      <c r="K46" s="78">
        <v>8.33</v>
      </c>
      <c r="L46" s="78">
        <v>8.33</v>
      </c>
      <c r="M46" s="79">
        <v>8.33</v>
      </c>
      <c r="N46" s="79">
        <v>8.33</v>
      </c>
      <c r="O46" s="79">
        <v>8.33</v>
      </c>
      <c r="P46" s="79">
        <v>8.3000000000000007</v>
      </c>
      <c r="Q46" s="78">
        <v>8.1</v>
      </c>
      <c r="R46" s="78">
        <v>7.9</v>
      </c>
      <c r="S46" s="78">
        <v>7.6</v>
      </c>
      <c r="T46" s="78">
        <v>7.25</v>
      </c>
      <c r="U46" s="78">
        <v>6.85</v>
      </c>
      <c r="V46" s="78">
        <v>6.4</v>
      </c>
      <c r="W46" s="78">
        <v>5.9</v>
      </c>
      <c r="X46" s="80"/>
    </row>
    <row r="47" spans="1:46" ht="15.75" x14ac:dyDescent="0.25">
      <c r="A47" s="85">
        <v>0.49</v>
      </c>
      <c r="B47" s="78">
        <v>8.16</v>
      </c>
      <c r="C47" s="78">
        <v>8.33</v>
      </c>
      <c r="D47" s="78">
        <v>8.33</v>
      </c>
      <c r="E47" s="78">
        <v>8.33</v>
      </c>
      <c r="F47" s="120">
        <v>8.33</v>
      </c>
      <c r="G47" s="121">
        <v>8.33</v>
      </c>
      <c r="H47" s="78">
        <v>8.33</v>
      </c>
      <c r="I47" s="78">
        <v>8.33</v>
      </c>
      <c r="J47" s="78">
        <v>8.33</v>
      </c>
      <c r="K47" s="78">
        <v>8.33</v>
      </c>
      <c r="L47" s="78">
        <v>8.33</v>
      </c>
      <c r="M47" s="79">
        <v>8.33</v>
      </c>
      <c r="N47" s="79">
        <v>8.33</v>
      </c>
      <c r="O47" s="79">
        <v>8.33</v>
      </c>
      <c r="P47" s="79">
        <v>8.31</v>
      </c>
      <c r="Q47" s="78">
        <v>8.11</v>
      </c>
      <c r="R47" s="78">
        <v>7.91</v>
      </c>
      <c r="S47" s="78">
        <v>7.6099999999999994</v>
      </c>
      <c r="T47" s="78">
        <v>7.26</v>
      </c>
      <c r="U47" s="78">
        <v>6.86</v>
      </c>
      <c r="V47" s="78">
        <v>6.41</v>
      </c>
      <c r="W47" s="78">
        <v>5.91</v>
      </c>
      <c r="X47" s="80"/>
    </row>
    <row r="48" spans="1:46" ht="15.75" x14ac:dyDescent="0.25">
      <c r="A48" s="85">
        <v>0.5</v>
      </c>
      <c r="B48" s="78">
        <v>8.18</v>
      </c>
      <c r="C48" s="78">
        <v>8.33</v>
      </c>
      <c r="D48" s="78">
        <v>8.33</v>
      </c>
      <c r="E48" s="78">
        <v>8.33</v>
      </c>
      <c r="F48" s="120">
        <v>8.33</v>
      </c>
      <c r="G48" s="121">
        <v>8.33</v>
      </c>
      <c r="H48" s="78">
        <v>8.33</v>
      </c>
      <c r="I48" s="78">
        <v>8.33</v>
      </c>
      <c r="J48" s="78">
        <v>8.33</v>
      </c>
      <c r="K48" s="78">
        <v>8.33</v>
      </c>
      <c r="L48" s="78">
        <v>8.33</v>
      </c>
      <c r="M48" s="79">
        <v>8.33</v>
      </c>
      <c r="N48" s="79">
        <v>8.33</v>
      </c>
      <c r="O48" s="79">
        <v>8.33</v>
      </c>
      <c r="P48" s="79">
        <v>8.33</v>
      </c>
      <c r="Q48" s="78">
        <v>8.1300000000000008</v>
      </c>
      <c r="R48" s="78">
        <v>7.93</v>
      </c>
      <c r="S48" s="78">
        <v>7.63</v>
      </c>
      <c r="T48" s="78">
        <v>7.2799999999999994</v>
      </c>
      <c r="U48" s="78">
        <v>6.88</v>
      </c>
      <c r="V48" s="78">
        <v>6.43</v>
      </c>
      <c r="W48" s="78">
        <v>5.93</v>
      </c>
      <c r="X48" s="80"/>
    </row>
    <row r="49" spans="1:24" ht="15.75" x14ac:dyDescent="0.25">
      <c r="A49" s="88"/>
      <c r="B49" s="88"/>
      <c r="C49" s="88"/>
      <c r="D49" s="88"/>
      <c r="E49" s="88"/>
      <c r="F49" s="88"/>
      <c r="H49" s="89"/>
      <c r="X49" s="86"/>
    </row>
    <row r="50" spans="1:24" ht="15.75" x14ac:dyDescent="0.25">
      <c r="A50" s="68" t="s">
        <v>124</v>
      </c>
      <c r="B50" s="88"/>
      <c r="C50" s="88"/>
      <c r="D50" s="88"/>
      <c r="E50" s="88"/>
      <c r="F50" s="88"/>
      <c r="G50" s="88"/>
      <c r="H50" s="89"/>
      <c r="I50" s="88"/>
      <c r="J50" s="88"/>
      <c r="K50" s="88"/>
      <c r="L50" s="88"/>
      <c r="M50" s="88"/>
      <c r="N50" s="88"/>
      <c r="O50" s="88"/>
      <c r="P50" s="88"/>
      <c r="Q50" s="88"/>
      <c r="R50" s="88"/>
      <c r="S50" s="88"/>
      <c r="T50" s="88"/>
      <c r="U50" s="88"/>
      <c r="V50" s="88"/>
      <c r="W50" s="88"/>
      <c r="X50" s="87"/>
    </row>
    <row r="51" spans="1:24" ht="15.75" x14ac:dyDescent="0.25">
      <c r="A51" s="68" t="s">
        <v>125</v>
      </c>
      <c r="B51" s="88"/>
      <c r="C51" s="88"/>
      <c r="D51" s="88"/>
      <c r="E51" s="88"/>
      <c r="F51" s="88"/>
      <c r="G51" s="88"/>
      <c r="H51" s="89"/>
      <c r="I51" s="88"/>
      <c r="J51" s="88"/>
      <c r="K51" s="88"/>
      <c r="L51" s="88"/>
      <c r="M51" s="88"/>
      <c r="N51" s="88"/>
      <c r="O51" s="88"/>
      <c r="P51" s="88"/>
      <c r="Q51" s="88"/>
      <c r="R51" s="88"/>
      <c r="S51" s="88"/>
      <c r="T51" s="88"/>
      <c r="U51" s="88"/>
      <c r="V51" s="88"/>
      <c r="W51" s="88"/>
      <c r="X51" s="87"/>
    </row>
    <row r="52" spans="1:24" ht="15.75" x14ac:dyDescent="0.25">
      <c r="A52" s="68" t="s">
        <v>126</v>
      </c>
      <c r="B52" s="88"/>
      <c r="C52" s="88"/>
      <c r="D52" s="88"/>
      <c r="E52" s="88"/>
      <c r="F52" s="88"/>
      <c r="G52" s="88"/>
      <c r="H52" s="89"/>
      <c r="I52" s="88"/>
      <c r="J52" s="88"/>
      <c r="K52" s="88"/>
      <c r="L52" s="88"/>
      <c r="M52" s="88"/>
      <c r="N52" s="88"/>
      <c r="O52" s="88"/>
      <c r="P52" s="88"/>
      <c r="Q52" s="88"/>
      <c r="R52" s="88"/>
      <c r="S52" s="88"/>
      <c r="T52" s="88"/>
      <c r="U52" s="88"/>
      <c r="V52" s="88"/>
      <c r="W52" s="88"/>
      <c r="X52" s="87"/>
    </row>
    <row r="53" spans="1:24" ht="15.75" x14ac:dyDescent="0.25">
      <c r="A53" s="88"/>
      <c r="B53" s="88"/>
      <c r="C53" s="88"/>
      <c r="D53" s="88"/>
      <c r="E53" s="88"/>
      <c r="F53" s="88"/>
      <c r="G53" s="88"/>
      <c r="H53" s="89"/>
      <c r="I53" s="88"/>
      <c r="J53" s="88"/>
      <c r="K53" s="88"/>
      <c r="L53" s="88"/>
      <c r="M53" s="88"/>
      <c r="N53" s="88"/>
      <c r="O53" s="88"/>
      <c r="P53" s="88"/>
      <c r="Q53" s="88"/>
      <c r="R53" s="88"/>
      <c r="S53" s="88"/>
      <c r="T53" s="88"/>
      <c r="U53" s="88"/>
      <c r="V53" s="88"/>
      <c r="W53" s="88"/>
      <c r="X53" s="87"/>
    </row>
    <row r="54" spans="1:24" ht="15.75" x14ac:dyDescent="0.25">
      <c r="A54" s="88"/>
      <c r="B54" s="88"/>
      <c r="C54" s="88"/>
      <c r="D54" s="88"/>
      <c r="E54" s="88"/>
      <c r="F54" s="88"/>
      <c r="G54" s="88"/>
      <c r="H54" s="89"/>
      <c r="I54" s="88"/>
      <c r="J54" s="88"/>
      <c r="K54" s="88"/>
      <c r="L54" s="88"/>
      <c r="M54" s="88"/>
      <c r="N54" s="88"/>
      <c r="O54" s="88"/>
      <c r="P54" s="88"/>
      <c r="Q54" s="88"/>
      <c r="R54" s="88"/>
      <c r="S54" s="88"/>
      <c r="T54" s="88"/>
      <c r="U54" s="88"/>
      <c r="V54" s="88"/>
      <c r="W54" s="88"/>
      <c r="X54" s="87"/>
    </row>
    <row r="55" spans="1:24" ht="15.75" x14ac:dyDescent="0.25">
      <c r="A55" s="88"/>
      <c r="B55" s="88"/>
      <c r="C55" s="88"/>
      <c r="D55" s="88"/>
      <c r="E55" s="88"/>
      <c r="F55" s="88"/>
      <c r="G55" s="88"/>
      <c r="H55" s="89"/>
      <c r="I55" s="88"/>
      <c r="J55" s="88"/>
      <c r="K55" s="88"/>
      <c r="L55" s="88"/>
      <c r="M55" s="88"/>
      <c r="N55" s="88"/>
      <c r="O55" s="88"/>
      <c r="P55" s="88"/>
      <c r="Q55" s="88"/>
      <c r="R55" s="88"/>
      <c r="S55" s="88"/>
      <c r="T55" s="88"/>
      <c r="U55" s="88"/>
      <c r="V55" s="88"/>
      <c r="W55" s="88"/>
      <c r="X55" s="87"/>
    </row>
    <row r="56" spans="1:24" ht="15.75" x14ac:dyDescent="0.25">
      <c r="A56" s="90" t="s">
        <v>127</v>
      </c>
      <c r="B56" s="88"/>
      <c r="C56" s="88"/>
      <c r="D56" s="88"/>
      <c r="E56" s="88"/>
      <c r="F56" s="88"/>
      <c r="H56" s="89"/>
      <c r="X56" s="86"/>
    </row>
    <row r="57" spans="1:24" ht="15.75" x14ac:dyDescent="0.25">
      <c r="A57" s="88"/>
      <c r="B57" s="88"/>
      <c r="C57" s="88"/>
      <c r="D57" s="88"/>
      <c r="E57" s="88"/>
      <c r="F57" s="88"/>
      <c r="H57" s="89"/>
      <c r="X57" s="86"/>
    </row>
    <row r="58" spans="1:24" ht="15.75" x14ac:dyDescent="0.25">
      <c r="A58" s="91" t="s">
        <v>128</v>
      </c>
      <c r="B58" s="91" t="s">
        <v>129</v>
      </c>
      <c r="C58" s="91" t="s">
        <v>130</v>
      </c>
      <c r="D58" s="91" t="s">
        <v>131</v>
      </c>
      <c r="E58" s="91" t="s">
        <v>132</v>
      </c>
      <c r="F58" s="91" t="s">
        <v>133</v>
      </c>
      <c r="H58" s="89" t="s">
        <v>134</v>
      </c>
      <c r="X58" s="86"/>
    </row>
    <row r="59" spans="1:24" ht="15.75" x14ac:dyDescent="0.25">
      <c r="A59" s="92">
        <v>17</v>
      </c>
      <c r="B59" s="232" t="s">
        <v>104</v>
      </c>
      <c r="C59" s="93" t="s">
        <v>103</v>
      </c>
      <c r="D59" s="236" t="s">
        <v>135</v>
      </c>
      <c r="E59" s="236" t="s">
        <v>135</v>
      </c>
      <c r="F59" s="94" t="s">
        <v>101</v>
      </c>
      <c r="H59" s="95" t="s">
        <v>136</v>
      </c>
      <c r="X59" s="86"/>
    </row>
    <row r="60" spans="1:24" ht="15.75" x14ac:dyDescent="0.25">
      <c r="A60" s="96">
        <v>18</v>
      </c>
      <c r="B60" s="232"/>
      <c r="C60" s="93" t="s">
        <v>137</v>
      </c>
      <c r="D60" s="236"/>
      <c r="E60" s="236"/>
      <c r="F60" s="94" t="s">
        <v>138</v>
      </c>
      <c r="H60" s="89" t="s">
        <v>139</v>
      </c>
      <c r="X60" s="86"/>
    </row>
    <row r="61" spans="1:24" ht="15.75" x14ac:dyDescent="0.25">
      <c r="A61" s="92">
        <v>19</v>
      </c>
      <c r="B61" s="232"/>
      <c r="C61" s="97"/>
      <c r="D61" s="236"/>
      <c r="E61" s="236"/>
      <c r="F61" s="98"/>
      <c r="H61" s="89" t="s">
        <v>140</v>
      </c>
      <c r="I61" s="88"/>
      <c r="X61" s="86"/>
    </row>
    <row r="62" spans="1:24" ht="15.75" x14ac:dyDescent="0.25">
      <c r="A62" s="96">
        <v>20</v>
      </c>
      <c r="B62" s="232"/>
      <c r="C62" s="94" t="s">
        <v>135</v>
      </c>
      <c r="D62" s="237" t="s">
        <v>101</v>
      </c>
      <c r="E62" s="94" t="s">
        <v>101</v>
      </c>
      <c r="F62" s="98"/>
      <c r="H62" s="89" t="s">
        <v>141</v>
      </c>
      <c r="X62" s="86"/>
    </row>
    <row r="63" spans="1:24" ht="15.75" x14ac:dyDescent="0.25">
      <c r="A63" s="92">
        <v>21</v>
      </c>
      <c r="B63" s="234" t="s">
        <v>103</v>
      </c>
      <c r="C63" s="94" t="s">
        <v>142</v>
      </c>
      <c r="D63" s="237"/>
      <c r="E63" s="94" t="s">
        <v>138</v>
      </c>
      <c r="F63" s="98"/>
      <c r="H63" s="89" t="s">
        <v>143</v>
      </c>
      <c r="X63" s="86"/>
    </row>
    <row r="64" spans="1:24" ht="15.75" x14ac:dyDescent="0.25">
      <c r="A64" s="96">
        <v>22</v>
      </c>
      <c r="B64" s="234"/>
      <c r="C64" s="98"/>
      <c r="D64" s="237"/>
      <c r="E64" s="98"/>
      <c r="F64" s="98"/>
      <c r="H64" s="89" t="s">
        <v>144</v>
      </c>
      <c r="X64" s="86"/>
    </row>
    <row r="65" spans="1:24" ht="15.75" x14ac:dyDescent="0.25">
      <c r="A65" s="92">
        <v>23</v>
      </c>
      <c r="B65" s="234"/>
      <c r="C65" s="98"/>
      <c r="D65" s="237"/>
      <c r="E65" s="98"/>
      <c r="F65" s="98"/>
      <c r="H65" s="89"/>
      <c r="X65" s="86"/>
    </row>
    <row r="66" spans="1:24" ht="15.75" x14ac:dyDescent="0.25">
      <c r="A66" s="96">
        <v>24</v>
      </c>
      <c r="B66" s="234"/>
      <c r="C66" s="98"/>
      <c r="D66" s="237"/>
      <c r="E66" s="98"/>
      <c r="F66" s="98"/>
      <c r="H66" s="89" t="s">
        <v>145</v>
      </c>
      <c r="X66" s="86"/>
    </row>
    <row r="67" spans="1:24" ht="15.75" x14ac:dyDescent="0.25">
      <c r="A67" s="92">
        <v>25</v>
      </c>
      <c r="B67" s="234"/>
      <c r="C67" s="98"/>
      <c r="D67" s="236" t="s">
        <v>135</v>
      </c>
      <c r="E67" s="98"/>
      <c r="F67" s="98"/>
      <c r="H67" s="89" t="s">
        <v>146</v>
      </c>
      <c r="X67" s="86"/>
    </row>
    <row r="68" spans="1:24" ht="15.75" x14ac:dyDescent="0.25">
      <c r="A68" s="96">
        <v>26</v>
      </c>
      <c r="B68" s="234"/>
      <c r="C68" s="236" t="s">
        <v>135</v>
      </c>
      <c r="D68" s="236"/>
      <c r="E68" s="98"/>
      <c r="F68" s="98"/>
      <c r="H68" s="89"/>
      <c r="X68" s="86"/>
    </row>
    <row r="69" spans="1:24" ht="15.75" x14ac:dyDescent="0.25">
      <c r="A69" s="92">
        <v>27</v>
      </c>
      <c r="B69" s="232" t="s">
        <v>104</v>
      </c>
      <c r="C69" s="236"/>
      <c r="D69" s="236"/>
      <c r="E69" s="98"/>
      <c r="F69" s="98"/>
      <c r="H69" s="89"/>
      <c r="X69" s="86"/>
    </row>
    <row r="70" spans="1:24" ht="15.75" x14ac:dyDescent="0.25">
      <c r="A70" s="96">
        <v>28</v>
      </c>
      <c r="B70" s="232"/>
      <c r="C70" s="234" t="s">
        <v>103</v>
      </c>
      <c r="D70" s="236"/>
      <c r="E70" s="98"/>
      <c r="F70" s="98"/>
      <c r="H70" s="89" t="s">
        <v>147</v>
      </c>
      <c r="X70" s="86"/>
    </row>
    <row r="71" spans="1:24" ht="15.75" x14ac:dyDescent="0.25">
      <c r="A71" s="92">
        <v>29</v>
      </c>
      <c r="B71" s="232"/>
      <c r="C71" s="234"/>
      <c r="D71" s="236"/>
      <c r="E71" s="98"/>
      <c r="F71" s="98"/>
      <c r="H71" s="89"/>
      <c r="X71" s="86"/>
    </row>
    <row r="72" spans="1:24" ht="15.75" x14ac:dyDescent="0.25">
      <c r="A72" s="96">
        <v>30</v>
      </c>
      <c r="B72" s="232"/>
      <c r="C72" s="234"/>
      <c r="D72" s="234" t="s">
        <v>103</v>
      </c>
      <c r="E72" s="98"/>
      <c r="F72" s="98"/>
      <c r="H72" s="89" t="s">
        <v>148</v>
      </c>
      <c r="X72" s="86"/>
    </row>
    <row r="73" spans="1:24" ht="15.75" x14ac:dyDescent="0.25">
      <c r="A73" s="92">
        <v>31</v>
      </c>
      <c r="B73" s="232"/>
      <c r="C73" s="234"/>
      <c r="D73" s="234"/>
      <c r="E73" s="94" t="s">
        <v>135</v>
      </c>
      <c r="F73" s="98"/>
      <c r="H73" s="89"/>
      <c r="X73" s="86"/>
    </row>
    <row r="74" spans="1:24" ht="15.75" x14ac:dyDescent="0.25">
      <c r="A74" s="96">
        <v>32</v>
      </c>
      <c r="B74" s="232"/>
      <c r="C74" s="234"/>
      <c r="D74" s="234"/>
      <c r="E74" s="94" t="s">
        <v>142</v>
      </c>
      <c r="F74" s="98"/>
      <c r="H74" s="89" t="s">
        <v>149</v>
      </c>
      <c r="X74" s="86"/>
    </row>
    <row r="75" spans="1:24" ht="15.75" x14ac:dyDescent="0.25">
      <c r="A75" s="92">
        <v>33</v>
      </c>
      <c r="B75" s="232"/>
      <c r="C75" s="232" t="s">
        <v>104</v>
      </c>
      <c r="D75" s="234"/>
      <c r="E75" s="93" t="s">
        <v>103</v>
      </c>
      <c r="F75" s="93" t="s">
        <v>103</v>
      </c>
      <c r="H75" s="89"/>
      <c r="X75" s="86"/>
    </row>
    <row r="76" spans="1:24" ht="15.75" x14ac:dyDescent="0.25">
      <c r="A76" s="96">
        <v>34</v>
      </c>
      <c r="B76" s="235" t="s">
        <v>150</v>
      </c>
      <c r="C76" s="232"/>
      <c r="D76" s="234"/>
      <c r="E76" s="93" t="s">
        <v>137</v>
      </c>
      <c r="F76" s="93" t="s">
        <v>137</v>
      </c>
      <c r="H76" s="89" t="s">
        <v>151</v>
      </c>
      <c r="X76" s="86"/>
    </row>
    <row r="77" spans="1:24" ht="15.75" x14ac:dyDescent="0.25">
      <c r="A77" s="92">
        <v>35</v>
      </c>
      <c r="B77" s="235"/>
      <c r="C77" s="235" t="s">
        <v>150</v>
      </c>
      <c r="D77" s="232" t="s">
        <v>104</v>
      </c>
      <c r="E77" s="232" t="s">
        <v>104</v>
      </c>
      <c r="F77" s="97"/>
      <c r="H77" s="89"/>
      <c r="X77" s="86"/>
    </row>
    <row r="78" spans="1:24" ht="15.75" x14ac:dyDescent="0.25">
      <c r="A78" s="96">
        <v>36</v>
      </c>
      <c r="B78" s="235"/>
      <c r="C78" s="235"/>
      <c r="D78" s="232"/>
      <c r="E78" s="232"/>
      <c r="F78" s="99" t="s">
        <v>104</v>
      </c>
      <c r="H78" s="89" t="s">
        <v>152</v>
      </c>
      <c r="X78" s="86"/>
    </row>
    <row r="79" spans="1:24" ht="15.75" x14ac:dyDescent="0.25">
      <c r="A79" s="233" t="s">
        <v>153</v>
      </c>
      <c r="B79" s="233"/>
      <c r="C79" s="233"/>
      <c r="D79" s="233"/>
      <c r="E79" s="233"/>
      <c r="F79" s="233"/>
      <c r="H79" s="89"/>
      <c r="X79" s="86"/>
    </row>
    <row r="80" spans="1:24" ht="15.75" x14ac:dyDescent="0.25">
      <c r="A80" s="88"/>
      <c r="B80" s="88"/>
      <c r="C80" s="88"/>
      <c r="D80" s="88"/>
      <c r="E80" s="88"/>
      <c r="F80" s="88"/>
      <c r="H80" s="89" t="s">
        <v>154</v>
      </c>
      <c r="X80" s="86"/>
    </row>
    <row r="81" spans="1:24" ht="15.75" x14ac:dyDescent="0.25">
      <c r="A81" s="88"/>
      <c r="B81" s="88"/>
      <c r="C81" s="88"/>
      <c r="D81" s="88"/>
      <c r="E81" s="88"/>
      <c r="F81" s="88"/>
      <c r="H81" s="89"/>
      <c r="X81" s="86"/>
    </row>
    <row r="82" spans="1:24" ht="15.75" x14ac:dyDescent="0.25">
      <c r="A82" s="88"/>
      <c r="B82" s="88"/>
      <c r="C82" s="88"/>
      <c r="D82" s="88"/>
      <c r="E82" s="88"/>
      <c r="F82" s="88"/>
      <c r="H82" s="89" t="s">
        <v>155</v>
      </c>
      <c r="X82" s="86"/>
    </row>
    <row r="83" spans="1:24" ht="15.75" x14ac:dyDescent="0.25">
      <c r="A83" s="88"/>
      <c r="B83" s="88"/>
      <c r="C83" s="88"/>
      <c r="D83" s="88"/>
      <c r="E83" s="88"/>
      <c r="F83" s="88"/>
      <c r="H83" s="89"/>
      <c r="X83" s="86"/>
    </row>
    <row r="84" spans="1:24" ht="15.75" x14ac:dyDescent="0.25">
      <c r="A84" t="s">
        <v>156</v>
      </c>
      <c r="B84" s="88"/>
      <c r="C84" s="88"/>
      <c r="D84" s="88"/>
      <c r="E84" s="88"/>
      <c r="F84" s="88"/>
      <c r="H84" s="89"/>
      <c r="X84" s="86"/>
    </row>
    <row r="85" spans="1:24" ht="15.75" x14ac:dyDescent="0.25">
      <c r="A85" t="s">
        <v>157</v>
      </c>
      <c r="B85" s="88"/>
      <c r="C85" s="88"/>
      <c r="D85" s="88"/>
      <c r="E85" s="88"/>
      <c r="F85" s="88"/>
      <c r="H85" s="89"/>
      <c r="X85" s="86"/>
    </row>
    <row r="86" spans="1:24" ht="15.75" x14ac:dyDescent="0.25">
      <c r="A86" s="88" t="s">
        <v>158</v>
      </c>
      <c r="B86" s="88"/>
      <c r="C86" s="88"/>
      <c r="D86" s="88"/>
      <c r="E86" s="88"/>
      <c r="F86" s="88"/>
      <c r="H86" s="89"/>
      <c r="X86" s="86"/>
    </row>
    <row r="87" spans="1:24" ht="15.75" x14ac:dyDescent="0.25">
      <c r="A87" s="88"/>
      <c r="B87" s="88"/>
      <c r="C87" s="88"/>
      <c r="D87" s="88"/>
      <c r="E87" s="88"/>
      <c r="F87" s="88"/>
      <c r="G87" s="88"/>
      <c r="H87" s="89"/>
      <c r="I87" s="88"/>
      <c r="J87" s="88"/>
      <c r="K87" s="88"/>
      <c r="L87" s="88"/>
      <c r="M87" s="88"/>
      <c r="N87" s="88"/>
      <c r="O87" s="88"/>
      <c r="P87" s="88"/>
      <c r="Q87" s="88"/>
      <c r="R87" s="88"/>
      <c r="S87" s="88"/>
      <c r="T87" s="88"/>
      <c r="U87" s="88"/>
      <c r="V87" s="88"/>
      <c r="W87" s="88"/>
      <c r="X87" s="87"/>
    </row>
    <row r="88" spans="1:24" ht="15.75" x14ac:dyDescent="0.25">
      <c r="A88" s="88"/>
      <c r="B88" s="88"/>
      <c r="C88" s="88"/>
      <c r="D88" s="88"/>
      <c r="E88" s="88"/>
      <c r="F88" s="88"/>
      <c r="G88" s="88"/>
      <c r="H88" s="89"/>
      <c r="I88" s="88"/>
      <c r="J88" s="88"/>
      <c r="K88" s="88"/>
      <c r="L88" s="88"/>
      <c r="M88" s="88"/>
      <c r="N88" s="88"/>
      <c r="O88" s="88"/>
      <c r="P88" s="88"/>
      <c r="Q88" s="88"/>
      <c r="R88" s="88"/>
      <c r="S88" s="88"/>
      <c r="T88" s="88"/>
      <c r="U88" s="88"/>
      <c r="V88" s="88"/>
      <c r="W88" s="88"/>
      <c r="X88" s="87"/>
    </row>
    <row r="89" spans="1:24" ht="15.75" x14ac:dyDescent="0.25">
      <c r="A89" s="88"/>
      <c r="B89" s="88"/>
      <c r="C89" s="88"/>
      <c r="D89" s="88"/>
      <c r="E89" s="88"/>
      <c r="F89" s="88"/>
      <c r="G89" s="88"/>
      <c r="H89" s="89"/>
      <c r="I89" s="88"/>
      <c r="J89" s="88"/>
      <c r="K89" s="88"/>
      <c r="L89" s="88"/>
      <c r="M89" s="88"/>
      <c r="N89" s="88"/>
      <c r="O89" s="88"/>
      <c r="P89" s="88"/>
      <c r="Q89" s="88"/>
      <c r="R89" s="88"/>
      <c r="S89" s="88"/>
      <c r="T89" s="88"/>
      <c r="U89" s="88"/>
      <c r="V89" s="88"/>
      <c r="W89" s="88"/>
      <c r="X89" s="87"/>
    </row>
    <row r="90" spans="1:24" ht="15.75" x14ac:dyDescent="0.25">
      <c r="A90" s="88"/>
      <c r="B90" s="88"/>
      <c r="C90" s="88"/>
      <c r="D90" s="88"/>
      <c r="E90" s="88"/>
      <c r="F90" s="88"/>
      <c r="G90" s="88"/>
      <c r="H90" s="89"/>
      <c r="I90" s="88"/>
      <c r="J90" s="88"/>
      <c r="K90" s="88"/>
      <c r="L90" s="88"/>
      <c r="M90" s="88"/>
      <c r="N90" s="88"/>
      <c r="O90" s="88"/>
      <c r="P90" s="88"/>
      <c r="Q90" s="88"/>
      <c r="R90" s="88"/>
      <c r="S90" s="88"/>
      <c r="T90" s="88"/>
      <c r="U90" s="88"/>
      <c r="V90" s="88"/>
      <c r="W90" s="88"/>
      <c r="X90" s="87"/>
    </row>
    <row r="91" spans="1:24" ht="15.75" x14ac:dyDescent="0.25">
      <c r="A91" s="88"/>
      <c r="B91" s="88"/>
      <c r="C91" s="88"/>
      <c r="D91" s="88"/>
      <c r="E91" s="88"/>
      <c r="F91" s="88"/>
      <c r="G91" s="88"/>
      <c r="H91" s="89"/>
      <c r="I91" s="88"/>
      <c r="J91" s="88"/>
      <c r="K91" s="88"/>
      <c r="L91" s="88"/>
      <c r="M91" s="88"/>
      <c r="N91" s="88"/>
      <c r="O91" s="88"/>
      <c r="P91" s="88"/>
      <c r="Q91" s="88"/>
      <c r="R91" s="88"/>
      <c r="S91" s="88"/>
      <c r="T91" s="88"/>
      <c r="U91" s="88"/>
      <c r="V91" s="88"/>
      <c r="W91" s="88"/>
      <c r="X91" s="87"/>
    </row>
    <row r="92" spans="1:24" ht="15.75" x14ac:dyDescent="0.25">
      <c r="A92" s="88"/>
      <c r="B92" s="88"/>
      <c r="C92" s="88"/>
      <c r="D92" s="88"/>
      <c r="E92" s="88"/>
      <c r="F92" s="88"/>
      <c r="G92" s="88"/>
      <c r="H92" s="89"/>
      <c r="I92" s="88"/>
      <c r="J92" s="88"/>
      <c r="K92" s="88"/>
      <c r="L92" s="88"/>
      <c r="M92" s="88"/>
      <c r="N92" s="88"/>
      <c r="O92" s="88"/>
      <c r="P92" s="88"/>
      <c r="Q92" s="88"/>
      <c r="R92" s="88"/>
      <c r="S92" s="88"/>
      <c r="T92" s="88"/>
      <c r="U92" s="88"/>
      <c r="V92" s="88"/>
      <c r="W92" s="88"/>
      <c r="X92" s="87"/>
    </row>
    <row r="93" spans="1:24" ht="15.75" x14ac:dyDescent="0.25">
      <c r="A93" s="88"/>
      <c r="B93" s="88"/>
      <c r="C93" s="88"/>
      <c r="D93" s="88"/>
      <c r="E93" s="88"/>
      <c r="F93" s="88"/>
      <c r="G93" s="88"/>
      <c r="H93" s="89"/>
      <c r="I93" s="88"/>
      <c r="J93" s="88"/>
      <c r="K93" s="88"/>
      <c r="L93" s="88"/>
      <c r="M93" s="88"/>
      <c r="N93" s="88"/>
      <c r="O93" s="88"/>
      <c r="P93" s="88"/>
      <c r="Q93" s="88"/>
      <c r="R93" s="88"/>
      <c r="S93" s="88"/>
      <c r="T93" s="88"/>
      <c r="U93" s="88"/>
      <c r="V93" s="88"/>
      <c r="W93" s="88"/>
      <c r="X93" s="87"/>
    </row>
    <row r="94" spans="1:24" ht="15.75" x14ac:dyDescent="0.25">
      <c r="A94" s="88"/>
      <c r="B94" s="88"/>
      <c r="C94" s="88"/>
      <c r="D94" s="88"/>
      <c r="E94" s="88"/>
      <c r="F94" s="88"/>
      <c r="G94" s="88"/>
      <c r="H94" s="89"/>
      <c r="I94" s="88"/>
      <c r="J94" s="88"/>
      <c r="K94" s="88"/>
      <c r="L94" s="88"/>
      <c r="M94" s="88"/>
      <c r="N94" s="88"/>
      <c r="O94" s="88"/>
      <c r="P94" s="88"/>
      <c r="Q94" s="88"/>
      <c r="R94" s="88"/>
      <c r="S94" s="88"/>
      <c r="T94" s="88"/>
      <c r="U94" s="88"/>
      <c r="V94" s="88"/>
      <c r="W94" s="88"/>
      <c r="X94" s="87"/>
    </row>
    <row r="95" spans="1:24" ht="15.75" x14ac:dyDescent="0.25">
      <c r="A95" s="88"/>
      <c r="B95" s="88"/>
      <c r="C95" s="88"/>
      <c r="D95" s="88"/>
      <c r="E95" s="88"/>
      <c r="F95" s="88"/>
      <c r="G95" s="88"/>
      <c r="H95" s="89"/>
      <c r="I95" s="88"/>
      <c r="J95" s="88"/>
      <c r="K95" s="88"/>
      <c r="L95" s="88"/>
      <c r="M95" s="88"/>
      <c r="N95" s="88"/>
      <c r="O95" s="88"/>
      <c r="P95" s="88"/>
      <c r="Q95" s="88"/>
      <c r="R95" s="88"/>
      <c r="S95" s="88"/>
      <c r="T95" s="88"/>
      <c r="U95" s="88"/>
      <c r="V95" s="88"/>
      <c r="W95" s="88"/>
      <c r="X95" s="87"/>
    </row>
    <row r="96" spans="1:24" ht="15.75" x14ac:dyDescent="0.25">
      <c r="A96" s="88"/>
      <c r="B96" s="88"/>
      <c r="C96" s="88"/>
      <c r="D96" s="88"/>
      <c r="E96" s="88"/>
      <c r="F96" s="88"/>
      <c r="G96" s="88"/>
      <c r="H96" s="89"/>
      <c r="I96" s="88"/>
      <c r="J96" s="88"/>
      <c r="K96" s="88"/>
      <c r="L96" s="88"/>
      <c r="M96" s="88"/>
      <c r="N96" s="88"/>
      <c r="O96" s="88"/>
      <c r="P96" s="88"/>
      <c r="Q96" s="88"/>
      <c r="R96" s="88"/>
      <c r="S96" s="88"/>
      <c r="T96" s="88"/>
      <c r="U96" s="88"/>
      <c r="V96" s="88"/>
      <c r="W96" s="88"/>
      <c r="X96" s="87"/>
    </row>
    <row r="97" spans="1:24" ht="15.75" x14ac:dyDescent="0.25">
      <c r="A97" s="88"/>
      <c r="B97" s="88"/>
      <c r="C97" s="88"/>
      <c r="D97" s="88"/>
      <c r="E97" s="88"/>
      <c r="F97" s="88"/>
      <c r="G97" s="88"/>
      <c r="H97" s="89"/>
      <c r="I97" s="88"/>
      <c r="J97" s="88"/>
      <c r="K97" s="88"/>
      <c r="L97" s="88"/>
      <c r="M97" s="88"/>
      <c r="N97" s="88"/>
      <c r="O97" s="88"/>
      <c r="P97" s="88"/>
      <c r="Q97" s="88"/>
      <c r="R97" s="88"/>
      <c r="S97" s="88"/>
      <c r="T97" s="88"/>
      <c r="U97" s="88"/>
      <c r="V97" s="88"/>
      <c r="W97" s="88"/>
      <c r="X97" s="87"/>
    </row>
    <row r="98" spans="1:24" ht="15.75" x14ac:dyDescent="0.25">
      <c r="A98" s="88"/>
      <c r="B98" s="88"/>
      <c r="C98" s="88"/>
      <c r="D98" s="88"/>
      <c r="E98" s="88"/>
      <c r="F98" s="88"/>
      <c r="G98" s="88"/>
      <c r="H98" s="89"/>
      <c r="I98" s="88"/>
      <c r="J98" s="88"/>
      <c r="K98" s="88"/>
      <c r="L98" s="88"/>
      <c r="M98" s="88"/>
      <c r="N98" s="88"/>
      <c r="O98" s="88"/>
      <c r="P98" s="88"/>
      <c r="Q98" s="88"/>
      <c r="R98" s="88"/>
      <c r="S98" s="88"/>
      <c r="T98" s="88"/>
      <c r="U98" s="88"/>
      <c r="V98" s="88"/>
      <c r="W98" s="88"/>
      <c r="X98" s="87"/>
    </row>
    <row r="99" spans="1:24" ht="15.75" x14ac:dyDescent="0.25">
      <c r="A99" s="88"/>
      <c r="B99" s="88"/>
      <c r="C99" s="88"/>
      <c r="D99" s="88"/>
      <c r="E99" s="88"/>
      <c r="F99" s="88"/>
      <c r="G99" s="88"/>
      <c r="H99" s="89"/>
      <c r="I99" s="88"/>
      <c r="J99" s="88"/>
      <c r="K99" s="88"/>
      <c r="L99" s="88"/>
      <c r="M99" s="88"/>
      <c r="N99" s="88"/>
      <c r="O99" s="88"/>
      <c r="P99" s="88"/>
      <c r="Q99" s="88"/>
      <c r="R99" s="88"/>
      <c r="S99" s="88"/>
      <c r="T99" s="88"/>
      <c r="U99" s="88"/>
      <c r="V99" s="88"/>
      <c r="W99" s="88"/>
      <c r="X99" s="87"/>
    </row>
    <row r="100" spans="1:24" ht="15.75" x14ac:dyDescent="0.25">
      <c r="A100" s="88"/>
      <c r="B100" s="88"/>
      <c r="C100" s="88"/>
      <c r="D100" s="88"/>
      <c r="E100" s="88"/>
      <c r="F100" s="88"/>
      <c r="G100" s="88"/>
      <c r="H100" s="89"/>
      <c r="I100" s="88"/>
      <c r="J100" s="88"/>
      <c r="K100" s="88"/>
      <c r="L100" s="88"/>
      <c r="M100" s="88"/>
      <c r="N100" s="88"/>
      <c r="O100" s="88"/>
      <c r="P100" s="88"/>
      <c r="Q100" s="88"/>
      <c r="R100" s="88"/>
      <c r="S100" s="88"/>
      <c r="T100" s="88"/>
      <c r="U100" s="88"/>
      <c r="V100" s="88"/>
      <c r="W100" s="88"/>
      <c r="X100" s="87"/>
    </row>
    <row r="101" spans="1:24" ht="15.75" x14ac:dyDescent="0.25">
      <c r="A101" s="88"/>
      <c r="B101" s="88"/>
      <c r="C101" s="88"/>
      <c r="D101" s="88"/>
      <c r="E101" s="88"/>
      <c r="F101" s="88"/>
      <c r="G101" s="88"/>
      <c r="H101" s="89"/>
      <c r="I101" s="88"/>
      <c r="J101" s="88"/>
      <c r="K101" s="88"/>
      <c r="L101" s="88"/>
      <c r="M101" s="88"/>
      <c r="N101" s="88"/>
      <c r="O101" s="88"/>
      <c r="P101" s="88"/>
      <c r="Q101" s="88"/>
      <c r="R101" s="88"/>
      <c r="S101" s="88"/>
      <c r="T101" s="88"/>
      <c r="U101" s="88"/>
      <c r="V101" s="88"/>
      <c r="W101" s="88"/>
      <c r="X101" s="87"/>
    </row>
    <row r="102" spans="1:24" ht="15.75" x14ac:dyDescent="0.25">
      <c r="A102" s="88"/>
      <c r="B102" s="88"/>
      <c r="C102" s="88"/>
      <c r="D102" s="88"/>
      <c r="E102" s="88"/>
      <c r="F102" s="88"/>
      <c r="G102" s="88"/>
      <c r="H102" s="89"/>
      <c r="I102" s="88"/>
      <c r="J102" s="88"/>
      <c r="K102" s="88"/>
      <c r="L102" s="88"/>
      <c r="M102" s="88"/>
      <c r="N102" s="88"/>
      <c r="O102" s="88"/>
      <c r="P102" s="88"/>
      <c r="Q102" s="88"/>
      <c r="R102" s="88"/>
      <c r="S102" s="88"/>
      <c r="T102" s="88"/>
      <c r="U102" s="88"/>
      <c r="V102" s="88"/>
      <c r="W102" s="88"/>
      <c r="X102" s="87"/>
    </row>
    <row r="103" spans="1:24" ht="15.75" x14ac:dyDescent="0.25">
      <c r="A103" s="88"/>
      <c r="B103" s="88"/>
      <c r="C103" s="88"/>
      <c r="D103" s="88"/>
      <c r="E103" s="88"/>
      <c r="F103" s="88"/>
      <c r="G103" s="88"/>
      <c r="H103" s="89"/>
      <c r="I103" s="88"/>
      <c r="J103" s="88"/>
      <c r="K103" s="88"/>
      <c r="L103" s="88"/>
      <c r="M103" s="88"/>
      <c r="N103" s="88"/>
      <c r="O103" s="88"/>
      <c r="P103" s="88"/>
      <c r="Q103" s="88"/>
      <c r="R103" s="88"/>
      <c r="S103" s="88"/>
      <c r="T103" s="88"/>
      <c r="U103" s="88"/>
      <c r="V103" s="88"/>
      <c r="W103" s="88"/>
      <c r="X103" s="87"/>
    </row>
    <row r="104" spans="1:24" ht="15.75" x14ac:dyDescent="0.25">
      <c r="A104" s="88"/>
      <c r="B104" s="88"/>
      <c r="C104" s="88"/>
      <c r="D104" s="88"/>
      <c r="E104" s="88"/>
      <c r="F104" s="88"/>
      <c r="G104" s="88"/>
      <c r="H104" s="89"/>
      <c r="I104" s="88"/>
      <c r="J104" s="88"/>
      <c r="K104" s="88"/>
      <c r="L104" s="88"/>
      <c r="M104" s="88"/>
      <c r="N104" s="88"/>
      <c r="O104" s="88"/>
      <c r="P104" s="88"/>
      <c r="Q104" s="88"/>
      <c r="R104" s="88"/>
      <c r="S104" s="88"/>
      <c r="T104" s="88"/>
      <c r="U104" s="88"/>
      <c r="V104" s="88"/>
      <c r="W104" s="88"/>
      <c r="X104" s="87"/>
    </row>
    <row r="105" spans="1:24" ht="15.75" x14ac:dyDescent="0.25">
      <c r="A105" s="88"/>
      <c r="B105" s="88"/>
      <c r="C105" s="88"/>
      <c r="D105" s="88"/>
      <c r="E105" s="88"/>
      <c r="F105" s="88"/>
      <c r="G105" s="88"/>
      <c r="H105" s="89"/>
      <c r="I105" s="88"/>
      <c r="J105" s="88"/>
      <c r="K105" s="88"/>
      <c r="L105" s="88"/>
      <c r="M105" s="88"/>
      <c r="N105" s="88"/>
      <c r="O105" s="88"/>
      <c r="P105" s="88"/>
      <c r="Q105" s="88"/>
      <c r="R105" s="88"/>
      <c r="S105" s="88"/>
      <c r="T105" s="88"/>
      <c r="U105" s="88"/>
      <c r="V105" s="88"/>
      <c r="W105" s="88"/>
      <c r="X105" s="87"/>
    </row>
    <row r="106" spans="1:24" ht="15.75" x14ac:dyDescent="0.25">
      <c r="A106" s="88"/>
      <c r="B106" s="88"/>
      <c r="C106" s="88"/>
      <c r="D106" s="88"/>
      <c r="E106" s="88"/>
      <c r="F106" s="88"/>
      <c r="G106" s="88"/>
      <c r="H106" s="89"/>
      <c r="I106" s="88"/>
      <c r="J106" s="88"/>
      <c r="K106" s="88"/>
      <c r="L106" s="88"/>
      <c r="M106" s="88"/>
      <c r="N106" s="88"/>
      <c r="O106" s="88"/>
      <c r="P106" s="88"/>
      <c r="Q106" s="88"/>
      <c r="R106" s="88"/>
      <c r="S106" s="88"/>
      <c r="T106" s="88"/>
      <c r="U106" s="88"/>
      <c r="V106" s="88"/>
      <c r="W106" s="88"/>
      <c r="X106" s="87"/>
    </row>
    <row r="107" spans="1:24" ht="15.75" x14ac:dyDescent="0.25">
      <c r="A107" s="88"/>
      <c r="B107" s="88"/>
      <c r="C107" s="88"/>
      <c r="D107" s="88"/>
      <c r="E107" s="88"/>
      <c r="F107" s="88"/>
      <c r="G107" s="88"/>
      <c r="H107" s="89"/>
      <c r="I107" s="88"/>
      <c r="J107" s="88"/>
      <c r="K107" s="88"/>
      <c r="L107" s="88"/>
      <c r="M107" s="88"/>
      <c r="N107" s="88"/>
      <c r="O107" s="88"/>
      <c r="P107" s="88"/>
      <c r="Q107" s="88"/>
      <c r="R107" s="88"/>
      <c r="S107" s="88"/>
      <c r="T107" s="88"/>
      <c r="U107" s="88"/>
      <c r="V107" s="88"/>
      <c r="W107" s="88"/>
      <c r="X107" s="87"/>
    </row>
    <row r="108" spans="1:24" ht="15.75" x14ac:dyDescent="0.25">
      <c r="A108" s="88"/>
      <c r="B108" s="88"/>
      <c r="C108" s="88"/>
      <c r="D108" s="88"/>
      <c r="E108" s="88"/>
      <c r="F108" s="88"/>
      <c r="G108" s="88"/>
      <c r="H108" s="89"/>
      <c r="I108" s="88"/>
      <c r="J108" s="88"/>
      <c r="K108" s="88"/>
      <c r="L108" s="88"/>
      <c r="M108" s="88"/>
      <c r="N108" s="88"/>
      <c r="O108" s="88"/>
      <c r="P108" s="88"/>
      <c r="Q108" s="88"/>
      <c r="R108" s="88"/>
      <c r="S108" s="88"/>
      <c r="T108" s="88"/>
      <c r="U108" s="88"/>
      <c r="V108" s="88"/>
      <c r="W108" s="88"/>
      <c r="X108" s="87"/>
    </row>
    <row r="109" spans="1:24" ht="15.75" x14ac:dyDescent="0.25">
      <c r="A109" s="88"/>
      <c r="B109" s="88"/>
      <c r="C109" s="88"/>
      <c r="D109" s="88"/>
      <c r="E109" s="88"/>
      <c r="F109" s="88"/>
      <c r="G109" s="88"/>
      <c r="H109" s="89"/>
      <c r="I109" s="88"/>
      <c r="J109" s="88"/>
      <c r="K109" s="88"/>
      <c r="L109" s="88"/>
      <c r="M109" s="88"/>
      <c r="N109" s="88"/>
      <c r="O109" s="88"/>
      <c r="P109" s="88"/>
      <c r="Q109" s="88"/>
      <c r="R109" s="88"/>
      <c r="S109" s="88"/>
      <c r="T109" s="88"/>
      <c r="U109" s="88"/>
      <c r="V109" s="88"/>
      <c r="W109" s="88"/>
      <c r="X109" s="87"/>
    </row>
    <row r="110" spans="1:24" ht="15.75" x14ac:dyDescent="0.25">
      <c r="A110" s="88"/>
      <c r="B110" s="88"/>
      <c r="C110" s="88"/>
      <c r="D110" s="88"/>
      <c r="E110" s="88"/>
      <c r="F110" s="88"/>
      <c r="G110" s="88"/>
      <c r="H110" s="89"/>
      <c r="I110" s="88"/>
      <c r="J110" s="88"/>
      <c r="K110" s="88"/>
      <c r="L110" s="88"/>
      <c r="M110" s="88"/>
      <c r="N110" s="88"/>
      <c r="O110" s="88"/>
      <c r="P110" s="88"/>
      <c r="Q110" s="88"/>
      <c r="R110" s="88"/>
      <c r="S110" s="88"/>
      <c r="T110" s="88"/>
      <c r="U110" s="88"/>
      <c r="V110" s="88"/>
      <c r="W110" s="88"/>
      <c r="X110" s="87"/>
    </row>
    <row r="111" spans="1:24" ht="15.75" x14ac:dyDescent="0.25">
      <c r="A111" s="88"/>
      <c r="B111" s="88"/>
      <c r="C111" s="88"/>
      <c r="D111" s="88"/>
      <c r="E111" s="88"/>
      <c r="F111" s="88"/>
      <c r="G111" s="88"/>
      <c r="H111" s="89"/>
      <c r="I111" s="88"/>
      <c r="J111" s="88"/>
      <c r="K111" s="88"/>
      <c r="L111" s="88"/>
      <c r="M111" s="88"/>
      <c r="N111" s="88"/>
      <c r="O111" s="88"/>
      <c r="P111" s="88"/>
      <c r="Q111" s="88"/>
      <c r="R111" s="88"/>
      <c r="S111" s="88"/>
      <c r="T111" s="88"/>
      <c r="U111" s="88"/>
      <c r="V111" s="88"/>
      <c r="W111" s="88"/>
      <c r="X111" s="87"/>
    </row>
    <row r="112" spans="1:24" ht="15.75" x14ac:dyDescent="0.25">
      <c r="A112" s="88"/>
      <c r="B112" s="88"/>
      <c r="C112" s="88"/>
      <c r="D112" s="88"/>
      <c r="E112" s="88"/>
      <c r="F112" s="88"/>
      <c r="G112" s="88"/>
      <c r="H112" s="89"/>
      <c r="I112" s="88"/>
      <c r="J112" s="88"/>
      <c r="K112" s="88"/>
      <c r="L112" s="88"/>
      <c r="M112" s="88"/>
      <c r="N112" s="88"/>
      <c r="O112" s="88"/>
      <c r="P112" s="88"/>
      <c r="Q112" s="88"/>
      <c r="R112" s="88"/>
      <c r="S112" s="88"/>
      <c r="T112" s="88"/>
      <c r="U112" s="88"/>
      <c r="V112" s="88"/>
      <c r="W112" s="88"/>
      <c r="X112" s="87"/>
    </row>
    <row r="113" spans="1:24" ht="15.75" x14ac:dyDescent="0.25">
      <c r="A113" s="88"/>
      <c r="B113" s="88"/>
      <c r="C113" s="88"/>
      <c r="D113" s="88"/>
      <c r="E113" s="88"/>
      <c r="F113" s="88"/>
      <c r="G113" s="88"/>
      <c r="H113" s="89"/>
      <c r="I113" s="88"/>
      <c r="J113" s="88"/>
      <c r="K113" s="88"/>
      <c r="L113" s="88"/>
      <c r="M113" s="88"/>
      <c r="N113" s="88"/>
      <c r="O113" s="88"/>
      <c r="P113" s="88"/>
      <c r="Q113" s="88"/>
      <c r="R113" s="88"/>
      <c r="S113" s="88"/>
      <c r="T113" s="88"/>
      <c r="U113" s="88"/>
      <c r="V113" s="88"/>
      <c r="W113" s="88"/>
      <c r="X113" s="87"/>
    </row>
    <row r="114" spans="1:24" ht="15.75" x14ac:dyDescent="0.25">
      <c r="A114" s="88"/>
      <c r="B114" s="88"/>
      <c r="C114" s="88"/>
      <c r="D114" s="88"/>
      <c r="E114" s="88"/>
      <c r="F114" s="88"/>
      <c r="G114" s="88"/>
      <c r="H114" s="89"/>
      <c r="I114" s="88"/>
      <c r="J114" s="88"/>
      <c r="K114" s="88"/>
      <c r="L114" s="88"/>
      <c r="M114" s="88"/>
      <c r="N114" s="88"/>
      <c r="O114" s="88"/>
      <c r="P114" s="88"/>
      <c r="Q114" s="88"/>
      <c r="R114" s="88"/>
      <c r="S114" s="88"/>
      <c r="T114" s="88"/>
      <c r="U114" s="88"/>
      <c r="V114" s="88"/>
      <c r="W114" s="88"/>
      <c r="X114" s="87"/>
    </row>
    <row r="115" spans="1:24" ht="15.75" x14ac:dyDescent="0.25">
      <c r="A115" s="88"/>
      <c r="B115" s="88"/>
      <c r="C115" s="88"/>
      <c r="D115" s="88"/>
      <c r="E115" s="88"/>
      <c r="F115" s="88"/>
      <c r="G115" s="88"/>
      <c r="H115" s="89"/>
      <c r="I115" s="88"/>
      <c r="J115" s="88"/>
      <c r="K115" s="88"/>
      <c r="L115" s="88"/>
      <c r="M115" s="88"/>
      <c r="N115" s="88"/>
      <c r="O115" s="88"/>
      <c r="P115" s="88"/>
      <c r="Q115" s="88"/>
      <c r="R115" s="88"/>
      <c r="S115" s="88"/>
      <c r="T115" s="88"/>
      <c r="U115" s="88"/>
      <c r="V115" s="88"/>
      <c r="W115" s="88"/>
      <c r="X115" s="87"/>
    </row>
    <row r="116" spans="1:24" ht="15.75" x14ac:dyDescent="0.25">
      <c r="A116" s="88"/>
      <c r="B116" s="88"/>
      <c r="C116" s="88"/>
      <c r="D116" s="88"/>
      <c r="E116" s="88"/>
      <c r="F116" s="88"/>
      <c r="G116" s="88"/>
      <c r="H116" s="89"/>
      <c r="I116" s="88"/>
      <c r="J116" s="88"/>
      <c r="K116" s="88"/>
      <c r="L116" s="88"/>
      <c r="M116" s="88"/>
      <c r="N116" s="88"/>
      <c r="O116" s="88"/>
      <c r="P116" s="88"/>
      <c r="Q116" s="88"/>
      <c r="R116" s="88"/>
      <c r="S116" s="88"/>
      <c r="T116" s="88"/>
      <c r="U116" s="88"/>
      <c r="V116" s="88"/>
      <c r="W116" s="88"/>
      <c r="X116" s="87"/>
    </row>
    <row r="117" spans="1:24" ht="15.75" x14ac:dyDescent="0.25">
      <c r="A117" s="88"/>
      <c r="B117" s="88"/>
      <c r="C117" s="88"/>
      <c r="D117" s="88"/>
      <c r="E117" s="88"/>
      <c r="F117" s="88"/>
      <c r="G117" s="88"/>
      <c r="H117" s="89"/>
      <c r="I117" s="88"/>
      <c r="J117" s="88"/>
      <c r="K117" s="88"/>
      <c r="L117" s="88"/>
      <c r="M117" s="88"/>
      <c r="N117" s="88"/>
      <c r="O117" s="88"/>
      <c r="P117" s="88"/>
      <c r="Q117" s="88"/>
      <c r="R117" s="88"/>
      <c r="S117" s="88"/>
      <c r="T117" s="88"/>
      <c r="U117" s="88"/>
      <c r="V117" s="88"/>
      <c r="W117" s="88"/>
      <c r="X117" s="87"/>
    </row>
    <row r="118" spans="1:24" ht="15.75" x14ac:dyDescent="0.25">
      <c r="A118" s="88"/>
      <c r="B118" s="88"/>
      <c r="C118" s="88"/>
      <c r="D118" s="88"/>
      <c r="E118" s="88"/>
      <c r="F118" s="88"/>
      <c r="G118" s="88"/>
      <c r="H118" s="89"/>
      <c r="I118" s="88"/>
      <c r="J118" s="88"/>
      <c r="K118" s="88"/>
      <c r="L118" s="88"/>
      <c r="M118" s="88"/>
      <c r="N118" s="88"/>
      <c r="O118" s="88"/>
      <c r="P118" s="88"/>
      <c r="Q118" s="88"/>
      <c r="R118" s="88"/>
      <c r="S118" s="88"/>
      <c r="T118" s="88"/>
      <c r="U118" s="88"/>
      <c r="V118" s="88"/>
      <c r="W118" s="88"/>
      <c r="X118" s="87"/>
    </row>
    <row r="119" spans="1:24" ht="15.75" x14ac:dyDescent="0.25">
      <c r="A119" s="88"/>
      <c r="B119" s="88"/>
      <c r="C119" s="88"/>
      <c r="D119" s="88"/>
      <c r="E119" s="88"/>
      <c r="F119" s="88"/>
      <c r="G119" s="88"/>
      <c r="H119" s="89"/>
      <c r="I119" s="88"/>
      <c r="J119" s="88"/>
      <c r="K119" s="88"/>
      <c r="L119" s="88"/>
      <c r="M119" s="88"/>
      <c r="N119" s="88"/>
      <c r="O119" s="88"/>
      <c r="P119" s="88"/>
      <c r="Q119" s="88"/>
      <c r="R119" s="88"/>
      <c r="S119" s="88"/>
      <c r="T119" s="88"/>
      <c r="U119" s="88"/>
      <c r="V119" s="88"/>
      <c r="W119" s="88"/>
      <c r="X119" s="87"/>
    </row>
    <row r="120" spans="1:24" ht="15.75" x14ac:dyDescent="0.25">
      <c r="A120" s="88"/>
      <c r="B120" s="88"/>
      <c r="C120" s="88"/>
      <c r="D120" s="88"/>
      <c r="E120" s="88"/>
      <c r="F120" s="88"/>
      <c r="G120" s="88"/>
      <c r="H120" s="89"/>
      <c r="I120" s="88"/>
      <c r="J120" s="88"/>
      <c r="K120" s="88"/>
      <c r="L120" s="88"/>
      <c r="M120" s="88"/>
      <c r="N120" s="88"/>
      <c r="O120" s="88"/>
      <c r="P120" s="88"/>
      <c r="Q120" s="88"/>
      <c r="R120" s="88"/>
      <c r="S120" s="88"/>
      <c r="T120" s="88"/>
      <c r="U120" s="88"/>
      <c r="V120" s="88"/>
      <c r="W120" s="88"/>
      <c r="X120" s="87"/>
    </row>
    <row r="121" spans="1:24" ht="15.75" x14ac:dyDescent="0.25">
      <c r="A121" s="88"/>
      <c r="B121" s="88"/>
      <c r="C121" s="88"/>
      <c r="D121" s="88"/>
      <c r="E121" s="88"/>
      <c r="F121" s="88"/>
      <c r="G121" s="88"/>
      <c r="H121" s="89"/>
      <c r="I121" s="88"/>
      <c r="J121" s="88"/>
      <c r="K121" s="88"/>
      <c r="L121" s="88"/>
      <c r="M121" s="88"/>
      <c r="N121" s="88"/>
      <c r="O121" s="88"/>
      <c r="P121" s="88"/>
      <c r="Q121" s="88"/>
      <c r="R121" s="88"/>
      <c r="S121" s="88"/>
      <c r="T121" s="88"/>
      <c r="U121" s="88"/>
      <c r="V121" s="88"/>
      <c r="W121" s="88"/>
      <c r="X121" s="87"/>
    </row>
    <row r="122" spans="1:24" ht="15.75" x14ac:dyDescent="0.25">
      <c r="A122" s="88"/>
      <c r="B122" s="88"/>
      <c r="C122" s="88"/>
      <c r="D122" s="88"/>
      <c r="E122" s="88"/>
      <c r="F122" s="88"/>
      <c r="G122" s="88"/>
      <c r="H122" s="89"/>
      <c r="I122" s="88"/>
      <c r="J122" s="88"/>
      <c r="K122" s="88"/>
      <c r="L122" s="88"/>
      <c r="M122" s="88"/>
      <c r="N122" s="88"/>
      <c r="O122" s="88"/>
      <c r="P122" s="88"/>
      <c r="Q122" s="88"/>
      <c r="R122" s="88"/>
      <c r="S122" s="88"/>
      <c r="T122" s="88"/>
      <c r="U122" s="88"/>
      <c r="V122" s="88"/>
      <c r="W122" s="88"/>
      <c r="X122" s="87"/>
    </row>
    <row r="123" spans="1:24" ht="15.75" x14ac:dyDescent="0.25">
      <c r="A123" s="88"/>
      <c r="B123" s="88"/>
      <c r="C123" s="88"/>
      <c r="D123" s="88"/>
      <c r="E123" s="88"/>
      <c r="F123" s="88"/>
      <c r="G123" s="88"/>
      <c r="H123" s="89"/>
      <c r="I123" s="88"/>
      <c r="J123" s="88"/>
      <c r="K123" s="88"/>
      <c r="L123" s="88"/>
      <c r="M123" s="88"/>
      <c r="N123" s="88"/>
      <c r="O123" s="88"/>
      <c r="P123" s="88"/>
      <c r="Q123" s="88"/>
      <c r="R123" s="88"/>
      <c r="S123" s="88"/>
      <c r="T123" s="88"/>
      <c r="U123" s="88"/>
      <c r="V123" s="88"/>
      <c r="W123" s="88"/>
      <c r="X123" s="87"/>
    </row>
    <row r="124" spans="1:24" ht="15.75" x14ac:dyDescent="0.25">
      <c r="A124" s="88"/>
      <c r="B124" s="88"/>
      <c r="C124" s="88"/>
      <c r="D124" s="88"/>
      <c r="E124" s="88"/>
      <c r="F124" s="88"/>
      <c r="G124" s="88"/>
      <c r="H124" s="89"/>
      <c r="I124" s="88"/>
      <c r="J124" s="88"/>
      <c r="K124" s="88"/>
      <c r="L124" s="88"/>
      <c r="M124" s="88"/>
      <c r="N124" s="88"/>
      <c r="O124" s="88"/>
      <c r="P124" s="88"/>
      <c r="Q124" s="88"/>
      <c r="R124" s="88"/>
      <c r="S124" s="88"/>
      <c r="T124" s="88"/>
      <c r="U124" s="88"/>
      <c r="V124" s="88"/>
      <c r="W124" s="88"/>
      <c r="X124" s="87"/>
    </row>
    <row r="125" spans="1:24" ht="15.75" x14ac:dyDescent="0.25">
      <c r="A125" s="88"/>
      <c r="B125" s="88"/>
      <c r="C125" s="88"/>
      <c r="D125" s="88"/>
      <c r="E125" s="88"/>
      <c r="F125" s="88"/>
      <c r="H125" s="89"/>
      <c r="X125" s="86"/>
    </row>
    <row r="126" spans="1:24" ht="15.75" x14ac:dyDescent="0.25">
      <c r="A126" s="88"/>
      <c r="B126" s="88"/>
      <c r="C126" s="88"/>
      <c r="D126" s="88"/>
      <c r="E126" s="88"/>
      <c r="F126" s="88"/>
      <c r="H126" s="89"/>
      <c r="X126" s="86"/>
    </row>
    <row r="127" spans="1:24" ht="15.75" x14ac:dyDescent="0.25">
      <c r="A127" s="88"/>
      <c r="B127" s="88"/>
      <c r="C127" s="88"/>
      <c r="D127" s="88"/>
      <c r="E127" s="88"/>
      <c r="F127" s="88"/>
      <c r="H127" s="89"/>
      <c r="X127" s="86"/>
    </row>
    <row r="128" spans="1:24" ht="15.75" x14ac:dyDescent="0.25">
      <c r="H128" s="89"/>
      <c r="X128" s="86"/>
    </row>
    <row r="129" spans="8:24" ht="15.75" x14ac:dyDescent="0.25">
      <c r="H129" s="89"/>
      <c r="X129" s="86"/>
    </row>
    <row r="130" spans="8:24" ht="15.75" x14ac:dyDescent="0.25">
      <c r="H130" s="89"/>
      <c r="X130" s="86"/>
    </row>
    <row r="131" spans="8:24" ht="15.75" x14ac:dyDescent="0.25">
      <c r="H131" s="89"/>
      <c r="X131" s="86"/>
    </row>
    <row r="132" spans="8:24" ht="15.75" x14ac:dyDescent="0.25">
      <c r="H132" s="89"/>
      <c r="X132" s="86"/>
    </row>
    <row r="133" spans="8:24" ht="15.75" x14ac:dyDescent="0.25">
      <c r="H133" s="89"/>
      <c r="X133" s="86"/>
    </row>
    <row r="134" spans="8:24" ht="15.75" x14ac:dyDescent="0.25">
      <c r="H134" s="89"/>
      <c r="X134" s="86"/>
    </row>
    <row r="135" spans="8:24" ht="15.75" x14ac:dyDescent="0.25">
      <c r="H135" s="89"/>
      <c r="X135" s="86"/>
    </row>
    <row r="136" spans="8:24" ht="15.75" x14ac:dyDescent="0.25">
      <c r="H136" s="89"/>
      <c r="X136" s="86"/>
    </row>
    <row r="137" spans="8:24" ht="15.75" x14ac:dyDescent="0.25">
      <c r="H137" s="89"/>
      <c r="X137" s="86"/>
    </row>
    <row r="138" spans="8:24" ht="15.75" x14ac:dyDescent="0.25">
      <c r="H138" s="89"/>
      <c r="X138" s="86"/>
    </row>
    <row r="139" spans="8:24" ht="15.75" x14ac:dyDescent="0.25">
      <c r="H139" s="89"/>
      <c r="X139" s="86"/>
    </row>
    <row r="140" spans="8:24" ht="15.75" x14ac:dyDescent="0.25">
      <c r="H140" s="89"/>
      <c r="X140" s="86"/>
    </row>
    <row r="141" spans="8:24" ht="15.75" x14ac:dyDescent="0.25">
      <c r="H141" s="89"/>
      <c r="X141" s="86"/>
    </row>
    <row r="142" spans="8:24" ht="15.75" x14ac:dyDescent="0.25">
      <c r="H142" s="89"/>
      <c r="X142" s="86"/>
    </row>
    <row r="143" spans="8:24" ht="15.75" x14ac:dyDescent="0.25">
      <c r="H143" s="89"/>
      <c r="X143" s="86"/>
    </row>
    <row r="144" spans="8:24" ht="15.75" x14ac:dyDescent="0.25">
      <c r="H144" s="89"/>
      <c r="X144" s="86"/>
    </row>
    <row r="145" spans="8:24" ht="15.75" x14ac:dyDescent="0.25">
      <c r="H145" s="89"/>
      <c r="X145" s="86"/>
    </row>
  </sheetData>
  <mergeCells count="16">
    <mergeCell ref="B59:B62"/>
    <mergeCell ref="D59:D61"/>
    <mergeCell ref="E59:E61"/>
    <mergeCell ref="D62:D66"/>
    <mergeCell ref="B63:B68"/>
    <mergeCell ref="D67:D71"/>
    <mergeCell ref="C68:C69"/>
    <mergeCell ref="B69:B75"/>
    <mergeCell ref="E77:E78"/>
    <mergeCell ref="A79:F79"/>
    <mergeCell ref="C70:C74"/>
    <mergeCell ref="D72:D76"/>
    <mergeCell ref="C75:C76"/>
    <mergeCell ref="B76:B78"/>
    <mergeCell ref="C77:C78"/>
    <mergeCell ref="D77:D78"/>
  </mergeCells>
  <conditionalFormatting sqref="AA5:AT22 AA24:AT45">
    <cfRule type="colorScale" priority="21">
      <colorScale>
        <cfvo type="min"/>
        <cfvo type="percentile" val="50"/>
        <cfvo type="max"/>
        <color rgb="FFF8696B"/>
        <color rgb="FFFFEB84"/>
        <color rgb="FF63BE7B"/>
      </colorScale>
    </cfRule>
  </conditionalFormatting>
  <conditionalFormatting sqref="B3:W22 B24:W48">
    <cfRule type="cellIs" dxfId="11" priority="4" operator="lessThan">
      <formula>6</formula>
    </cfRule>
    <cfRule type="cellIs" dxfId="10" priority="5" operator="greaterThan">
      <formula>7</formula>
    </cfRule>
  </conditionalFormatting>
  <conditionalFormatting sqref="B23:W23">
    <cfRule type="cellIs" dxfId="9" priority="1" operator="lessThan">
      <formula>6</formula>
    </cfRule>
    <cfRule type="cellIs" dxfId="8" priority="2" operator="greaterThan">
      <formula>7</formula>
    </cfRule>
  </conditionalFormatting>
  <conditionalFormatting sqref="AA23:AT23">
    <cfRule type="colorScale" priority="3">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Hoja4">
    <pageSetUpPr fitToPage="1"/>
  </sheetPr>
  <dimension ref="A1:N17"/>
  <sheetViews>
    <sheetView workbookViewId="0">
      <selection activeCell="B27" sqref="B27"/>
    </sheetView>
  </sheetViews>
  <sheetFormatPr baseColWidth="10" defaultColWidth="11.42578125" defaultRowHeight="15" x14ac:dyDescent="0.25"/>
  <cols>
    <col min="1" max="1" width="13.42578125" bestFit="1" customWidth="1"/>
  </cols>
  <sheetData>
    <row r="1" spans="1:14" x14ac:dyDescent="0.25">
      <c r="A1" s="10" t="s">
        <v>15</v>
      </c>
      <c r="B1">
        <v>0</v>
      </c>
      <c r="C1">
        <f>B1</f>
        <v>0</v>
      </c>
      <c r="N1" s="29" t="s">
        <v>50</v>
      </c>
    </row>
    <row r="2" spans="1:14" x14ac:dyDescent="0.25">
      <c r="A2" s="10" t="s">
        <v>16</v>
      </c>
      <c r="B2">
        <v>0</v>
      </c>
      <c r="C2">
        <v>0</v>
      </c>
      <c r="N2" s="29" t="s">
        <v>51</v>
      </c>
    </row>
    <row r="3" spans="1:14" x14ac:dyDescent="0.25">
      <c r="A3" s="10" t="s">
        <v>17</v>
      </c>
      <c r="B3">
        <v>22460</v>
      </c>
      <c r="C3">
        <v>32580</v>
      </c>
      <c r="D3">
        <v>32580</v>
      </c>
      <c r="N3" s="29" t="s">
        <v>52</v>
      </c>
    </row>
    <row r="4" spans="1:14" x14ac:dyDescent="0.25">
      <c r="A4" s="10" t="s">
        <v>18</v>
      </c>
      <c r="B4">
        <v>2235</v>
      </c>
      <c r="C4">
        <f>B4</f>
        <v>2235</v>
      </c>
      <c r="N4" s="29" t="s">
        <v>53</v>
      </c>
    </row>
    <row r="5" spans="1:14" x14ac:dyDescent="0.25">
      <c r="A5" s="10" t="s">
        <v>19</v>
      </c>
      <c r="B5">
        <v>515</v>
      </c>
      <c r="C5">
        <v>515</v>
      </c>
      <c r="N5" s="29" t="s">
        <v>54</v>
      </c>
    </row>
    <row r="6" spans="1:14" x14ac:dyDescent="0.25">
      <c r="A6" s="10" t="s">
        <v>20</v>
      </c>
      <c r="B6">
        <v>405</v>
      </c>
      <c r="C6">
        <v>405</v>
      </c>
      <c r="N6" s="29" t="s">
        <v>55</v>
      </c>
    </row>
    <row r="7" spans="1:14" x14ac:dyDescent="0.25">
      <c r="A7" s="32" t="s">
        <v>46</v>
      </c>
      <c r="B7" s="34">
        <v>8.0000000000000002E-3</v>
      </c>
      <c r="C7" s="113">
        <f>B7</f>
        <v>8.0000000000000002E-3</v>
      </c>
      <c r="N7" s="29" t="s">
        <v>56</v>
      </c>
    </row>
    <row r="8" spans="1:14" x14ac:dyDescent="0.25">
      <c r="N8" s="29" t="s">
        <v>57</v>
      </c>
    </row>
    <row r="9" spans="1:14" x14ac:dyDescent="0.25">
      <c r="A9" s="33" t="s">
        <v>67</v>
      </c>
      <c r="B9" s="31">
        <f>SUM(B1:B6)*(1+B7)</f>
        <v>25819.920000000002</v>
      </c>
      <c r="C9" s="31">
        <f>SUM(C1:C6)*(1+C7)</f>
        <v>36020.879999999997</v>
      </c>
      <c r="N9" s="29" t="s">
        <v>58</v>
      </c>
    </row>
    <row r="10" spans="1:14" x14ac:dyDescent="0.25">
      <c r="A10" s="33" t="s">
        <v>68</v>
      </c>
      <c r="B10" s="31">
        <f>B9*1.2</f>
        <v>30983.904000000002</v>
      </c>
      <c r="C10" s="31">
        <f>C9*1.2</f>
        <v>43225.055999999997</v>
      </c>
      <c r="N10" s="29" t="s">
        <v>59</v>
      </c>
    </row>
    <row r="11" spans="1:14" x14ac:dyDescent="0.25">
      <c r="N11" s="29" t="s">
        <v>60</v>
      </c>
    </row>
    <row r="12" spans="1:14" x14ac:dyDescent="0.25">
      <c r="N12" s="29" t="s">
        <v>61</v>
      </c>
    </row>
    <row r="13" spans="1:14" x14ac:dyDescent="0.25">
      <c r="N13" s="29" t="s">
        <v>62</v>
      </c>
    </row>
    <row r="14" spans="1:14" x14ac:dyDescent="0.25">
      <c r="C14" s="35">
        <f>D3-B3</f>
        <v>10120</v>
      </c>
      <c r="N14" s="29" t="s">
        <v>63</v>
      </c>
    </row>
    <row r="15" spans="1:14" x14ac:dyDescent="0.25">
      <c r="C15">
        <f>(C3-B3)</f>
        <v>10120</v>
      </c>
      <c r="N15" s="29" t="s">
        <v>64</v>
      </c>
    </row>
    <row r="16" spans="1:14" x14ac:dyDescent="0.25">
      <c r="C16" s="114">
        <f>C15/C14</f>
        <v>1</v>
      </c>
      <c r="N16" s="29" t="s">
        <v>65</v>
      </c>
    </row>
    <row r="17" spans="14:14" x14ac:dyDescent="0.25">
      <c r="N17" s="29" t="s">
        <v>66</v>
      </c>
    </row>
  </sheetData>
  <pageMargins left="0.7" right="0.7" top="0.75" bottom="0.75" header="0.3" footer="0.3"/>
  <pageSetup paperSize="9" scale="56"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Hoja2"/>
  <dimension ref="A1:Y24"/>
  <sheetViews>
    <sheetView workbookViewId="0">
      <selection activeCell="N9" sqref="N9"/>
    </sheetView>
  </sheetViews>
  <sheetFormatPr baseColWidth="10" defaultColWidth="11.42578125" defaultRowHeight="15" x14ac:dyDescent="0.25"/>
  <cols>
    <col min="1" max="1" width="11.5703125" bestFit="1" customWidth="1"/>
    <col min="2" max="2" width="9.42578125" bestFit="1" customWidth="1"/>
    <col min="3" max="3" width="4.5703125" customWidth="1"/>
    <col min="4" max="4" width="10.85546875" style="62" bestFit="1" customWidth="1"/>
    <col min="5" max="5" width="10.42578125" style="62" bestFit="1" customWidth="1"/>
    <col min="6" max="6" width="15" style="62" bestFit="1" customWidth="1"/>
    <col min="7" max="7" width="6.7109375" style="62" bestFit="1" customWidth="1"/>
    <col min="8" max="8" width="7.140625" style="62" bestFit="1" customWidth="1"/>
    <col min="9" max="9" width="7.7109375" style="62" bestFit="1" customWidth="1"/>
    <col min="10" max="10" width="9.28515625" style="62" bestFit="1" customWidth="1"/>
    <col min="11" max="11" width="10.42578125" bestFit="1" customWidth="1"/>
    <col min="12" max="12" width="9.85546875" bestFit="1" customWidth="1"/>
    <col min="13" max="13" width="8" bestFit="1" customWidth="1"/>
    <col min="14" max="14" width="8.140625" bestFit="1" customWidth="1"/>
    <col min="15" max="15" width="5" customWidth="1"/>
    <col min="16" max="16" width="5.7109375" bestFit="1" customWidth="1"/>
    <col min="17" max="17" width="17" bestFit="1" customWidth="1"/>
    <col min="18" max="18" width="9.28515625" bestFit="1" customWidth="1"/>
    <col min="19" max="19" width="10.7109375" bestFit="1" customWidth="1"/>
    <col min="20" max="20" width="9.42578125" bestFit="1" customWidth="1"/>
    <col min="21" max="21" width="11" bestFit="1" customWidth="1"/>
    <col min="22" max="22" width="5.28515625" customWidth="1"/>
  </cols>
  <sheetData>
    <row r="1" spans="1:25" s="49" customFormat="1" x14ac:dyDescent="0.25">
      <c r="A1" s="50" t="s">
        <v>99</v>
      </c>
      <c r="B1" s="50" t="s">
        <v>100</v>
      </c>
      <c r="D1" s="63" t="s">
        <v>99</v>
      </c>
      <c r="E1" s="63" t="s">
        <v>113</v>
      </c>
      <c r="F1" s="63" t="s">
        <v>114</v>
      </c>
      <c r="G1" s="63" t="s">
        <v>115</v>
      </c>
      <c r="H1" s="63" t="s">
        <v>116</v>
      </c>
      <c r="I1" s="63" t="s">
        <v>170</v>
      </c>
      <c r="J1" s="63" t="s">
        <v>109</v>
      </c>
      <c r="K1" s="49" t="s">
        <v>171</v>
      </c>
      <c r="L1" s="49" t="s">
        <v>262</v>
      </c>
      <c r="M1" s="49" t="s">
        <v>263</v>
      </c>
      <c r="N1" s="49" t="s">
        <v>264</v>
      </c>
      <c r="P1" s="50" t="s">
        <v>107</v>
      </c>
      <c r="Q1" s="50" t="s">
        <v>108</v>
      </c>
      <c r="R1" s="50" t="s">
        <v>109</v>
      </c>
      <c r="S1" s="50" t="s">
        <v>110</v>
      </c>
      <c r="T1" s="50" t="s">
        <v>111</v>
      </c>
      <c r="U1" s="50" t="s">
        <v>112</v>
      </c>
    </row>
    <row r="2" spans="1:25" x14ac:dyDescent="0.25">
      <c r="A2" s="54" t="s">
        <v>101</v>
      </c>
      <c r="B2" s="55">
        <v>1.0529999999999999</v>
      </c>
      <c r="D2" s="153">
        <v>1</v>
      </c>
      <c r="E2" s="153">
        <v>1</v>
      </c>
      <c r="F2" s="153">
        <v>0</v>
      </c>
      <c r="G2" s="153">
        <v>0.3</v>
      </c>
      <c r="H2" s="154">
        <f t="shared" ref="H2:H9" si="0">D2+F2-G2</f>
        <v>0.7</v>
      </c>
      <c r="I2" s="122">
        <v>5</v>
      </c>
      <c r="J2" s="122">
        <f>40-37.5+0</f>
        <v>2.5</v>
      </c>
      <c r="K2" s="155">
        <f>16320*3</f>
        <v>48960</v>
      </c>
      <c r="L2" s="156">
        <f t="shared" ref="L2:L9" si="1">H2-$H$4</f>
        <v>-0.48799999999999999</v>
      </c>
      <c r="M2" s="157">
        <f t="shared" ref="M2:M9" si="2">L2*16</f>
        <v>-7.8079999999999998</v>
      </c>
      <c r="N2" s="158">
        <f t="shared" ref="N2:N9" si="3">M2*7</f>
        <v>-54.655999999999999</v>
      </c>
      <c r="O2" s="49"/>
      <c r="P2" s="51">
        <v>10</v>
      </c>
      <c r="Q2" s="52">
        <v>35</v>
      </c>
      <c r="R2" s="52">
        <v>25</v>
      </c>
      <c r="S2" s="53">
        <v>0.33333333333333331</v>
      </c>
      <c r="T2" s="58">
        <v>32640.000000000004</v>
      </c>
      <c r="U2" s="57">
        <v>3264.0000000000005</v>
      </c>
      <c r="W2" s="49"/>
      <c r="X2" s="49"/>
      <c r="Y2" s="49"/>
    </row>
    <row r="3" spans="1:25" x14ac:dyDescent="0.25">
      <c r="A3" s="54" t="s">
        <v>102</v>
      </c>
      <c r="B3" s="56">
        <v>1</v>
      </c>
      <c r="D3" s="146">
        <v>1.0529999999999999</v>
      </c>
      <c r="E3" s="143">
        <v>1</v>
      </c>
      <c r="F3" s="146">
        <v>0.17499999999999999</v>
      </c>
      <c r="G3" s="143">
        <v>0.3</v>
      </c>
      <c r="H3" s="149">
        <f t="shared" si="0"/>
        <v>0.92799999999999994</v>
      </c>
      <c r="I3" s="144">
        <v>5</v>
      </c>
      <c r="J3" s="144">
        <f>40-37.5+25</f>
        <v>27.5</v>
      </c>
      <c r="K3" s="145">
        <f t="shared" ref="K3:K12" si="4">16320*3</f>
        <v>48960</v>
      </c>
      <c r="L3" s="150">
        <f t="shared" si="1"/>
        <v>-0.26</v>
      </c>
      <c r="M3" s="151">
        <f t="shared" si="2"/>
        <v>-4.16</v>
      </c>
      <c r="N3" s="152">
        <f t="shared" si="3"/>
        <v>-29.12</v>
      </c>
      <c r="O3" s="49"/>
      <c r="P3" s="51">
        <v>9</v>
      </c>
      <c r="Q3" s="52">
        <v>31.5</v>
      </c>
      <c r="R3" s="52">
        <v>22.5</v>
      </c>
      <c r="S3" s="53">
        <v>0.3</v>
      </c>
      <c r="T3" s="58">
        <v>24480</v>
      </c>
      <c r="U3" s="57">
        <v>2720</v>
      </c>
      <c r="W3" s="49"/>
      <c r="X3" s="49"/>
      <c r="Y3" s="49"/>
    </row>
    <row r="4" spans="1:25" x14ac:dyDescent="0.25">
      <c r="A4" s="54" t="s">
        <v>103</v>
      </c>
      <c r="B4" s="55">
        <v>0.90900000000000003</v>
      </c>
      <c r="D4" s="159">
        <v>1</v>
      </c>
      <c r="E4" s="159">
        <v>1</v>
      </c>
      <c r="F4" s="160">
        <v>0.28799999999999998</v>
      </c>
      <c r="G4" s="159">
        <v>0.1</v>
      </c>
      <c r="H4" s="161">
        <f t="shared" si="0"/>
        <v>1.1879999999999999</v>
      </c>
      <c r="I4" s="162">
        <v>5</v>
      </c>
      <c r="J4" s="162">
        <f t="shared" ref="J4:J9" si="5">40-37.5+25</f>
        <v>27.5</v>
      </c>
      <c r="K4" s="163">
        <f t="shared" si="4"/>
        <v>48960</v>
      </c>
      <c r="L4" s="164">
        <f t="shared" si="1"/>
        <v>0</v>
      </c>
      <c r="M4" s="165">
        <f t="shared" si="2"/>
        <v>0</v>
      </c>
      <c r="N4" s="166">
        <f t="shared" si="3"/>
        <v>0</v>
      </c>
      <c r="O4" s="49"/>
      <c r="P4" s="51">
        <v>8</v>
      </c>
      <c r="Q4" s="52">
        <v>28</v>
      </c>
      <c r="R4" s="52">
        <v>20</v>
      </c>
      <c r="S4" s="53">
        <v>0.26666666666666666</v>
      </c>
      <c r="T4" s="58">
        <v>16320.000000000002</v>
      </c>
      <c r="U4" s="57">
        <v>2040.0000000000002</v>
      </c>
      <c r="W4" s="49"/>
      <c r="X4" s="49"/>
      <c r="Y4" s="49"/>
    </row>
    <row r="5" spans="1:25" x14ac:dyDescent="0.25">
      <c r="A5" s="54" t="s">
        <v>104</v>
      </c>
      <c r="B5" s="55">
        <v>0.83299999999999996</v>
      </c>
      <c r="D5" s="64">
        <v>1</v>
      </c>
      <c r="E5" s="64">
        <v>1</v>
      </c>
      <c r="F5" s="142">
        <v>0.17499999999999999</v>
      </c>
      <c r="G5" s="64">
        <v>0.3</v>
      </c>
      <c r="H5" s="147">
        <f t="shared" si="0"/>
        <v>0.875</v>
      </c>
      <c r="I5" s="141">
        <v>5</v>
      </c>
      <c r="J5" s="141">
        <f t="shared" si="5"/>
        <v>27.5</v>
      </c>
      <c r="K5" s="65">
        <f t="shared" si="4"/>
        <v>48960</v>
      </c>
      <c r="L5" s="148">
        <f t="shared" si="1"/>
        <v>-0.31299999999999994</v>
      </c>
      <c r="M5" s="35">
        <f t="shared" si="2"/>
        <v>-5.0079999999999991</v>
      </c>
      <c r="N5" s="30">
        <f t="shared" si="3"/>
        <v>-35.055999999999997</v>
      </c>
      <c r="O5" s="49"/>
      <c r="P5" s="51">
        <v>7</v>
      </c>
      <c r="Q5" s="52">
        <v>24.5</v>
      </c>
      <c r="R5" s="52">
        <v>17.5</v>
      </c>
      <c r="S5" s="53">
        <v>0.23333333333333334</v>
      </c>
      <c r="T5" s="58">
        <v>12240</v>
      </c>
      <c r="U5" s="57">
        <v>1748.5714285714287</v>
      </c>
      <c r="W5" s="49"/>
      <c r="X5" s="49"/>
      <c r="Y5" s="49"/>
    </row>
    <row r="6" spans="1:25" x14ac:dyDescent="0.25">
      <c r="A6" s="54" t="s">
        <v>105</v>
      </c>
      <c r="B6" s="55">
        <v>0.76900000000000002</v>
      </c>
      <c r="D6" s="142">
        <v>1.0529999999999999</v>
      </c>
      <c r="E6" s="64">
        <v>1</v>
      </c>
      <c r="F6" s="64">
        <v>0.35</v>
      </c>
      <c r="G6" s="64">
        <v>0.05</v>
      </c>
      <c r="H6" s="147">
        <f t="shared" si="0"/>
        <v>1.353</v>
      </c>
      <c r="I6" s="141">
        <v>5</v>
      </c>
      <c r="J6" s="141">
        <f t="shared" si="5"/>
        <v>27.5</v>
      </c>
      <c r="K6" s="65">
        <f t="shared" si="4"/>
        <v>48960</v>
      </c>
      <c r="L6" s="148">
        <f t="shared" si="1"/>
        <v>0.16500000000000004</v>
      </c>
      <c r="M6" s="35">
        <f t="shared" si="2"/>
        <v>2.6400000000000006</v>
      </c>
      <c r="N6" s="30">
        <f t="shared" si="3"/>
        <v>18.480000000000004</v>
      </c>
      <c r="O6" s="49"/>
      <c r="P6" s="51">
        <v>6</v>
      </c>
      <c r="Q6" s="52">
        <v>21</v>
      </c>
      <c r="R6" s="52">
        <v>15</v>
      </c>
      <c r="S6" s="53">
        <v>0.2</v>
      </c>
      <c r="T6" s="58">
        <v>8160.0000000000009</v>
      </c>
      <c r="U6" s="57">
        <v>1360.0000000000002</v>
      </c>
      <c r="W6" s="49"/>
      <c r="X6" s="49"/>
      <c r="Y6" s="49"/>
    </row>
    <row r="7" spans="1:25" x14ac:dyDescent="0.25">
      <c r="A7" s="54" t="s">
        <v>106</v>
      </c>
      <c r="B7" s="55">
        <v>0.71399999999999997</v>
      </c>
      <c r="D7" s="64">
        <v>1</v>
      </c>
      <c r="E7" s="64">
        <v>1</v>
      </c>
      <c r="F7" s="64">
        <v>0.35</v>
      </c>
      <c r="G7" s="64">
        <v>0.1</v>
      </c>
      <c r="H7" s="147">
        <f t="shared" si="0"/>
        <v>1.25</v>
      </c>
      <c r="I7" s="141">
        <v>5</v>
      </c>
      <c r="J7" s="141">
        <f t="shared" si="5"/>
        <v>27.5</v>
      </c>
      <c r="K7" s="65">
        <f t="shared" si="4"/>
        <v>48960</v>
      </c>
      <c r="L7" s="148">
        <f t="shared" si="1"/>
        <v>6.2000000000000055E-2</v>
      </c>
      <c r="M7" s="35">
        <f t="shared" si="2"/>
        <v>0.99200000000000088</v>
      </c>
      <c r="N7" s="30">
        <f t="shared" si="3"/>
        <v>6.9440000000000062</v>
      </c>
      <c r="O7" s="49"/>
      <c r="P7" s="51">
        <v>5</v>
      </c>
      <c r="Q7" s="52">
        <v>17.5</v>
      </c>
      <c r="R7" s="52">
        <v>12.5</v>
      </c>
      <c r="S7" s="53">
        <v>0.16666666666666666</v>
      </c>
      <c r="T7" s="58">
        <v>16320.000000000002</v>
      </c>
      <c r="U7" s="57">
        <v>3264.0000000000005</v>
      </c>
      <c r="W7" s="49"/>
      <c r="X7" s="49"/>
      <c r="Y7" s="49"/>
    </row>
    <row r="8" spans="1:25" x14ac:dyDescent="0.25">
      <c r="D8" s="142">
        <v>1.0529999999999999</v>
      </c>
      <c r="E8" s="64">
        <v>1</v>
      </c>
      <c r="F8" s="64">
        <v>0.35</v>
      </c>
      <c r="G8" s="64">
        <v>0.1</v>
      </c>
      <c r="H8" s="147">
        <f t="shared" si="0"/>
        <v>1.3029999999999999</v>
      </c>
      <c r="I8" s="141">
        <v>5</v>
      </c>
      <c r="J8" s="141">
        <f t="shared" si="5"/>
        <v>27.5</v>
      </c>
      <c r="K8" s="65">
        <f t="shared" si="4"/>
        <v>48960</v>
      </c>
      <c r="L8" s="148">
        <f t="shared" si="1"/>
        <v>0.11499999999999999</v>
      </c>
      <c r="M8" s="35">
        <f t="shared" si="2"/>
        <v>1.8399999999999999</v>
      </c>
      <c r="N8" s="30">
        <f t="shared" si="3"/>
        <v>12.879999999999999</v>
      </c>
      <c r="O8" s="49"/>
      <c r="P8" s="51">
        <v>4</v>
      </c>
      <c r="Q8" s="52">
        <v>14</v>
      </c>
      <c r="R8" s="52">
        <v>10</v>
      </c>
      <c r="S8" s="53">
        <v>0.13333333333333333</v>
      </c>
      <c r="T8" s="58">
        <v>8160.0000000000009</v>
      </c>
      <c r="U8" s="57">
        <v>2040.0000000000002</v>
      </c>
      <c r="W8" s="49"/>
      <c r="X8" s="49"/>
      <c r="Y8" s="49"/>
    </row>
    <row r="9" spans="1:25" x14ac:dyDescent="0.25">
      <c r="D9" s="64">
        <v>1</v>
      </c>
      <c r="E9" s="64">
        <v>1</v>
      </c>
      <c r="F9" s="64">
        <v>0.35</v>
      </c>
      <c r="G9" s="64">
        <v>0.05</v>
      </c>
      <c r="H9" s="147">
        <f t="shared" si="0"/>
        <v>1.3</v>
      </c>
      <c r="I9" s="167">
        <v>5</v>
      </c>
      <c r="J9" s="167">
        <f t="shared" si="5"/>
        <v>27.5</v>
      </c>
      <c r="K9" s="65">
        <f t="shared" si="4"/>
        <v>48960</v>
      </c>
      <c r="L9" s="148">
        <f t="shared" si="1"/>
        <v>0.1120000000000001</v>
      </c>
      <c r="M9" s="35">
        <f t="shared" si="2"/>
        <v>1.7920000000000016</v>
      </c>
      <c r="N9" s="30">
        <f t="shared" si="3"/>
        <v>12.544000000000011</v>
      </c>
      <c r="O9" s="49"/>
      <c r="P9" s="51">
        <v>3</v>
      </c>
      <c r="Q9" s="52">
        <v>10.5</v>
      </c>
      <c r="R9" s="52">
        <v>7.5</v>
      </c>
      <c r="S9" s="53">
        <v>0.1</v>
      </c>
      <c r="T9" s="58">
        <v>4080.0000000000005</v>
      </c>
      <c r="U9" s="57">
        <v>1360.0000000000002</v>
      </c>
      <c r="W9" s="49"/>
      <c r="X9" s="49"/>
      <c r="Y9" s="49"/>
    </row>
    <row r="10" spans="1:25" x14ac:dyDescent="0.25">
      <c r="D10" s="141"/>
      <c r="E10" s="64"/>
      <c r="F10" s="141"/>
      <c r="G10" s="64"/>
      <c r="H10" s="147"/>
      <c r="I10" s="141">
        <v>5</v>
      </c>
      <c r="J10" s="141">
        <f>40-37.5+25</f>
        <v>27.5</v>
      </c>
      <c r="K10" s="65">
        <f t="shared" si="4"/>
        <v>48960</v>
      </c>
      <c r="P10" s="51">
        <v>2</v>
      </c>
      <c r="Q10" s="52">
        <v>7</v>
      </c>
      <c r="R10" s="52">
        <v>5</v>
      </c>
      <c r="S10" s="53">
        <v>6.6666666666666666E-2</v>
      </c>
      <c r="T10" s="58">
        <v>2040.0000000000002</v>
      </c>
      <c r="U10" s="57">
        <v>1020.0000000000001</v>
      </c>
    </row>
    <row r="11" spans="1:25" x14ac:dyDescent="0.25">
      <c r="D11" s="141"/>
      <c r="E11" s="64"/>
      <c r="F11" s="141"/>
      <c r="G11" s="64"/>
      <c r="H11" s="147"/>
      <c r="I11" s="141">
        <v>5</v>
      </c>
      <c r="J11" s="141">
        <f>40-37.5+25</f>
        <v>27.5</v>
      </c>
      <c r="K11" s="65">
        <f t="shared" si="4"/>
        <v>48960</v>
      </c>
      <c r="P11" s="51">
        <v>1</v>
      </c>
      <c r="Q11" s="52">
        <v>3.5</v>
      </c>
      <c r="R11" s="52">
        <v>2.5</v>
      </c>
      <c r="S11" s="53">
        <v>3.3333333333333333E-2</v>
      </c>
      <c r="T11" s="58">
        <v>1020.0000000000001</v>
      </c>
      <c r="U11" s="57">
        <v>1020.0000000000001</v>
      </c>
    </row>
    <row r="12" spans="1:25" x14ac:dyDescent="0.25">
      <c r="D12" s="141"/>
      <c r="E12" s="64"/>
      <c r="F12" s="141"/>
      <c r="G12" s="64"/>
      <c r="H12" s="147"/>
      <c r="I12" s="141">
        <v>5</v>
      </c>
      <c r="J12" s="141">
        <f>40-37.5+25</f>
        <v>27.5</v>
      </c>
      <c r="K12" s="65">
        <f t="shared" si="4"/>
        <v>48960</v>
      </c>
    </row>
    <row r="14" spans="1:25" x14ac:dyDescent="0.25">
      <c r="H14" s="37"/>
      <c r="P14" s="50" t="s">
        <v>107</v>
      </c>
      <c r="Q14" s="50" t="s">
        <v>108</v>
      </c>
      <c r="R14" s="50" t="s">
        <v>109</v>
      </c>
      <c r="S14" s="50" t="s">
        <v>110</v>
      </c>
      <c r="T14" s="50" t="s">
        <v>111</v>
      </c>
      <c r="U14" s="50" t="s">
        <v>112</v>
      </c>
    </row>
    <row r="15" spans="1:25" x14ac:dyDescent="0.25">
      <c r="G15" s="44"/>
      <c r="P15" s="54">
        <v>15</v>
      </c>
      <c r="Q15" s="59">
        <v>48</v>
      </c>
      <c r="R15" s="59">
        <v>37.5</v>
      </c>
      <c r="S15" s="60">
        <v>0.5</v>
      </c>
      <c r="T15" s="61">
        <v>72000</v>
      </c>
      <c r="U15" s="61">
        <v>4800</v>
      </c>
    </row>
    <row r="16" spans="1:25" x14ac:dyDescent="0.25">
      <c r="H16" s="37"/>
      <c r="J16" s="37"/>
      <c r="K16" s="37"/>
      <c r="P16" s="54">
        <v>12</v>
      </c>
      <c r="Q16" s="59">
        <v>38.400000000000006</v>
      </c>
      <c r="R16" s="59">
        <v>30</v>
      </c>
      <c r="S16" s="60">
        <v>0.4</v>
      </c>
      <c r="T16" s="61">
        <v>36000</v>
      </c>
      <c r="U16" s="61">
        <v>3000</v>
      </c>
    </row>
    <row r="17" spans="2:21" x14ac:dyDescent="0.25">
      <c r="G17" s="141"/>
      <c r="H17" s="37"/>
      <c r="I17" s="141"/>
      <c r="J17" s="37"/>
      <c r="K17" s="37"/>
      <c r="P17" s="54">
        <v>10</v>
      </c>
      <c r="Q17" s="54">
        <f>3.2*10</f>
        <v>32</v>
      </c>
      <c r="R17" s="59">
        <f>30/12*10</f>
        <v>25</v>
      </c>
      <c r="S17" s="60">
        <f>0.4/12*10</f>
        <v>0.33333333333333331</v>
      </c>
      <c r="T17" s="61">
        <v>48000</v>
      </c>
      <c r="U17" s="61">
        <f>T17/P17</f>
        <v>4800</v>
      </c>
    </row>
    <row r="18" spans="2:21" x14ac:dyDescent="0.25">
      <c r="G18" s="141"/>
      <c r="H18" s="37"/>
      <c r="I18" s="141"/>
      <c r="J18" s="37"/>
      <c r="K18" s="37"/>
      <c r="P18" s="54">
        <v>8</v>
      </c>
      <c r="Q18" s="54">
        <f>3.2*8</f>
        <v>25.6</v>
      </c>
      <c r="R18" s="59">
        <f>30/12*8</f>
        <v>20</v>
      </c>
      <c r="S18" s="60">
        <f>0.4/12*8</f>
        <v>0.26666666666666666</v>
      </c>
      <c r="T18" s="61">
        <v>24000</v>
      </c>
      <c r="U18" s="61">
        <f>T18/P18</f>
        <v>3000</v>
      </c>
    </row>
    <row r="19" spans="2:21" x14ac:dyDescent="0.25">
      <c r="G19" s="141"/>
      <c r="H19" s="37"/>
      <c r="I19" s="141"/>
      <c r="J19" s="37"/>
      <c r="K19" s="37"/>
    </row>
    <row r="20" spans="2:21" x14ac:dyDescent="0.25">
      <c r="G20" s="141"/>
      <c r="H20" s="37"/>
      <c r="I20" s="141"/>
      <c r="J20" s="37"/>
      <c r="K20" s="37"/>
    </row>
    <row r="23" spans="2:21" x14ac:dyDescent="0.25">
      <c r="J23" s="141"/>
    </row>
    <row r="24" spans="2:21" x14ac:dyDescent="0.25">
      <c r="B24" s="35"/>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tint="-0.499984740745262"/>
  </sheetPr>
  <dimension ref="A1:U76"/>
  <sheetViews>
    <sheetView zoomScale="90" zoomScaleNormal="90" workbookViewId="0">
      <pane ySplit="1" topLeftCell="A2" activePane="bottomLeft" state="frozen"/>
      <selection pane="bottomLeft" activeCell="F11" sqref="F11"/>
    </sheetView>
  </sheetViews>
  <sheetFormatPr baseColWidth="10" defaultColWidth="11.42578125" defaultRowHeight="15" x14ac:dyDescent="0.25"/>
  <cols>
    <col min="1" max="1" width="17.140625" bestFit="1" customWidth="1"/>
    <col min="2" max="3" width="17.7109375" bestFit="1" customWidth="1"/>
    <col min="4" max="4" width="20.85546875" bestFit="1" customWidth="1"/>
    <col min="5" max="5" width="3.140625" customWidth="1"/>
    <col min="6" max="6" width="38.7109375" bestFit="1" customWidth="1"/>
    <col min="7" max="7" width="5.7109375" bestFit="1" customWidth="1"/>
    <col min="8" max="8" width="5.28515625" bestFit="1" customWidth="1"/>
    <col min="9" max="9" width="4.5703125" bestFit="1" customWidth="1"/>
    <col min="10" max="10" width="4.140625" bestFit="1" customWidth="1"/>
    <col min="11" max="11" width="10" bestFit="1" customWidth="1"/>
    <col min="12" max="12" width="12.7109375" bestFit="1" customWidth="1"/>
    <col min="13" max="13" width="5.28515625" bestFit="1" customWidth="1"/>
    <col min="14" max="14" width="17.5703125" bestFit="1" customWidth="1"/>
    <col min="15" max="15" width="21.28515625" bestFit="1" customWidth="1"/>
    <col min="16" max="16" width="9.7109375" bestFit="1" customWidth="1"/>
    <col min="17" max="18" width="13.5703125" bestFit="1" customWidth="1"/>
    <col min="19" max="19" width="17.140625" bestFit="1" customWidth="1"/>
    <col min="20" max="20" width="9.7109375" bestFit="1" customWidth="1"/>
    <col min="21" max="21" width="13.5703125" bestFit="1" customWidth="1"/>
  </cols>
  <sheetData>
    <row r="1" spans="1:21" ht="19.5" x14ac:dyDescent="0.25">
      <c r="A1" s="238" t="s">
        <v>196</v>
      </c>
      <c r="B1" s="238"/>
      <c r="C1" s="238"/>
      <c r="D1" s="238"/>
      <c r="F1" s="10" t="s">
        <v>3</v>
      </c>
      <c r="G1" s="10" t="s">
        <v>4</v>
      </c>
      <c r="H1" s="10" t="s">
        <v>5</v>
      </c>
      <c r="I1" s="32" t="s">
        <v>85</v>
      </c>
      <c r="J1" s="32" t="s">
        <v>7</v>
      </c>
      <c r="K1" s="32" t="s">
        <v>67</v>
      </c>
      <c r="L1" s="32" t="s">
        <v>181</v>
      </c>
      <c r="M1" s="32" t="s">
        <v>261</v>
      </c>
      <c r="N1" s="127" t="s">
        <v>182</v>
      </c>
      <c r="O1" s="127" t="s">
        <v>183</v>
      </c>
      <c r="P1" s="127" t="s">
        <v>256</v>
      </c>
      <c r="Q1" s="127" t="s">
        <v>117</v>
      </c>
      <c r="R1" s="128" t="s">
        <v>184</v>
      </c>
      <c r="S1" s="128" t="s">
        <v>185</v>
      </c>
      <c r="T1" s="128" t="s">
        <v>256</v>
      </c>
      <c r="U1" s="128" t="s">
        <v>117</v>
      </c>
    </row>
    <row r="2" spans="1:21" x14ac:dyDescent="0.25">
      <c r="A2" s="239" t="s">
        <v>197</v>
      </c>
      <c r="B2" s="240" t="s">
        <v>198</v>
      </c>
      <c r="C2" s="240" t="s">
        <v>199</v>
      </c>
      <c r="D2" s="240" t="s">
        <v>200</v>
      </c>
      <c r="F2" s="184" t="s">
        <v>307</v>
      </c>
      <c r="G2">
        <v>36</v>
      </c>
      <c r="H2">
        <v>92</v>
      </c>
      <c r="I2" s="108">
        <v>14.3</v>
      </c>
      <c r="J2" s="109">
        <v>4</v>
      </c>
      <c r="K2" s="67">
        <v>2448</v>
      </c>
      <c r="L2" s="67">
        <v>1000</v>
      </c>
      <c r="M2" s="123">
        <v>3</v>
      </c>
      <c r="N2" s="67">
        <v>325000</v>
      </c>
      <c r="O2" s="67">
        <f>L2+N2</f>
        <v>326000</v>
      </c>
      <c r="P2" s="129">
        <v>6.5</v>
      </c>
      <c r="Q2" s="140">
        <f>O2/P2</f>
        <v>50153.846153846156</v>
      </c>
      <c r="R2" s="67">
        <v>2375000</v>
      </c>
      <c r="S2" s="67">
        <f>R2+L2</f>
        <v>2376000</v>
      </c>
      <c r="T2" s="130">
        <f>P2</f>
        <v>6.5</v>
      </c>
      <c r="U2" s="140">
        <f>S2/T2</f>
        <v>365538.46153846156</v>
      </c>
    </row>
    <row r="3" spans="1:21" x14ac:dyDescent="0.25">
      <c r="A3" s="239"/>
      <c r="B3" s="240"/>
      <c r="C3" s="240"/>
      <c r="D3" s="240"/>
      <c r="F3" s="184" t="s">
        <v>308</v>
      </c>
      <c r="G3">
        <v>40</v>
      </c>
      <c r="H3">
        <v>26</v>
      </c>
      <c r="I3" s="108">
        <v>14.1</v>
      </c>
      <c r="J3" s="109">
        <v>5</v>
      </c>
      <c r="K3" s="67">
        <v>468</v>
      </c>
      <c r="L3" s="67">
        <v>410000</v>
      </c>
      <c r="M3" s="123">
        <v>3</v>
      </c>
      <c r="N3" s="67">
        <v>335000</v>
      </c>
      <c r="O3" s="67">
        <f>L3+N3</f>
        <v>745000</v>
      </c>
      <c r="P3" s="129">
        <v>8</v>
      </c>
      <c r="Q3" s="140">
        <f>O3/P3</f>
        <v>93125</v>
      </c>
      <c r="R3" s="67">
        <v>2390000</v>
      </c>
      <c r="S3" s="67">
        <f>R3+L3</f>
        <v>2800000</v>
      </c>
      <c r="T3" s="130">
        <f>P3</f>
        <v>8</v>
      </c>
      <c r="U3" s="140">
        <f>S3/T3</f>
        <v>350000</v>
      </c>
    </row>
    <row r="4" spans="1:21" x14ac:dyDescent="0.25">
      <c r="A4" s="136" t="s">
        <v>198</v>
      </c>
      <c r="B4" s="137" t="s">
        <v>201</v>
      </c>
      <c r="C4" s="137" t="s">
        <v>202</v>
      </c>
      <c r="D4" s="137" t="s">
        <v>202</v>
      </c>
      <c r="F4" s="184" t="s">
        <v>309</v>
      </c>
      <c r="G4">
        <v>35</v>
      </c>
      <c r="H4">
        <v>85</v>
      </c>
      <c r="I4" s="108">
        <v>18.2</v>
      </c>
      <c r="J4" s="109">
        <v>4</v>
      </c>
      <c r="K4" s="67">
        <v>14808</v>
      </c>
      <c r="L4" s="67">
        <v>1245000</v>
      </c>
      <c r="M4" s="123">
        <v>3</v>
      </c>
      <c r="N4" s="67">
        <v>259000</v>
      </c>
      <c r="O4" s="67">
        <f>L4+N4</f>
        <v>1504000</v>
      </c>
      <c r="P4" s="129">
        <v>6.5</v>
      </c>
      <c r="Q4" s="140">
        <f>O4/P4</f>
        <v>231384.61538461538</v>
      </c>
      <c r="R4" s="67">
        <v>1850000</v>
      </c>
      <c r="S4" s="67">
        <f>R4+L4</f>
        <v>3095000</v>
      </c>
      <c r="T4" s="130">
        <f>P4</f>
        <v>6.5</v>
      </c>
      <c r="U4" s="140">
        <f>S4/T4</f>
        <v>476153.84615384613</v>
      </c>
    </row>
    <row r="5" spans="1:21" x14ac:dyDescent="0.25">
      <c r="A5" s="138" t="s">
        <v>199</v>
      </c>
      <c r="B5" s="139" t="s">
        <v>203</v>
      </c>
      <c r="C5" s="139" t="s">
        <v>204</v>
      </c>
      <c r="D5" s="139" t="s">
        <v>202</v>
      </c>
      <c r="F5" s="184" t="s">
        <v>310</v>
      </c>
      <c r="G5">
        <v>36</v>
      </c>
      <c r="H5">
        <v>97</v>
      </c>
      <c r="I5" s="108">
        <v>14</v>
      </c>
      <c r="J5" s="109">
        <v>5</v>
      </c>
      <c r="K5" s="67">
        <v>4956</v>
      </c>
      <c r="L5" s="67">
        <v>405000</v>
      </c>
      <c r="M5" s="123">
        <v>3</v>
      </c>
      <c r="N5" s="131">
        <v>337500</v>
      </c>
      <c r="O5" s="67">
        <f>L5+N5</f>
        <v>742500</v>
      </c>
      <c r="P5" s="129">
        <v>8</v>
      </c>
      <c r="Q5" s="140">
        <f>O5/P5</f>
        <v>92812.5</v>
      </c>
      <c r="R5" s="67">
        <v>2400000</v>
      </c>
      <c r="S5" s="67">
        <f>R5+L5</f>
        <v>2805000</v>
      </c>
      <c r="T5" s="130">
        <f>P5</f>
        <v>8</v>
      </c>
      <c r="U5" s="140">
        <f>S5/T5</f>
        <v>350625</v>
      </c>
    </row>
    <row r="6" spans="1:21" x14ac:dyDescent="0.25">
      <c r="A6" s="136" t="s">
        <v>200</v>
      </c>
      <c r="B6" s="137" t="s">
        <v>205</v>
      </c>
      <c r="C6" s="137" t="s">
        <v>206</v>
      </c>
      <c r="D6" s="137" t="s">
        <v>207</v>
      </c>
      <c r="F6" s="184" t="s">
        <v>312</v>
      </c>
      <c r="G6">
        <v>40</v>
      </c>
      <c r="H6">
        <v>71</v>
      </c>
      <c r="I6" s="108">
        <v>15.3</v>
      </c>
      <c r="J6" s="109">
        <v>5</v>
      </c>
      <c r="K6" s="67">
        <v>840</v>
      </c>
      <c r="L6" s="67">
        <v>325000</v>
      </c>
      <c r="M6" s="123">
        <v>3</v>
      </c>
      <c r="N6" s="67">
        <v>305000</v>
      </c>
      <c r="O6" s="67">
        <f>L6+N6</f>
        <v>630000</v>
      </c>
      <c r="P6" s="129">
        <v>8</v>
      </c>
      <c r="Q6" s="140">
        <f>O6/P6</f>
        <v>78750</v>
      </c>
      <c r="R6" s="67">
        <v>2200000</v>
      </c>
      <c r="S6" s="67">
        <f>R6+L6</f>
        <v>2525000</v>
      </c>
      <c r="T6" s="130">
        <f>P6</f>
        <v>8</v>
      </c>
      <c r="U6" s="140">
        <f>S6/T6</f>
        <v>315625</v>
      </c>
    </row>
    <row r="7" spans="1:21" x14ac:dyDescent="0.25">
      <c r="A7" s="138" t="s">
        <v>208</v>
      </c>
      <c r="B7" s="139" t="s">
        <v>209</v>
      </c>
      <c r="C7" s="139" t="s">
        <v>210</v>
      </c>
      <c r="D7" s="139" t="s">
        <v>211</v>
      </c>
      <c r="I7" s="108">
        <v>0</v>
      </c>
      <c r="J7" s="109">
        <v>0</v>
      </c>
      <c r="K7" s="67"/>
      <c r="L7" s="67"/>
      <c r="M7" s="123">
        <v>3</v>
      </c>
      <c r="N7" s="67"/>
      <c r="O7" s="67">
        <f t="shared" ref="O7:O14" si="0">L7+N7</f>
        <v>0</v>
      </c>
      <c r="P7" s="129">
        <v>9</v>
      </c>
      <c r="Q7" s="140">
        <f t="shared" ref="Q7:Q14" si="1">O7/P7</f>
        <v>0</v>
      </c>
      <c r="R7" s="67"/>
      <c r="S7" s="67">
        <f t="shared" ref="S7:S14" si="2">R7+L7</f>
        <v>0</v>
      </c>
      <c r="T7" s="130">
        <f t="shared" ref="T7:T14" si="3">P7</f>
        <v>9</v>
      </c>
      <c r="U7" s="140">
        <f t="shared" ref="U7:U14" si="4">S7/T7</f>
        <v>0</v>
      </c>
    </row>
    <row r="8" spans="1:21" x14ac:dyDescent="0.25">
      <c r="A8" s="136" t="s">
        <v>212</v>
      </c>
      <c r="B8" s="137" t="s">
        <v>213</v>
      </c>
      <c r="C8" s="137" t="s">
        <v>214</v>
      </c>
      <c r="D8" s="137" t="s">
        <v>215</v>
      </c>
      <c r="F8" s="184" t="s">
        <v>311</v>
      </c>
      <c r="G8">
        <v>38</v>
      </c>
      <c r="H8">
        <v>105</v>
      </c>
      <c r="I8" s="108">
        <v>17.8</v>
      </c>
      <c r="J8" s="109">
        <v>4</v>
      </c>
      <c r="K8" s="67">
        <v>1080</v>
      </c>
      <c r="L8" s="67">
        <v>320000</v>
      </c>
      <c r="M8" s="123">
        <v>3</v>
      </c>
      <c r="N8" s="67">
        <v>269000</v>
      </c>
      <c r="O8" s="67">
        <f t="shared" si="0"/>
        <v>589000</v>
      </c>
      <c r="P8" s="129">
        <v>6.5</v>
      </c>
      <c r="Q8" s="140">
        <f t="shared" si="1"/>
        <v>90615.38461538461</v>
      </c>
      <c r="R8" s="67">
        <v>1900000</v>
      </c>
      <c r="S8" s="67">
        <f t="shared" si="2"/>
        <v>2220000</v>
      </c>
      <c r="T8" s="130">
        <f t="shared" si="3"/>
        <v>6.5</v>
      </c>
      <c r="U8" s="140">
        <f t="shared" si="4"/>
        <v>341538.46153846156</v>
      </c>
    </row>
    <row r="9" spans="1:21" x14ac:dyDescent="0.25">
      <c r="A9" s="138" t="s">
        <v>216</v>
      </c>
      <c r="B9" s="139" t="s">
        <v>217</v>
      </c>
      <c r="C9" s="139" t="s">
        <v>218</v>
      </c>
      <c r="D9" s="139" t="s">
        <v>219</v>
      </c>
      <c r="F9" s="184" t="s">
        <v>313</v>
      </c>
      <c r="G9">
        <v>40</v>
      </c>
      <c r="H9">
        <v>43</v>
      </c>
      <c r="I9" s="108">
        <v>33.4</v>
      </c>
      <c r="J9" s="109">
        <v>4</v>
      </c>
      <c r="K9" s="67">
        <f>470*1.2</f>
        <v>564</v>
      </c>
      <c r="L9" s="67">
        <v>920000</v>
      </c>
      <c r="M9" s="123">
        <v>3</v>
      </c>
      <c r="N9" s="67">
        <v>125000</v>
      </c>
      <c r="O9" s="67">
        <f t="shared" si="0"/>
        <v>1045000</v>
      </c>
      <c r="P9" s="129">
        <v>6.5</v>
      </c>
      <c r="Q9" s="140">
        <f t="shared" si="1"/>
        <v>160769.23076923078</v>
      </c>
      <c r="R9" s="67">
        <v>1050000</v>
      </c>
      <c r="S9" s="67">
        <f t="shared" si="2"/>
        <v>1970000</v>
      </c>
      <c r="T9" s="130">
        <f t="shared" si="3"/>
        <v>6.5</v>
      </c>
      <c r="U9" s="140">
        <f t="shared" si="4"/>
        <v>303076.92307692306</v>
      </c>
    </row>
    <row r="10" spans="1:21" x14ac:dyDescent="0.25">
      <c r="A10" s="136" t="s">
        <v>220</v>
      </c>
      <c r="B10" s="137" t="s">
        <v>221</v>
      </c>
      <c r="C10" s="137" t="s">
        <v>222</v>
      </c>
      <c r="D10" s="137" t="s">
        <v>223</v>
      </c>
      <c r="F10" s="184" t="s">
        <v>314</v>
      </c>
      <c r="G10">
        <v>38</v>
      </c>
      <c r="H10">
        <v>73</v>
      </c>
      <c r="I10" s="108">
        <v>15.5</v>
      </c>
      <c r="J10" s="109">
        <v>4</v>
      </c>
      <c r="K10" s="67">
        <v>1280</v>
      </c>
      <c r="L10" s="67">
        <v>10000</v>
      </c>
      <c r="M10" s="123">
        <v>3</v>
      </c>
      <c r="N10" s="67">
        <v>305000</v>
      </c>
      <c r="O10" s="67">
        <f t="shared" si="0"/>
        <v>315000</v>
      </c>
      <c r="P10" s="129">
        <v>6.5</v>
      </c>
      <c r="Q10" s="140">
        <f t="shared" si="1"/>
        <v>48461.538461538461</v>
      </c>
      <c r="R10" s="67">
        <v>2200000</v>
      </c>
      <c r="S10" s="67">
        <f t="shared" si="2"/>
        <v>2210000</v>
      </c>
      <c r="T10" s="130">
        <f t="shared" si="3"/>
        <v>6.5</v>
      </c>
      <c r="U10" s="140">
        <f t="shared" si="4"/>
        <v>340000</v>
      </c>
    </row>
    <row r="11" spans="1:21" x14ac:dyDescent="0.25">
      <c r="A11" s="138" t="s">
        <v>224</v>
      </c>
      <c r="B11" s="139" t="s">
        <v>225</v>
      </c>
      <c r="C11" s="139" t="s">
        <v>226</v>
      </c>
      <c r="D11" s="139" t="s">
        <v>227</v>
      </c>
      <c r="F11" s="184" t="s">
        <v>315</v>
      </c>
      <c r="G11">
        <v>38</v>
      </c>
      <c r="H11">
        <v>33</v>
      </c>
      <c r="I11" s="108">
        <v>16.7</v>
      </c>
      <c r="J11" s="109">
        <v>4</v>
      </c>
      <c r="K11" s="67">
        <v>1224</v>
      </c>
      <c r="L11" s="67">
        <v>10000</v>
      </c>
      <c r="M11" s="123">
        <v>3</v>
      </c>
      <c r="N11" s="131">
        <v>283000</v>
      </c>
      <c r="O11" s="67">
        <f t="shared" si="0"/>
        <v>293000</v>
      </c>
      <c r="P11" s="129">
        <v>6.5</v>
      </c>
      <c r="Q11" s="140">
        <f t="shared" si="1"/>
        <v>45076.923076923078</v>
      </c>
      <c r="R11" s="67">
        <v>2005000</v>
      </c>
      <c r="S11" s="67">
        <f t="shared" si="2"/>
        <v>2015000</v>
      </c>
      <c r="T11" s="130">
        <f t="shared" si="3"/>
        <v>6.5</v>
      </c>
      <c r="U11" s="140">
        <f t="shared" si="4"/>
        <v>310000</v>
      </c>
    </row>
    <row r="12" spans="1:21" x14ac:dyDescent="0.25">
      <c r="A12" s="136" t="s">
        <v>228</v>
      </c>
      <c r="B12" s="137" t="s">
        <v>229</v>
      </c>
      <c r="C12" s="137" t="s">
        <v>230</v>
      </c>
      <c r="D12" s="137" t="s">
        <v>231</v>
      </c>
      <c r="F12" s="184" t="s">
        <v>316</v>
      </c>
      <c r="G12">
        <v>38</v>
      </c>
      <c r="H12">
        <v>106</v>
      </c>
      <c r="I12" s="108">
        <v>15.1</v>
      </c>
      <c r="J12" s="109">
        <v>4</v>
      </c>
      <c r="K12" s="67">
        <v>1368</v>
      </c>
      <c r="L12" s="67">
        <v>5000</v>
      </c>
      <c r="M12" s="123">
        <v>3</v>
      </c>
      <c r="N12" s="67">
        <v>315000</v>
      </c>
      <c r="O12" s="67">
        <f t="shared" si="0"/>
        <v>320000</v>
      </c>
      <c r="P12" s="129">
        <v>6.5</v>
      </c>
      <c r="Q12" s="140">
        <f t="shared" si="1"/>
        <v>49230.769230769234</v>
      </c>
      <c r="R12" s="67">
        <v>2242290</v>
      </c>
      <c r="S12" s="67">
        <f t="shared" si="2"/>
        <v>2247290</v>
      </c>
      <c r="T12" s="130">
        <f t="shared" si="3"/>
        <v>6.5</v>
      </c>
      <c r="U12" s="140">
        <f t="shared" si="4"/>
        <v>345736.92307692306</v>
      </c>
    </row>
    <row r="13" spans="1:21" x14ac:dyDescent="0.25">
      <c r="A13" s="138" t="s">
        <v>232</v>
      </c>
      <c r="B13" s="139" t="s">
        <v>233</v>
      </c>
      <c r="C13" s="139" t="s">
        <v>234</v>
      </c>
      <c r="D13" s="139" t="s">
        <v>235</v>
      </c>
      <c r="F13" s="184" t="s">
        <v>319</v>
      </c>
      <c r="G13">
        <v>58</v>
      </c>
      <c r="H13">
        <v>49</v>
      </c>
      <c r="I13" s="108">
        <v>16</v>
      </c>
      <c r="J13" s="109">
        <v>4</v>
      </c>
      <c r="K13" s="67">
        <v>300</v>
      </c>
      <c r="L13" s="67">
        <v>125000</v>
      </c>
      <c r="M13" s="123">
        <v>3</v>
      </c>
      <c r="N13" s="67">
        <v>296000</v>
      </c>
      <c r="O13" s="67">
        <f t="shared" si="0"/>
        <v>421000</v>
      </c>
      <c r="P13" s="129">
        <v>6.5</v>
      </c>
      <c r="Q13" s="140">
        <f t="shared" si="1"/>
        <v>64769.230769230766</v>
      </c>
      <c r="R13" s="67">
        <v>2105000</v>
      </c>
      <c r="S13" s="67">
        <f t="shared" si="2"/>
        <v>2230000</v>
      </c>
      <c r="T13" s="130">
        <f t="shared" si="3"/>
        <v>6.5</v>
      </c>
      <c r="U13" s="140">
        <f t="shared" si="4"/>
        <v>343076.92307692306</v>
      </c>
    </row>
    <row r="14" spans="1:21" x14ac:dyDescent="0.25">
      <c r="A14" s="136" t="s">
        <v>236</v>
      </c>
      <c r="B14" s="137" t="s">
        <v>237</v>
      </c>
      <c r="C14" s="137" t="s">
        <v>238</v>
      </c>
      <c r="D14" s="137" t="s">
        <v>239</v>
      </c>
      <c r="I14" s="108">
        <v>0</v>
      </c>
      <c r="J14" s="109">
        <v>0</v>
      </c>
      <c r="K14" s="67"/>
      <c r="L14" s="67"/>
      <c r="M14" s="123">
        <v>3</v>
      </c>
      <c r="N14" s="67"/>
      <c r="O14" s="67">
        <f t="shared" si="0"/>
        <v>0</v>
      </c>
      <c r="P14" s="129">
        <v>9</v>
      </c>
      <c r="Q14" s="140">
        <f t="shared" si="1"/>
        <v>0</v>
      </c>
      <c r="R14" s="67"/>
      <c r="S14" s="67">
        <f t="shared" si="2"/>
        <v>0</v>
      </c>
      <c r="T14" s="130">
        <f t="shared" si="3"/>
        <v>9</v>
      </c>
      <c r="U14" s="140">
        <f t="shared" si="4"/>
        <v>0</v>
      </c>
    </row>
    <row r="15" spans="1:21" x14ac:dyDescent="0.25">
      <c r="A15" s="138" t="s">
        <v>240</v>
      </c>
      <c r="B15" s="139" t="s">
        <v>241</v>
      </c>
      <c r="C15" s="139" t="s">
        <v>242</v>
      </c>
      <c r="D15" s="139" t="s">
        <v>243</v>
      </c>
      <c r="F15" s="184" t="s">
        <v>421</v>
      </c>
      <c r="G15">
        <v>40</v>
      </c>
      <c r="H15">
        <v>1</v>
      </c>
      <c r="I15" s="108">
        <v>16.100000000000001</v>
      </c>
      <c r="J15" s="109">
        <v>5</v>
      </c>
      <c r="K15" s="67">
        <v>492</v>
      </c>
      <c r="L15" s="67">
        <v>1100000</v>
      </c>
      <c r="M15" s="123">
        <v>2</v>
      </c>
      <c r="N15" s="67">
        <v>296000</v>
      </c>
      <c r="O15" s="67">
        <f t="shared" ref="O15:O46" si="5">L15+N15</f>
        <v>1396000</v>
      </c>
      <c r="P15" s="129">
        <v>8</v>
      </c>
      <c r="Q15" s="140">
        <f t="shared" ref="Q15:Q46" si="6">O15/P15</f>
        <v>174500</v>
      </c>
      <c r="R15" s="67">
        <v>2100000</v>
      </c>
      <c r="S15" s="67">
        <f t="shared" ref="S15:S46" si="7">R15+L15</f>
        <v>3200000</v>
      </c>
      <c r="T15" s="130">
        <f t="shared" ref="T15:T46" si="8">P15</f>
        <v>8</v>
      </c>
      <c r="U15" s="140">
        <f t="shared" ref="U15:U46" si="9">S15/T15</f>
        <v>400000</v>
      </c>
    </row>
    <row r="16" spans="1:21" x14ac:dyDescent="0.25">
      <c r="A16" s="136" t="s">
        <v>244</v>
      </c>
      <c r="B16" s="137" t="s">
        <v>245</v>
      </c>
      <c r="C16" s="137" t="s">
        <v>246</v>
      </c>
      <c r="D16" s="137" t="s">
        <v>247</v>
      </c>
      <c r="F16" s="184" t="s">
        <v>422</v>
      </c>
      <c r="G16">
        <v>36</v>
      </c>
      <c r="H16">
        <v>0</v>
      </c>
      <c r="I16" s="108">
        <v>27</v>
      </c>
      <c r="J16" s="109">
        <v>5</v>
      </c>
      <c r="K16" s="67">
        <v>7812</v>
      </c>
      <c r="L16" s="67">
        <v>3500000</v>
      </c>
      <c r="M16" s="123">
        <v>3</v>
      </c>
      <c r="N16" s="131">
        <v>161800</v>
      </c>
      <c r="O16" s="67">
        <f t="shared" si="5"/>
        <v>3661800</v>
      </c>
      <c r="P16" s="129">
        <v>8</v>
      </c>
      <c r="Q16" s="140">
        <f t="shared" si="6"/>
        <v>457725</v>
      </c>
      <c r="R16" s="67">
        <v>1150800</v>
      </c>
      <c r="S16" s="67">
        <f t="shared" si="7"/>
        <v>4650800</v>
      </c>
      <c r="T16" s="130">
        <f t="shared" si="8"/>
        <v>8</v>
      </c>
      <c r="U16" s="140">
        <f t="shared" si="9"/>
        <v>581350</v>
      </c>
    </row>
    <row r="17" spans="1:21" x14ac:dyDescent="0.25">
      <c r="A17" s="138" t="s">
        <v>248</v>
      </c>
      <c r="B17" s="139" t="s">
        <v>249</v>
      </c>
      <c r="C17" s="139" t="s">
        <v>250</v>
      </c>
      <c r="D17" s="139" t="s">
        <v>251</v>
      </c>
      <c r="I17" s="108">
        <v>0</v>
      </c>
      <c r="J17" s="109">
        <v>0</v>
      </c>
      <c r="K17" s="67"/>
      <c r="L17" s="67"/>
      <c r="M17" s="123">
        <v>3</v>
      </c>
      <c r="N17" s="67"/>
      <c r="O17" s="67">
        <f t="shared" si="5"/>
        <v>0</v>
      </c>
      <c r="P17" s="129">
        <v>9</v>
      </c>
      <c r="Q17" s="140">
        <f t="shared" si="6"/>
        <v>0</v>
      </c>
      <c r="R17" s="67"/>
      <c r="S17" s="67">
        <f t="shared" si="7"/>
        <v>0</v>
      </c>
      <c r="T17" s="130">
        <f t="shared" si="8"/>
        <v>9</v>
      </c>
      <c r="U17" s="140">
        <f t="shared" si="9"/>
        <v>0</v>
      </c>
    </row>
    <row r="18" spans="1:21" x14ac:dyDescent="0.25">
      <c r="A18" s="136" t="s">
        <v>252</v>
      </c>
      <c r="B18" s="137" t="s">
        <v>253</v>
      </c>
      <c r="C18" s="137" t="s">
        <v>254</v>
      </c>
      <c r="D18" s="137" t="s">
        <v>255</v>
      </c>
      <c r="I18" s="108">
        <v>0</v>
      </c>
      <c r="J18" s="109">
        <v>0</v>
      </c>
      <c r="K18" s="67"/>
      <c r="L18" s="67"/>
      <c r="M18" s="123">
        <v>3</v>
      </c>
      <c r="N18" s="67"/>
      <c r="O18" s="67">
        <f t="shared" si="5"/>
        <v>0</v>
      </c>
      <c r="P18" s="129">
        <v>9</v>
      </c>
      <c r="Q18" s="140">
        <f t="shared" si="6"/>
        <v>0</v>
      </c>
      <c r="R18" s="67"/>
      <c r="S18" s="67">
        <f t="shared" si="7"/>
        <v>0</v>
      </c>
      <c r="T18" s="130">
        <f t="shared" si="8"/>
        <v>9</v>
      </c>
      <c r="U18" s="140">
        <f t="shared" si="9"/>
        <v>0</v>
      </c>
    </row>
    <row r="19" spans="1:21" x14ac:dyDescent="0.25">
      <c r="I19" s="108">
        <v>0</v>
      </c>
      <c r="J19" s="109">
        <v>0</v>
      </c>
      <c r="K19" s="67"/>
      <c r="L19" s="67"/>
      <c r="M19" s="123">
        <v>3</v>
      </c>
      <c r="N19" s="67"/>
      <c r="O19" s="67">
        <f t="shared" si="5"/>
        <v>0</v>
      </c>
      <c r="P19" s="129">
        <v>9</v>
      </c>
      <c r="Q19" s="140">
        <f t="shared" si="6"/>
        <v>0</v>
      </c>
      <c r="R19" s="67"/>
      <c r="S19" s="67">
        <f t="shared" si="7"/>
        <v>0</v>
      </c>
      <c r="T19" s="130">
        <f t="shared" si="8"/>
        <v>9</v>
      </c>
      <c r="U19" s="140">
        <f t="shared" si="9"/>
        <v>0</v>
      </c>
    </row>
    <row r="20" spans="1:21" x14ac:dyDescent="0.25">
      <c r="A20" s="10" t="s">
        <v>194</v>
      </c>
      <c r="B20" s="10" t="s">
        <v>195</v>
      </c>
      <c r="I20" s="108">
        <v>0</v>
      </c>
      <c r="J20" s="109">
        <v>0</v>
      </c>
      <c r="K20" s="67"/>
      <c r="L20" s="67"/>
      <c r="M20" s="123">
        <v>3</v>
      </c>
      <c r="N20" s="67"/>
      <c r="O20" s="67">
        <f t="shared" si="5"/>
        <v>0</v>
      </c>
      <c r="P20" s="129">
        <v>9</v>
      </c>
      <c r="Q20" s="140">
        <f t="shared" si="6"/>
        <v>0</v>
      </c>
      <c r="R20" s="67"/>
      <c r="S20" s="67">
        <f t="shared" si="7"/>
        <v>0</v>
      </c>
      <c r="T20" s="130">
        <f t="shared" si="8"/>
        <v>9</v>
      </c>
      <c r="U20" s="140">
        <f t="shared" si="9"/>
        <v>0</v>
      </c>
    </row>
    <row r="21" spans="1:21" x14ac:dyDescent="0.25">
      <c r="A21" s="168" t="s">
        <v>193</v>
      </c>
      <c r="B21" s="168">
        <v>2</v>
      </c>
      <c r="I21" s="108">
        <v>0</v>
      </c>
      <c r="J21" s="109">
        <v>0</v>
      </c>
      <c r="K21" s="67"/>
      <c r="L21" s="67"/>
      <c r="M21" s="123">
        <v>3</v>
      </c>
      <c r="N21" s="131"/>
      <c r="O21" s="67">
        <f t="shared" si="5"/>
        <v>0</v>
      </c>
      <c r="P21" s="129">
        <v>9</v>
      </c>
      <c r="Q21" s="140">
        <f t="shared" si="6"/>
        <v>0</v>
      </c>
      <c r="R21" s="67"/>
      <c r="S21" s="67">
        <f t="shared" si="7"/>
        <v>0</v>
      </c>
      <c r="T21" s="130">
        <f t="shared" si="8"/>
        <v>9</v>
      </c>
      <c r="U21" s="140">
        <f t="shared" si="9"/>
        <v>0</v>
      </c>
    </row>
    <row r="22" spans="1:21" x14ac:dyDescent="0.25">
      <c r="A22" s="168" t="s">
        <v>192</v>
      </c>
      <c r="B22" s="168">
        <v>1.5</v>
      </c>
      <c r="I22" s="108">
        <v>0</v>
      </c>
      <c r="J22" s="109">
        <v>0</v>
      </c>
      <c r="K22" s="67"/>
      <c r="L22" s="67"/>
      <c r="M22" s="123">
        <v>3</v>
      </c>
      <c r="N22" s="67"/>
      <c r="O22" s="67">
        <f t="shared" si="5"/>
        <v>0</v>
      </c>
      <c r="P22" s="129">
        <v>9</v>
      </c>
      <c r="Q22" s="140">
        <f t="shared" si="6"/>
        <v>0</v>
      </c>
      <c r="R22" s="67"/>
      <c r="S22" s="67">
        <f t="shared" si="7"/>
        <v>0</v>
      </c>
      <c r="T22" s="130">
        <f t="shared" si="8"/>
        <v>9</v>
      </c>
      <c r="U22" s="140">
        <f t="shared" si="9"/>
        <v>0</v>
      </c>
    </row>
    <row r="23" spans="1:21" x14ac:dyDescent="0.25">
      <c r="A23" s="168" t="s">
        <v>191</v>
      </c>
      <c r="B23" s="168">
        <v>1.5</v>
      </c>
      <c r="I23" s="108">
        <v>0</v>
      </c>
      <c r="J23" s="109">
        <v>0</v>
      </c>
      <c r="K23" s="67"/>
      <c r="L23" s="67"/>
      <c r="M23" s="123">
        <v>3</v>
      </c>
      <c r="N23" s="67"/>
      <c r="O23" s="67">
        <f t="shared" si="5"/>
        <v>0</v>
      </c>
      <c r="P23" s="129">
        <v>9</v>
      </c>
      <c r="Q23" s="140">
        <f t="shared" si="6"/>
        <v>0</v>
      </c>
      <c r="R23" s="67"/>
      <c r="S23" s="67">
        <f t="shared" si="7"/>
        <v>0</v>
      </c>
      <c r="T23" s="130">
        <f t="shared" si="8"/>
        <v>9</v>
      </c>
      <c r="U23" s="140">
        <f t="shared" si="9"/>
        <v>0</v>
      </c>
    </row>
    <row r="24" spans="1:21" x14ac:dyDescent="0.25">
      <c r="A24" s="168" t="s">
        <v>188</v>
      </c>
      <c r="B24" s="168">
        <v>1.5</v>
      </c>
      <c r="I24" s="108">
        <v>0</v>
      </c>
      <c r="J24" s="109">
        <v>0</v>
      </c>
      <c r="K24" s="67"/>
      <c r="L24" s="67"/>
      <c r="M24" s="123">
        <v>3</v>
      </c>
      <c r="N24" s="67"/>
      <c r="O24" s="67">
        <f t="shared" si="5"/>
        <v>0</v>
      </c>
      <c r="P24" s="129">
        <v>9</v>
      </c>
      <c r="Q24" s="140">
        <f t="shared" si="6"/>
        <v>0</v>
      </c>
      <c r="R24" s="67"/>
      <c r="S24" s="67">
        <f t="shared" si="7"/>
        <v>0</v>
      </c>
      <c r="T24" s="130">
        <f t="shared" si="8"/>
        <v>9</v>
      </c>
      <c r="U24" s="140">
        <f t="shared" si="9"/>
        <v>0</v>
      </c>
    </row>
    <row r="25" spans="1:21" x14ac:dyDescent="0.25">
      <c r="A25" s="168" t="s">
        <v>189</v>
      </c>
      <c r="B25" s="168">
        <v>1.5</v>
      </c>
      <c r="I25" s="108">
        <v>0</v>
      </c>
      <c r="J25" s="109">
        <v>0</v>
      </c>
      <c r="K25" s="67"/>
      <c r="L25" s="67"/>
      <c r="M25" s="123">
        <v>3</v>
      </c>
      <c r="N25" s="67"/>
      <c r="O25" s="67">
        <f t="shared" si="5"/>
        <v>0</v>
      </c>
      <c r="P25" s="129">
        <v>9</v>
      </c>
      <c r="Q25" s="140">
        <f t="shared" si="6"/>
        <v>0</v>
      </c>
      <c r="R25" s="67"/>
      <c r="S25" s="67">
        <f t="shared" si="7"/>
        <v>0</v>
      </c>
      <c r="T25" s="130">
        <f t="shared" si="8"/>
        <v>9</v>
      </c>
      <c r="U25" s="140">
        <f t="shared" si="9"/>
        <v>0</v>
      </c>
    </row>
    <row r="26" spans="1:21" x14ac:dyDescent="0.25">
      <c r="A26" s="168" t="s">
        <v>190</v>
      </c>
      <c r="B26" s="168">
        <v>1.5</v>
      </c>
      <c r="I26" s="108">
        <v>0</v>
      </c>
      <c r="J26" s="109">
        <v>0</v>
      </c>
      <c r="K26" s="67"/>
      <c r="L26" s="67"/>
      <c r="M26" s="123">
        <v>3</v>
      </c>
      <c r="N26" s="131"/>
      <c r="O26" s="67">
        <f t="shared" si="5"/>
        <v>0</v>
      </c>
      <c r="P26" s="129">
        <v>9</v>
      </c>
      <c r="Q26" s="140">
        <f t="shared" si="6"/>
        <v>0</v>
      </c>
      <c r="R26" s="67"/>
      <c r="S26" s="67">
        <f t="shared" si="7"/>
        <v>0</v>
      </c>
      <c r="T26" s="130">
        <f t="shared" si="8"/>
        <v>9</v>
      </c>
      <c r="U26" s="140">
        <f t="shared" si="9"/>
        <v>0</v>
      </c>
    </row>
    <row r="27" spans="1:21" x14ac:dyDescent="0.25">
      <c r="A27" s="168"/>
      <c r="B27" s="168"/>
      <c r="I27" s="108">
        <v>0</v>
      </c>
      <c r="J27" s="109">
        <v>0</v>
      </c>
      <c r="K27" s="67"/>
      <c r="L27" s="67"/>
      <c r="M27" s="123">
        <v>3</v>
      </c>
      <c r="N27" s="67"/>
      <c r="O27" s="67">
        <f t="shared" si="5"/>
        <v>0</v>
      </c>
      <c r="P27" s="129">
        <v>9</v>
      </c>
      <c r="Q27" s="140">
        <f t="shared" si="6"/>
        <v>0</v>
      </c>
      <c r="R27" s="67"/>
      <c r="S27" s="67">
        <f t="shared" si="7"/>
        <v>0</v>
      </c>
      <c r="T27" s="130">
        <f t="shared" si="8"/>
        <v>9</v>
      </c>
      <c r="U27" s="140">
        <f t="shared" si="9"/>
        <v>0</v>
      </c>
    </row>
    <row r="28" spans="1:21" x14ac:dyDescent="0.25">
      <c r="A28" s="10" t="s">
        <v>257</v>
      </c>
      <c r="B28" s="10" t="s">
        <v>258</v>
      </c>
      <c r="I28" s="108">
        <v>0</v>
      </c>
      <c r="J28" s="109">
        <v>0</v>
      </c>
      <c r="K28" s="67"/>
      <c r="L28" s="67"/>
      <c r="M28" s="123">
        <v>3</v>
      </c>
      <c r="N28" s="67"/>
      <c r="O28" s="67">
        <f t="shared" si="5"/>
        <v>0</v>
      </c>
      <c r="P28" s="129">
        <v>9</v>
      </c>
      <c r="Q28" s="140">
        <f t="shared" si="6"/>
        <v>0</v>
      </c>
      <c r="R28" s="67"/>
      <c r="S28" s="67">
        <f t="shared" si="7"/>
        <v>0</v>
      </c>
      <c r="T28" s="130">
        <f t="shared" si="8"/>
        <v>9</v>
      </c>
      <c r="U28" s="140">
        <f t="shared" si="9"/>
        <v>0</v>
      </c>
    </row>
    <row r="29" spans="1:21" x14ac:dyDescent="0.25">
      <c r="A29" s="168" t="s">
        <v>135</v>
      </c>
      <c r="B29" s="37">
        <v>9.5</v>
      </c>
      <c r="I29" s="108">
        <v>0</v>
      </c>
      <c r="J29" s="109">
        <v>0</v>
      </c>
      <c r="K29" s="67"/>
      <c r="L29" s="67"/>
      <c r="M29" s="123">
        <v>3</v>
      </c>
      <c r="N29" s="67"/>
      <c r="O29" s="67">
        <f t="shared" si="5"/>
        <v>0</v>
      </c>
      <c r="P29" s="129">
        <v>9</v>
      </c>
      <c r="Q29" s="140">
        <f t="shared" si="6"/>
        <v>0</v>
      </c>
      <c r="R29" s="67"/>
      <c r="S29" s="67">
        <f t="shared" si="7"/>
        <v>0</v>
      </c>
      <c r="T29" s="130">
        <f t="shared" si="8"/>
        <v>9</v>
      </c>
      <c r="U29" s="140">
        <f t="shared" si="9"/>
        <v>0</v>
      </c>
    </row>
    <row r="30" spans="1:21" x14ac:dyDescent="0.25">
      <c r="A30" s="168" t="s">
        <v>103</v>
      </c>
      <c r="B30" s="37">
        <v>8</v>
      </c>
      <c r="I30" s="108">
        <v>0</v>
      </c>
      <c r="J30" s="109">
        <v>0</v>
      </c>
      <c r="K30" s="67"/>
      <c r="L30" s="67"/>
      <c r="M30" s="123">
        <v>3</v>
      </c>
      <c r="N30" s="67"/>
      <c r="O30" s="67">
        <f t="shared" si="5"/>
        <v>0</v>
      </c>
      <c r="P30" s="129">
        <v>9</v>
      </c>
      <c r="Q30" s="140">
        <f t="shared" si="6"/>
        <v>0</v>
      </c>
      <c r="R30" s="67"/>
      <c r="S30" s="67">
        <f t="shared" si="7"/>
        <v>0</v>
      </c>
      <c r="T30" s="130">
        <f t="shared" si="8"/>
        <v>9</v>
      </c>
      <c r="U30" s="140">
        <f t="shared" si="9"/>
        <v>0</v>
      </c>
    </row>
    <row r="31" spans="1:21" x14ac:dyDescent="0.25">
      <c r="A31" s="168" t="s">
        <v>104</v>
      </c>
      <c r="B31" s="37">
        <f>B30-1.5</f>
        <v>6.5</v>
      </c>
      <c r="I31" s="108">
        <v>0</v>
      </c>
      <c r="J31" s="109">
        <v>0</v>
      </c>
      <c r="K31" s="67"/>
      <c r="L31" s="67"/>
      <c r="M31" s="123">
        <v>3</v>
      </c>
      <c r="N31" s="131"/>
      <c r="O31" s="67">
        <f t="shared" si="5"/>
        <v>0</v>
      </c>
      <c r="P31" s="129">
        <v>9</v>
      </c>
      <c r="Q31" s="140">
        <f t="shared" si="6"/>
        <v>0</v>
      </c>
      <c r="R31" s="67"/>
      <c r="S31" s="67">
        <f t="shared" si="7"/>
        <v>0</v>
      </c>
      <c r="T31" s="130">
        <f t="shared" si="8"/>
        <v>9</v>
      </c>
      <c r="U31" s="140">
        <f t="shared" si="9"/>
        <v>0</v>
      </c>
    </row>
    <row r="32" spans="1:21" x14ac:dyDescent="0.25">
      <c r="A32" s="168" t="s">
        <v>105</v>
      </c>
      <c r="B32" s="37">
        <f>B31-1.5</f>
        <v>5</v>
      </c>
      <c r="I32" s="108">
        <v>0</v>
      </c>
      <c r="J32" s="109">
        <v>0</v>
      </c>
      <c r="K32" s="67"/>
      <c r="L32" s="67"/>
      <c r="M32" s="123">
        <v>3</v>
      </c>
      <c r="N32" s="67"/>
      <c r="O32" s="67">
        <f t="shared" si="5"/>
        <v>0</v>
      </c>
      <c r="P32" s="129">
        <v>9</v>
      </c>
      <c r="Q32" s="140">
        <f t="shared" si="6"/>
        <v>0</v>
      </c>
      <c r="R32" s="67"/>
      <c r="S32" s="67">
        <f t="shared" si="7"/>
        <v>0</v>
      </c>
      <c r="T32" s="130">
        <f t="shared" si="8"/>
        <v>9</v>
      </c>
      <c r="U32" s="140">
        <f t="shared" si="9"/>
        <v>0</v>
      </c>
    </row>
    <row r="33" spans="1:21" x14ac:dyDescent="0.25">
      <c r="A33" s="168" t="s">
        <v>106</v>
      </c>
      <c r="B33" s="37">
        <f>2+1.5</f>
        <v>3.5</v>
      </c>
      <c r="I33" s="108">
        <v>0</v>
      </c>
      <c r="J33" s="109">
        <v>0</v>
      </c>
      <c r="K33" s="67"/>
      <c r="L33" s="67"/>
      <c r="M33" s="123">
        <v>3</v>
      </c>
      <c r="N33" s="67"/>
      <c r="O33" s="67">
        <f t="shared" si="5"/>
        <v>0</v>
      </c>
      <c r="P33" s="129">
        <v>9</v>
      </c>
      <c r="Q33" s="140">
        <f t="shared" si="6"/>
        <v>0</v>
      </c>
      <c r="R33" s="67"/>
      <c r="S33" s="67">
        <f t="shared" si="7"/>
        <v>0</v>
      </c>
      <c r="T33" s="130">
        <f t="shared" si="8"/>
        <v>9</v>
      </c>
      <c r="U33" s="140">
        <f t="shared" si="9"/>
        <v>0</v>
      </c>
    </row>
    <row r="34" spans="1:21" x14ac:dyDescent="0.25">
      <c r="A34" s="168" t="s">
        <v>260</v>
      </c>
      <c r="B34" s="37">
        <v>2</v>
      </c>
      <c r="I34" s="108">
        <v>0</v>
      </c>
      <c r="J34" s="109">
        <v>0</v>
      </c>
      <c r="K34" s="67"/>
      <c r="L34" s="67"/>
      <c r="M34" s="123">
        <v>3</v>
      </c>
      <c r="N34" s="67"/>
      <c r="O34" s="67">
        <f t="shared" si="5"/>
        <v>0</v>
      </c>
      <c r="P34" s="129">
        <v>9</v>
      </c>
      <c r="Q34" s="140">
        <f t="shared" si="6"/>
        <v>0</v>
      </c>
      <c r="R34" s="67"/>
      <c r="S34" s="67">
        <f t="shared" si="7"/>
        <v>0</v>
      </c>
      <c r="T34" s="130">
        <f t="shared" si="8"/>
        <v>9</v>
      </c>
      <c r="U34" s="140">
        <f t="shared" si="9"/>
        <v>0</v>
      </c>
    </row>
    <row r="35" spans="1:21" x14ac:dyDescent="0.25">
      <c r="A35" s="168" t="s">
        <v>259</v>
      </c>
      <c r="B35" s="37">
        <v>1</v>
      </c>
      <c r="I35" s="108">
        <v>0</v>
      </c>
      <c r="J35" s="109">
        <v>0</v>
      </c>
      <c r="K35" s="67"/>
      <c r="L35" s="67"/>
      <c r="M35" s="123">
        <v>3</v>
      </c>
      <c r="N35" s="67"/>
      <c r="O35" s="67">
        <f t="shared" si="5"/>
        <v>0</v>
      </c>
      <c r="P35" s="129">
        <v>9</v>
      </c>
      <c r="Q35" s="140">
        <f t="shared" si="6"/>
        <v>0</v>
      </c>
      <c r="R35" s="67"/>
      <c r="S35" s="67">
        <f t="shared" si="7"/>
        <v>0</v>
      </c>
      <c r="T35" s="130">
        <f t="shared" si="8"/>
        <v>9</v>
      </c>
      <c r="U35" s="140">
        <f t="shared" si="9"/>
        <v>0</v>
      </c>
    </row>
    <row r="36" spans="1:21" x14ac:dyDescent="0.25">
      <c r="I36" s="108">
        <v>0</v>
      </c>
      <c r="J36" s="109">
        <v>0</v>
      </c>
      <c r="K36" s="67"/>
      <c r="L36" s="67"/>
      <c r="M36" s="123">
        <v>3</v>
      </c>
      <c r="N36" s="131"/>
      <c r="O36" s="67">
        <f t="shared" si="5"/>
        <v>0</v>
      </c>
      <c r="P36" s="129">
        <v>9</v>
      </c>
      <c r="Q36" s="140">
        <f t="shared" si="6"/>
        <v>0</v>
      </c>
      <c r="R36" s="67"/>
      <c r="S36" s="67">
        <f t="shared" si="7"/>
        <v>0</v>
      </c>
      <c r="T36" s="130">
        <f t="shared" si="8"/>
        <v>9</v>
      </c>
      <c r="U36" s="140">
        <f t="shared" si="9"/>
        <v>0</v>
      </c>
    </row>
    <row r="37" spans="1:21" x14ac:dyDescent="0.25">
      <c r="I37" s="108">
        <v>0</v>
      </c>
      <c r="J37" s="109">
        <v>0</v>
      </c>
      <c r="K37" s="67"/>
      <c r="L37" s="67"/>
      <c r="M37" s="123">
        <v>3</v>
      </c>
      <c r="N37" s="67"/>
      <c r="O37" s="67">
        <f t="shared" si="5"/>
        <v>0</v>
      </c>
      <c r="P37" s="129">
        <v>9</v>
      </c>
      <c r="Q37" s="140">
        <f t="shared" si="6"/>
        <v>0</v>
      </c>
      <c r="R37" s="67"/>
      <c r="S37" s="67">
        <f t="shared" si="7"/>
        <v>0</v>
      </c>
      <c r="T37" s="130">
        <f t="shared" si="8"/>
        <v>9</v>
      </c>
      <c r="U37" s="140">
        <f t="shared" si="9"/>
        <v>0</v>
      </c>
    </row>
    <row r="38" spans="1:21" x14ac:dyDescent="0.25">
      <c r="I38" s="108">
        <v>0</v>
      </c>
      <c r="J38" s="109">
        <v>0</v>
      </c>
      <c r="K38" s="67"/>
      <c r="L38" s="67"/>
      <c r="M38" s="123">
        <v>3</v>
      </c>
      <c r="N38" s="67"/>
      <c r="O38" s="67">
        <f t="shared" si="5"/>
        <v>0</v>
      </c>
      <c r="P38" s="129">
        <v>9</v>
      </c>
      <c r="Q38" s="140">
        <f t="shared" si="6"/>
        <v>0</v>
      </c>
      <c r="R38" s="67"/>
      <c r="S38" s="67">
        <f t="shared" si="7"/>
        <v>0</v>
      </c>
      <c r="T38" s="130">
        <f t="shared" si="8"/>
        <v>9</v>
      </c>
      <c r="U38" s="140">
        <f t="shared" si="9"/>
        <v>0</v>
      </c>
    </row>
    <row r="39" spans="1:21" x14ac:dyDescent="0.25">
      <c r="I39" s="108">
        <v>0</v>
      </c>
      <c r="J39" s="109">
        <v>0</v>
      </c>
      <c r="K39" s="67"/>
      <c r="L39" s="67"/>
      <c r="M39" s="123">
        <v>3</v>
      </c>
      <c r="N39" s="67"/>
      <c r="O39" s="67">
        <f t="shared" si="5"/>
        <v>0</v>
      </c>
      <c r="P39" s="129">
        <v>9</v>
      </c>
      <c r="Q39" s="140">
        <f t="shared" si="6"/>
        <v>0</v>
      </c>
      <c r="R39" s="67"/>
      <c r="S39" s="67">
        <f t="shared" si="7"/>
        <v>0</v>
      </c>
      <c r="T39" s="130">
        <f t="shared" si="8"/>
        <v>9</v>
      </c>
      <c r="U39" s="140">
        <f t="shared" si="9"/>
        <v>0</v>
      </c>
    </row>
    <row r="40" spans="1:21" x14ac:dyDescent="0.25">
      <c r="I40" s="108">
        <v>0</v>
      </c>
      <c r="J40" s="109">
        <v>0</v>
      </c>
      <c r="K40" s="67"/>
      <c r="L40" s="67"/>
      <c r="M40" s="123">
        <v>3</v>
      </c>
      <c r="N40" s="67"/>
      <c r="O40" s="67">
        <f t="shared" si="5"/>
        <v>0</v>
      </c>
      <c r="P40" s="129">
        <v>9</v>
      </c>
      <c r="Q40" s="140">
        <f t="shared" si="6"/>
        <v>0</v>
      </c>
      <c r="R40" s="67"/>
      <c r="S40" s="67">
        <f t="shared" si="7"/>
        <v>0</v>
      </c>
      <c r="T40" s="130">
        <f t="shared" si="8"/>
        <v>9</v>
      </c>
      <c r="U40" s="140">
        <f t="shared" si="9"/>
        <v>0</v>
      </c>
    </row>
    <row r="41" spans="1:21" x14ac:dyDescent="0.25">
      <c r="I41" s="108">
        <v>0</v>
      </c>
      <c r="J41" s="109">
        <v>0</v>
      </c>
      <c r="K41" s="67"/>
      <c r="L41" s="67"/>
      <c r="M41" s="123">
        <v>3</v>
      </c>
      <c r="N41" s="131"/>
      <c r="O41" s="67">
        <f t="shared" si="5"/>
        <v>0</v>
      </c>
      <c r="P41" s="129">
        <v>9</v>
      </c>
      <c r="Q41" s="140">
        <f t="shared" si="6"/>
        <v>0</v>
      </c>
      <c r="R41" s="67"/>
      <c r="S41" s="67">
        <f t="shared" si="7"/>
        <v>0</v>
      </c>
      <c r="T41" s="130">
        <f t="shared" si="8"/>
        <v>9</v>
      </c>
      <c r="U41" s="140">
        <f t="shared" si="9"/>
        <v>0</v>
      </c>
    </row>
    <row r="42" spans="1:21" x14ac:dyDescent="0.25">
      <c r="I42" s="108">
        <v>0</v>
      </c>
      <c r="J42" s="109">
        <v>0</v>
      </c>
      <c r="K42" s="67"/>
      <c r="L42" s="67"/>
      <c r="M42" s="123">
        <v>3</v>
      </c>
      <c r="N42" s="67"/>
      <c r="O42" s="67">
        <f t="shared" si="5"/>
        <v>0</v>
      </c>
      <c r="P42" s="129">
        <v>9</v>
      </c>
      <c r="Q42" s="140">
        <f t="shared" si="6"/>
        <v>0</v>
      </c>
      <c r="R42" s="67"/>
      <c r="S42" s="67">
        <f t="shared" si="7"/>
        <v>0</v>
      </c>
      <c r="T42" s="130">
        <f t="shared" si="8"/>
        <v>9</v>
      </c>
      <c r="U42" s="140">
        <f t="shared" si="9"/>
        <v>0</v>
      </c>
    </row>
    <row r="43" spans="1:21" x14ac:dyDescent="0.25">
      <c r="I43" s="108">
        <v>0</v>
      </c>
      <c r="J43" s="109">
        <v>0</v>
      </c>
      <c r="K43" s="67"/>
      <c r="L43" s="67"/>
      <c r="M43" s="123">
        <v>3</v>
      </c>
      <c r="N43" s="67"/>
      <c r="O43" s="67">
        <f t="shared" si="5"/>
        <v>0</v>
      </c>
      <c r="P43" s="129">
        <v>9</v>
      </c>
      <c r="Q43" s="140">
        <f t="shared" si="6"/>
        <v>0</v>
      </c>
      <c r="R43" s="67"/>
      <c r="S43" s="67">
        <f t="shared" si="7"/>
        <v>0</v>
      </c>
      <c r="T43" s="130">
        <f t="shared" si="8"/>
        <v>9</v>
      </c>
      <c r="U43" s="140">
        <f t="shared" si="9"/>
        <v>0</v>
      </c>
    </row>
    <row r="44" spans="1:21" x14ac:dyDescent="0.25">
      <c r="I44" s="108">
        <v>0</v>
      </c>
      <c r="J44" s="109">
        <v>0</v>
      </c>
      <c r="K44" s="67"/>
      <c r="L44" s="67"/>
      <c r="M44" s="123">
        <v>3</v>
      </c>
      <c r="N44" s="67"/>
      <c r="O44" s="67">
        <f t="shared" si="5"/>
        <v>0</v>
      </c>
      <c r="P44" s="129">
        <v>9</v>
      </c>
      <c r="Q44" s="140">
        <f t="shared" si="6"/>
        <v>0</v>
      </c>
      <c r="R44" s="67"/>
      <c r="S44" s="67">
        <f t="shared" si="7"/>
        <v>0</v>
      </c>
      <c r="T44" s="130">
        <f t="shared" si="8"/>
        <v>9</v>
      </c>
      <c r="U44" s="140">
        <f t="shared" si="9"/>
        <v>0</v>
      </c>
    </row>
    <row r="45" spans="1:21" x14ac:dyDescent="0.25">
      <c r="I45" s="108">
        <v>0</v>
      </c>
      <c r="J45" s="109">
        <v>0</v>
      </c>
      <c r="K45" s="67"/>
      <c r="L45" s="67"/>
      <c r="M45" s="123">
        <v>3</v>
      </c>
      <c r="N45" s="67"/>
      <c r="O45" s="67">
        <f t="shared" si="5"/>
        <v>0</v>
      </c>
      <c r="P45" s="129">
        <v>9</v>
      </c>
      <c r="Q45" s="140">
        <f t="shared" si="6"/>
        <v>0</v>
      </c>
      <c r="R45" s="67"/>
      <c r="S45" s="67">
        <f t="shared" si="7"/>
        <v>0</v>
      </c>
      <c r="T45" s="130">
        <f t="shared" si="8"/>
        <v>9</v>
      </c>
      <c r="U45" s="140">
        <f t="shared" si="9"/>
        <v>0</v>
      </c>
    </row>
    <row r="46" spans="1:21" x14ac:dyDescent="0.25">
      <c r="I46" s="108">
        <v>0</v>
      </c>
      <c r="J46" s="109">
        <v>0</v>
      </c>
      <c r="K46" s="67"/>
      <c r="L46" s="67"/>
      <c r="M46" s="123">
        <v>3</v>
      </c>
      <c r="N46" s="67"/>
      <c r="O46" s="67">
        <f t="shared" si="5"/>
        <v>0</v>
      </c>
      <c r="P46" s="129">
        <v>9</v>
      </c>
      <c r="Q46" s="140">
        <f t="shared" si="6"/>
        <v>0</v>
      </c>
      <c r="R46" s="67"/>
      <c r="S46" s="67">
        <f t="shared" si="7"/>
        <v>0</v>
      </c>
      <c r="T46" s="130">
        <f t="shared" si="8"/>
        <v>9</v>
      </c>
      <c r="U46" s="140">
        <f t="shared" si="9"/>
        <v>0</v>
      </c>
    </row>
    <row r="47" spans="1:21" x14ac:dyDescent="0.25">
      <c r="I47" s="108">
        <v>0</v>
      </c>
      <c r="J47" s="109">
        <v>0</v>
      </c>
      <c r="K47" s="67"/>
      <c r="L47" s="67"/>
      <c r="M47" s="123">
        <v>3</v>
      </c>
      <c r="N47" s="131"/>
      <c r="O47" s="67">
        <f t="shared" ref="O47:O76" si="10">L47+N47</f>
        <v>0</v>
      </c>
      <c r="P47" s="129">
        <v>9</v>
      </c>
      <c r="Q47" s="140">
        <f t="shared" ref="Q47:Q76" si="11">O47/P47</f>
        <v>0</v>
      </c>
      <c r="R47" s="67"/>
      <c r="S47" s="67">
        <f t="shared" ref="S47:S76" si="12">R47+L47</f>
        <v>0</v>
      </c>
      <c r="T47" s="130">
        <f t="shared" ref="T47:T76" si="13">P47</f>
        <v>9</v>
      </c>
      <c r="U47" s="140">
        <f t="shared" ref="U47:U76" si="14">S47/T47</f>
        <v>0</v>
      </c>
    </row>
    <row r="48" spans="1:21" x14ac:dyDescent="0.25">
      <c r="I48" s="108">
        <v>0</v>
      </c>
      <c r="J48" s="109">
        <v>0</v>
      </c>
      <c r="K48" s="67"/>
      <c r="L48" s="67"/>
      <c r="M48" s="123">
        <v>3</v>
      </c>
      <c r="N48" s="67"/>
      <c r="O48" s="67">
        <f t="shared" si="10"/>
        <v>0</v>
      </c>
      <c r="P48" s="129">
        <v>9</v>
      </c>
      <c r="Q48" s="140">
        <f t="shared" si="11"/>
        <v>0</v>
      </c>
      <c r="R48" s="67"/>
      <c r="S48" s="67">
        <f t="shared" si="12"/>
        <v>0</v>
      </c>
      <c r="T48" s="130">
        <f t="shared" si="13"/>
        <v>9</v>
      </c>
      <c r="U48" s="140">
        <f t="shared" si="14"/>
        <v>0</v>
      </c>
    </row>
    <row r="49" spans="1:21" x14ac:dyDescent="0.25">
      <c r="I49" s="108">
        <v>0</v>
      </c>
      <c r="J49" s="109">
        <v>0</v>
      </c>
      <c r="K49" s="67"/>
      <c r="L49" s="67"/>
      <c r="M49" s="123">
        <v>3</v>
      </c>
      <c r="N49" s="67"/>
      <c r="O49" s="67">
        <f t="shared" si="10"/>
        <v>0</v>
      </c>
      <c r="P49" s="129">
        <v>9</v>
      </c>
      <c r="Q49" s="140">
        <f t="shared" si="11"/>
        <v>0</v>
      </c>
      <c r="R49" s="67"/>
      <c r="S49" s="67">
        <f t="shared" si="12"/>
        <v>0</v>
      </c>
      <c r="T49" s="130">
        <f t="shared" si="13"/>
        <v>9</v>
      </c>
      <c r="U49" s="140">
        <f t="shared" si="14"/>
        <v>0</v>
      </c>
    </row>
    <row r="50" spans="1:21" x14ac:dyDescent="0.25">
      <c r="A50" s="28"/>
      <c r="I50" s="108">
        <v>0</v>
      </c>
      <c r="J50" s="109">
        <v>0</v>
      </c>
      <c r="K50" s="67"/>
      <c r="L50" s="67"/>
      <c r="M50" s="123">
        <v>3</v>
      </c>
      <c r="N50" s="67"/>
      <c r="O50" s="67">
        <f t="shared" si="10"/>
        <v>0</v>
      </c>
      <c r="P50" s="129">
        <v>9</v>
      </c>
      <c r="Q50" s="140">
        <f t="shared" si="11"/>
        <v>0</v>
      </c>
      <c r="R50" s="67"/>
      <c r="S50" s="67">
        <f t="shared" si="12"/>
        <v>0</v>
      </c>
      <c r="T50" s="130">
        <f t="shared" si="13"/>
        <v>9</v>
      </c>
      <c r="U50" s="140">
        <f t="shared" si="14"/>
        <v>0</v>
      </c>
    </row>
    <row r="51" spans="1:21" x14ac:dyDescent="0.25">
      <c r="A51" s="28"/>
      <c r="I51" s="108">
        <v>0</v>
      </c>
      <c r="J51" s="109">
        <v>0</v>
      </c>
      <c r="K51" s="67"/>
      <c r="L51" s="67"/>
      <c r="M51" s="123">
        <v>3</v>
      </c>
      <c r="N51" s="67"/>
      <c r="O51" s="67">
        <f t="shared" si="10"/>
        <v>0</v>
      </c>
      <c r="P51" s="129">
        <v>9</v>
      </c>
      <c r="Q51" s="140">
        <f t="shared" si="11"/>
        <v>0</v>
      </c>
      <c r="R51" s="67"/>
      <c r="S51" s="67">
        <f t="shared" si="12"/>
        <v>0</v>
      </c>
      <c r="T51" s="130">
        <f t="shared" si="13"/>
        <v>9</v>
      </c>
      <c r="U51" s="140">
        <f t="shared" si="14"/>
        <v>0</v>
      </c>
    </row>
    <row r="52" spans="1:21" x14ac:dyDescent="0.25">
      <c r="A52" s="28"/>
      <c r="I52" s="108">
        <v>0</v>
      </c>
      <c r="J52" s="109">
        <v>0</v>
      </c>
      <c r="K52" s="67"/>
      <c r="L52" s="67"/>
      <c r="M52" s="123">
        <v>3</v>
      </c>
      <c r="N52" s="131"/>
      <c r="O52" s="67">
        <f t="shared" si="10"/>
        <v>0</v>
      </c>
      <c r="P52" s="129">
        <v>9</v>
      </c>
      <c r="Q52" s="140">
        <f t="shared" si="11"/>
        <v>0</v>
      </c>
      <c r="R52" s="67"/>
      <c r="S52" s="67">
        <f t="shared" si="12"/>
        <v>0</v>
      </c>
      <c r="T52" s="130">
        <f t="shared" si="13"/>
        <v>9</v>
      </c>
      <c r="U52" s="140">
        <f t="shared" si="14"/>
        <v>0</v>
      </c>
    </row>
    <row r="53" spans="1:21" x14ac:dyDescent="0.25">
      <c r="I53" s="108">
        <v>0</v>
      </c>
      <c r="J53" s="109">
        <v>0</v>
      </c>
      <c r="K53" s="67"/>
      <c r="L53" s="67"/>
      <c r="M53" s="123">
        <v>3</v>
      </c>
      <c r="N53" s="67"/>
      <c r="O53" s="67">
        <f t="shared" si="10"/>
        <v>0</v>
      </c>
      <c r="P53" s="129">
        <v>9</v>
      </c>
      <c r="Q53" s="140">
        <f t="shared" si="11"/>
        <v>0</v>
      </c>
      <c r="R53" s="67"/>
      <c r="S53" s="67">
        <f t="shared" si="12"/>
        <v>0</v>
      </c>
      <c r="T53" s="130">
        <f t="shared" si="13"/>
        <v>9</v>
      </c>
      <c r="U53" s="140">
        <f t="shared" si="14"/>
        <v>0</v>
      </c>
    </row>
    <row r="54" spans="1:21" x14ac:dyDescent="0.25">
      <c r="I54" s="108">
        <v>0</v>
      </c>
      <c r="J54" s="109">
        <v>0</v>
      </c>
      <c r="K54" s="67"/>
      <c r="L54" s="67"/>
      <c r="M54" s="123">
        <v>3</v>
      </c>
      <c r="N54" s="67"/>
      <c r="O54" s="67">
        <f t="shared" si="10"/>
        <v>0</v>
      </c>
      <c r="P54" s="129">
        <v>9</v>
      </c>
      <c r="Q54" s="140">
        <f t="shared" si="11"/>
        <v>0</v>
      </c>
      <c r="R54" s="67"/>
      <c r="S54" s="67">
        <f t="shared" si="12"/>
        <v>0</v>
      </c>
      <c r="T54" s="130">
        <f t="shared" si="13"/>
        <v>9</v>
      </c>
      <c r="U54" s="140">
        <f t="shared" si="14"/>
        <v>0</v>
      </c>
    </row>
    <row r="55" spans="1:21" x14ac:dyDescent="0.25">
      <c r="I55" s="108">
        <v>0</v>
      </c>
      <c r="J55" s="109">
        <v>0</v>
      </c>
      <c r="K55" s="67"/>
      <c r="L55" s="67"/>
      <c r="M55" s="123">
        <v>3</v>
      </c>
      <c r="N55" s="67"/>
      <c r="O55" s="67">
        <f t="shared" si="10"/>
        <v>0</v>
      </c>
      <c r="P55" s="129">
        <v>9</v>
      </c>
      <c r="Q55" s="140">
        <f t="shared" si="11"/>
        <v>0</v>
      </c>
      <c r="R55" s="67"/>
      <c r="S55" s="67">
        <f t="shared" si="12"/>
        <v>0</v>
      </c>
      <c r="T55" s="130">
        <f t="shared" si="13"/>
        <v>9</v>
      </c>
      <c r="U55" s="140">
        <f t="shared" si="14"/>
        <v>0</v>
      </c>
    </row>
    <row r="56" spans="1:21" x14ac:dyDescent="0.25">
      <c r="I56" s="108">
        <v>0</v>
      </c>
      <c r="J56" s="109">
        <v>0</v>
      </c>
      <c r="K56" s="67"/>
      <c r="L56" s="67"/>
      <c r="M56" s="123">
        <v>3</v>
      </c>
      <c r="N56" s="67"/>
      <c r="O56" s="67">
        <f t="shared" si="10"/>
        <v>0</v>
      </c>
      <c r="P56" s="129">
        <v>9</v>
      </c>
      <c r="Q56" s="140">
        <f t="shared" si="11"/>
        <v>0</v>
      </c>
      <c r="R56" s="67"/>
      <c r="S56" s="67">
        <f t="shared" si="12"/>
        <v>0</v>
      </c>
      <c r="T56" s="130">
        <f t="shared" si="13"/>
        <v>9</v>
      </c>
      <c r="U56" s="140">
        <f t="shared" si="14"/>
        <v>0</v>
      </c>
    </row>
    <row r="57" spans="1:21" x14ac:dyDescent="0.25">
      <c r="A57" s="28"/>
      <c r="I57" s="108">
        <v>0</v>
      </c>
      <c r="J57" s="109">
        <v>0</v>
      </c>
      <c r="K57" s="67"/>
      <c r="L57" s="67"/>
      <c r="M57" s="123">
        <v>3</v>
      </c>
      <c r="N57" s="67"/>
      <c r="O57" s="67">
        <f t="shared" si="10"/>
        <v>0</v>
      </c>
      <c r="P57" s="129">
        <v>9</v>
      </c>
      <c r="Q57" s="140">
        <f t="shared" si="11"/>
        <v>0</v>
      </c>
      <c r="R57" s="67"/>
      <c r="S57" s="67">
        <f t="shared" si="12"/>
        <v>0</v>
      </c>
      <c r="T57" s="130">
        <f t="shared" si="13"/>
        <v>9</v>
      </c>
      <c r="U57" s="140">
        <f t="shared" si="14"/>
        <v>0</v>
      </c>
    </row>
    <row r="58" spans="1:21" x14ac:dyDescent="0.25">
      <c r="A58" s="28"/>
      <c r="I58" s="108">
        <v>0</v>
      </c>
      <c r="J58" s="109">
        <v>0</v>
      </c>
      <c r="K58" s="67"/>
      <c r="L58" s="67"/>
      <c r="M58" s="123">
        <v>3</v>
      </c>
      <c r="N58" s="131"/>
      <c r="O58" s="67">
        <f t="shared" si="10"/>
        <v>0</v>
      </c>
      <c r="P58" s="129">
        <v>9</v>
      </c>
      <c r="Q58" s="140">
        <f t="shared" si="11"/>
        <v>0</v>
      </c>
      <c r="R58" s="67"/>
      <c r="S58" s="67">
        <f t="shared" si="12"/>
        <v>0</v>
      </c>
      <c r="T58" s="130">
        <f t="shared" si="13"/>
        <v>9</v>
      </c>
      <c r="U58" s="140">
        <f t="shared" si="14"/>
        <v>0</v>
      </c>
    </row>
    <row r="59" spans="1:21" x14ac:dyDescent="0.25">
      <c r="A59" s="28"/>
      <c r="I59" s="108">
        <v>0</v>
      </c>
      <c r="J59" s="109">
        <v>0</v>
      </c>
      <c r="K59" s="67"/>
      <c r="L59" s="67"/>
      <c r="M59" s="123">
        <v>3</v>
      </c>
      <c r="N59" s="67"/>
      <c r="O59" s="67">
        <f t="shared" si="10"/>
        <v>0</v>
      </c>
      <c r="P59" s="129">
        <v>9</v>
      </c>
      <c r="Q59" s="140">
        <f t="shared" si="11"/>
        <v>0</v>
      </c>
      <c r="R59" s="67"/>
      <c r="S59" s="67">
        <f t="shared" si="12"/>
        <v>0</v>
      </c>
      <c r="T59" s="130">
        <f t="shared" si="13"/>
        <v>9</v>
      </c>
      <c r="U59" s="140">
        <f t="shared" si="14"/>
        <v>0</v>
      </c>
    </row>
    <row r="60" spans="1:21" x14ac:dyDescent="0.25">
      <c r="I60" s="108">
        <v>0</v>
      </c>
      <c r="J60" s="109">
        <v>0</v>
      </c>
      <c r="K60" s="67"/>
      <c r="L60" s="67"/>
      <c r="M60" s="123">
        <v>3</v>
      </c>
      <c r="N60" s="67"/>
      <c r="O60" s="67">
        <f t="shared" si="10"/>
        <v>0</v>
      </c>
      <c r="P60" s="129">
        <v>9</v>
      </c>
      <c r="Q60" s="140">
        <f t="shared" si="11"/>
        <v>0</v>
      </c>
      <c r="R60" s="67"/>
      <c r="S60" s="67">
        <f t="shared" si="12"/>
        <v>0</v>
      </c>
      <c r="T60" s="130">
        <f t="shared" si="13"/>
        <v>9</v>
      </c>
      <c r="U60" s="140">
        <f t="shared" si="14"/>
        <v>0</v>
      </c>
    </row>
    <row r="61" spans="1:21" x14ac:dyDescent="0.25">
      <c r="I61" s="108">
        <v>0</v>
      </c>
      <c r="J61" s="109">
        <v>0</v>
      </c>
      <c r="K61" s="67"/>
      <c r="L61" s="67"/>
      <c r="M61" s="123">
        <v>3</v>
      </c>
      <c r="N61" s="67"/>
      <c r="O61" s="67">
        <f t="shared" si="10"/>
        <v>0</v>
      </c>
      <c r="P61" s="129">
        <v>9</v>
      </c>
      <c r="Q61" s="140">
        <f t="shared" si="11"/>
        <v>0</v>
      </c>
      <c r="R61" s="67"/>
      <c r="S61" s="67">
        <f t="shared" si="12"/>
        <v>0</v>
      </c>
      <c r="T61" s="130">
        <f t="shared" si="13"/>
        <v>9</v>
      </c>
      <c r="U61" s="140">
        <f t="shared" si="14"/>
        <v>0</v>
      </c>
    </row>
    <row r="62" spans="1:21" x14ac:dyDescent="0.25">
      <c r="I62" s="108">
        <v>0</v>
      </c>
      <c r="J62" s="109">
        <v>0</v>
      </c>
      <c r="K62" s="67"/>
      <c r="L62" s="67"/>
      <c r="M62" s="123">
        <v>3</v>
      </c>
      <c r="N62" s="67"/>
      <c r="O62" s="67">
        <f t="shared" si="10"/>
        <v>0</v>
      </c>
      <c r="P62" s="129">
        <v>9</v>
      </c>
      <c r="Q62" s="140">
        <f t="shared" si="11"/>
        <v>0</v>
      </c>
      <c r="R62" s="67"/>
      <c r="S62" s="67">
        <f t="shared" si="12"/>
        <v>0</v>
      </c>
      <c r="T62" s="130">
        <f t="shared" si="13"/>
        <v>9</v>
      </c>
      <c r="U62" s="140">
        <f t="shared" si="14"/>
        <v>0</v>
      </c>
    </row>
    <row r="63" spans="1:21" x14ac:dyDescent="0.25">
      <c r="I63" s="108">
        <v>0</v>
      </c>
      <c r="J63" s="109">
        <v>0</v>
      </c>
      <c r="K63" s="67"/>
      <c r="L63" s="67"/>
      <c r="M63" s="123">
        <v>3</v>
      </c>
      <c r="N63" s="131"/>
      <c r="O63" s="67">
        <f t="shared" si="10"/>
        <v>0</v>
      </c>
      <c r="P63" s="129">
        <v>9</v>
      </c>
      <c r="Q63" s="140">
        <f t="shared" si="11"/>
        <v>0</v>
      </c>
      <c r="R63" s="67"/>
      <c r="S63" s="67">
        <f t="shared" si="12"/>
        <v>0</v>
      </c>
      <c r="T63" s="130">
        <f t="shared" si="13"/>
        <v>9</v>
      </c>
      <c r="U63" s="140">
        <f t="shared" si="14"/>
        <v>0</v>
      </c>
    </row>
    <row r="64" spans="1:21" x14ac:dyDescent="0.25">
      <c r="I64" s="108">
        <v>0</v>
      </c>
      <c r="J64" s="109">
        <v>0</v>
      </c>
      <c r="K64" s="67"/>
      <c r="L64" s="67"/>
      <c r="M64" s="123">
        <v>3</v>
      </c>
      <c r="N64" s="67"/>
      <c r="O64" s="67">
        <f t="shared" si="10"/>
        <v>0</v>
      </c>
      <c r="P64" s="129">
        <v>9</v>
      </c>
      <c r="Q64" s="140">
        <f t="shared" si="11"/>
        <v>0</v>
      </c>
      <c r="R64" s="67"/>
      <c r="S64" s="67">
        <f t="shared" si="12"/>
        <v>0</v>
      </c>
      <c r="T64" s="130">
        <f t="shared" si="13"/>
        <v>9</v>
      </c>
      <c r="U64" s="140">
        <f t="shared" si="14"/>
        <v>0</v>
      </c>
    </row>
    <row r="65" spans="9:21" x14ac:dyDescent="0.25">
      <c r="I65" s="108">
        <v>0</v>
      </c>
      <c r="J65" s="109">
        <v>0</v>
      </c>
      <c r="K65" s="67"/>
      <c r="L65" s="67"/>
      <c r="M65" s="123">
        <v>3</v>
      </c>
      <c r="N65" s="67"/>
      <c r="O65" s="67">
        <f t="shared" si="10"/>
        <v>0</v>
      </c>
      <c r="P65" s="129">
        <v>9</v>
      </c>
      <c r="Q65" s="140">
        <f t="shared" si="11"/>
        <v>0</v>
      </c>
      <c r="R65" s="67"/>
      <c r="S65" s="67">
        <f t="shared" si="12"/>
        <v>0</v>
      </c>
      <c r="T65" s="130">
        <f t="shared" si="13"/>
        <v>9</v>
      </c>
      <c r="U65" s="140">
        <f t="shared" si="14"/>
        <v>0</v>
      </c>
    </row>
    <row r="66" spans="9:21" x14ac:dyDescent="0.25">
      <c r="I66" s="108">
        <v>0</v>
      </c>
      <c r="J66" s="109">
        <v>0</v>
      </c>
      <c r="K66" s="67"/>
      <c r="L66" s="67"/>
      <c r="M66" s="123">
        <v>3</v>
      </c>
      <c r="N66" s="67"/>
      <c r="O66" s="67">
        <f t="shared" si="10"/>
        <v>0</v>
      </c>
      <c r="P66" s="129">
        <v>9</v>
      </c>
      <c r="Q66" s="140">
        <f t="shared" si="11"/>
        <v>0</v>
      </c>
      <c r="R66" s="67"/>
      <c r="S66" s="67">
        <f t="shared" si="12"/>
        <v>0</v>
      </c>
      <c r="T66" s="130">
        <f t="shared" si="13"/>
        <v>9</v>
      </c>
      <c r="U66" s="140">
        <f t="shared" si="14"/>
        <v>0</v>
      </c>
    </row>
    <row r="67" spans="9:21" x14ac:dyDescent="0.25">
      <c r="I67" s="108">
        <v>0</v>
      </c>
      <c r="J67" s="109">
        <v>0</v>
      </c>
      <c r="K67" s="67"/>
      <c r="L67" s="67"/>
      <c r="M67" s="123">
        <v>3</v>
      </c>
      <c r="N67" s="67"/>
      <c r="O67" s="67">
        <f t="shared" si="10"/>
        <v>0</v>
      </c>
      <c r="P67" s="129">
        <v>9</v>
      </c>
      <c r="Q67" s="140">
        <f t="shared" si="11"/>
        <v>0</v>
      </c>
      <c r="R67" s="67"/>
      <c r="S67" s="67">
        <f t="shared" si="12"/>
        <v>0</v>
      </c>
      <c r="T67" s="130">
        <f t="shared" si="13"/>
        <v>9</v>
      </c>
      <c r="U67" s="140">
        <f t="shared" si="14"/>
        <v>0</v>
      </c>
    </row>
    <row r="68" spans="9:21" x14ac:dyDescent="0.25">
      <c r="I68" s="108">
        <v>0</v>
      </c>
      <c r="J68" s="109">
        <v>0</v>
      </c>
      <c r="K68" s="67"/>
      <c r="L68" s="67"/>
      <c r="M68" s="123">
        <v>3</v>
      </c>
      <c r="N68" s="67"/>
      <c r="O68" s="67">
        <f t="shared" si="10"/>
        <v>0</v>
      </c>
      <c r="P68" s="129">
        <v>9</v>
      </c>
      <c r="Q68" s="140">
        <f t="shared" si="11"/>
        <v>0</v>
      </c>
      <c r="R68" s="67"/>
      <c r="S68" s="67">
        <f t="shared" si="12"/>
        <v>0</v>
      </c>
      <c r="T68" s="130">
        <f t="shared" si="13"/>
        <v>9</v>
      </c>
      <c r="U68" s="140">
        <f t="shared" si="14"/>
        <v>0</v>
      </c>
    </row>
    <row r="69" spans="9:21" x14ac:dyDescent="0.25">
      <c r="I69" s="108">
        <v>0</v>
      </c>
      <c r="J69" s="109">
        <v>0</v>
      </c>
      <c r="K69" s="67"/>
      <c r="L69" s="67"/>
      <c r="M69" s="123">
        <v>3</v>
      </c>
      <c r="N69" s="131"/>
      <c r="O69" s="67">
        <f t="shared" si="10"/>
        <v>0</v>
      </c>
      <c r="P69" s="129">
        <v>9</v>
      </c>
      <c r="Q69" s="140">
        <f t="shared" si="11"/>
        <v>0</v>
      </c>
      <c r="R69" s="67"/>
      <c r="S69" s="67">
        <f t="shared" si="12"/>
        <v>0</v>
      </c>
      <c r="T69" s="130">
        <f t="shared" si="13"/>
        <v>9</v>
      </c>
      <c r="U69" s="140">
        <f t="shared" si="14"/>
        <v>0</v>
      </c>
    </row>
    <row r="70" spans="9:21" x14ac:dyDescent="0.25">
      <c r="I70" s="108">
        <v>0</v>
      </c>
      <c r="J70" s="109">
        <v>0</v>
      </c>
      <c r="K70" s="67"/>
      <c r="L70" s="67"/>
      <c r="M70" s="123">
        <v>3</v>
      </c>
      <c r="N70" s="67"/>
      <c r="O70" s="67">
        <f t="shared" si="10"/>
        <v>0</v>
      </c>
      <c r="P70" s="129">
        <v>9</v>
      </c>
      <c r="Q70" s="140">
        <f t="shared" si="11"/>
        <v>0</v>
      </c>
      <c r="R70" s="67"/>
      <c r="S70" s="67">
        <f t="shared" si="12"/>
        <v>0</v>
      </c>
      <c r="T70" s="130">
        <f t="shared" si="13"/>
        <v>9</v>
      </c>
      <c r="U70" s="140">
        <f t="shared" si="14"/>
        <v>0</v>
      </c>
    </row>
    <row r="71" spans="9:21" x14ac:dyDescent="0.25">
      <c r="I71" s="108">
        <v>0</v>
      </c>
      <c r="J71" s="109">
        <v>0</v>
      </c>
      <c r="K71" s="67"/>
      <c r="L71" s="67"/>
      <c r="M71" s="123">
        <v>3</v>
      </c>
      <c r="N71" s="67"/>
      <c r="O71" s="67">
        <f t="shared" si="10"/>
        <v>0</v>
      </c>
      <c r="P71" s="129">
        <v>9</v>
      </c>
      <c r="Q71" s="140">
        <f t="shared" si="11"/>
        <v>0</v>
      </c>
      <c r="R71" s="67"/>
      <c r="S71" s="67">
        <f t="shared" si="12"/>
        <v>0</v>
      </c>
      <c r="T71" s="130">
        <f t="shared" si="13"/>
        <v>9</v>
      </c>
      <c r="U71" s="140">
        <f t="shared" si="14"/>
        <v>0</v>
      </c>
    </row>
    <row r="72" spans="9:21" x14ac:dyDescent="0.25">
      <c r="I72" s="108">
        <v>0</v>
      </c>
      <c r="J72" s="109">
        <v>0</v>
      </c>
      <c r="K72" s="67"/>
      <c r="L72" s="67"/>
      <c r="M72" s="123">
        <v>3</v>
      </c>
      <c r="N72" s="67"/>
      <c r="O72" s="67">
        <f t="shared" si="10"/>
        <v>0</v>
      </c>
      <c r="P72" s="129">
        <v>9</v>
      </c>
      <c r="Q72" s="140">
        <f t="shared" si="11"/>
        <v>0</v>
      </c>
      <c r="R72" s="67"/>
      <c r="S72" s="67">
        <f t="shared" si="12"/>
        <v>0</v>
      </c>
      <c r="T72" s="130">
        <f t="shared" si="13"/>
        <v>9</v>
      </c>
      <c r="U72" s="140">
        <f t="shared" si="14"/>
        <v>0</v>
      </c>
    </row>
    <row r="73" spans="9:21" x14ac:dyDescent="0.25">
      <c r="I73" s="108">
        <v>0</v>
      </c>
      <c r="J73" s="109">
        <v>0</v>
      </c>
      <c r="K73" s="67"/>
      <c r="L73" s="67"/>
      <c r="M73" s="123">
        <v>3</v>
      </c>
      <c r="N73" s="67"/>
      <c r="O73" s="67">
        <f t="shared" si="10"/>
        <v>0</v>
      </c>
      <c r="P73" s="129">
        <v>9</v>
      </c>
      <c r="Q73" s="140">
        <f t="shared" si="11"/>
        <v>0</v>
      </c>
      <c r="R73" s="67"/>
      <c r="S73" s="67">
        <f t="shared" si="12"/>
        <v>0</v>
      </c>
      <c r="T73" s="130">
        <f t="shared" si="13"/>
        <v>9</v>
      </c>
      <c r="U73" s="140">
        <f t="shared" si="14"/>
        <v>0</v>
      </c>
    </row>
    <row r="74" spans="9:21" x14ac:dyDescent="0.25">
      <c r="I74" s="108">
        <v>0</v>
      </c>
      <c r="J74" s="109">
        <v>0</v>
      </c>
      <c r="K74" s="67"/>
      <c r="L74" s="67"/>
      <c r="M74" s="123">
        <v>3</v>
      </c>
      <c r="N74" s="131"/>
      <c r="O74" s="67">
        <f t="shared" si="10"/>
        <v>0</v>
      </c>
      <c r="P74" s="129">
        <v>9</v>
      </c>
      <c r="Q74" s="140">
        <f t="shared" si="11"/>
        <v>0</v>
      </c>
      <c r="R74" s="67"/>
      <c r="S74" s="67">
        <f t="shared" si="12"/>
        <v>0</v>
      </c>
      <c r="T74" s="130">
        <f t="shared" si="13"/>
        <v>9</v>
      </c>
      <c r="U74" s="140">
        <f t="shared" si="14"/>
        <v>0</v>
      </c>
    </row>
    <row r="75" spans="9:21" x14ac:dyDescent="0.25">
      <c r="I75" s="108">
        <v>0</v>
      </c>
      <c r="J75" s="109">
        <v>0</v>
      </c>
      <c r="K75" s="67"/>
      <c r="L75" s="67"/>
      <c r="M75" s="123">
        <v>3</v>
      </c>
      <c r="N75" s="67"/>
      <c r="O75" s="67">
        <f t="shared" si="10"/>
        <v>0</v>
      </c>
      <c r="P75" s="129">
        <v>9</v>
      </c>
      <c r="Q75" s="140">
        <f t="shared" si="11"/>
        <v>0</v>
      </c>
      <c r="R75" s="67"/>
      <c r="S75" s="67">
        <f t="shared" si="12"/>
        <v>0</v>
      </c>
      <c r="T75" s="130">
        <f t="shared" si="13"/>
        <v>9</v>
      </c>
      <c r="U75" s="140">
        <f t="shared" si="14"/>
        <v>0</v>
      </c>
    </row>
    <row r="76" spans="9:21" x14ac:dyDescent="0.25">
      <c r="I76" s="108">
        <v>0</v>
      </c>
      <c r="J76" s="109">
        <v>0</v>
      </c>
      <c r="K76" s="67"/>
      <c r="L76" s="67"/>
      <c r="M76" s="123">
        <v>3</v>
      </c>
      <c r="N76" s="67"/>
      <c r="O76" s="67">
        <f t="shared" si="10"/>
        <v>0</v>
      </c>
      <c r="P76" s="129">
        <v>9</v>
      </c>
      <c r="Q76" s="140">
        <f t="shared" si="11"/>
        <v>0</v>
      </c>
      <c r="R76" s="67"/>
      <c r="S76" s="67">
        <f t="shared" si="12"/>
        <v>0</v>
      </c>
      <c r="T76" s="130">
        <f t="shared" si="13"/>
        <v>9</v>
      </c>
      <c r="U76" s="140">
        <f t="shared" si="14"/>
        <v>0</v>
      </c>
    </row>
  </sheetData>
  <sortState ref="F2:U52">
    <sortCondition ref="U2:U52"/>
  </sortState>
  <mergeCells count="5">
    <mergeCell ref="A1:D1"/>
    <mergeCell ref="A2:A3"/>
    <mergeCell ref="B2:B3"/>
    <mergeCell ref="C2:C3"/>
    <mergeCell ref="D2:D3"/>
  </mergeCells>
  <conditionalFormatting sqref="J2:J76">
    <cfRule type="colorScale" priority="4251">
      <colorScale>
        <cfvo type="min"/>
        <cfvo type="max"/>
        <color rgb="FFFCFCFF"/>
        <color rgb="FFF8696B"/>
      </colorScale>
    </cfRule>
  </conditionalFormatting>
  <conditionalFormatting sqref="I2:I76">
    <cfRule type="dataBar" priority="4253">
      <dataBar>
        <cfvo type="min"/>
        <cfvo type="max"/>
        <color rgb="FFFFB628"/>
      </dataBar>
      <extLst>
        <ext xmlns:x14="http://schemas.microsoft.com/office/spreadsheetml/2009/9/main" uri="{B025F937-C7B1-47D3-B67F-A62EFF666E3E}">
          <x14:id>{A109550C-2FA1-4E2F-9B66-866D08B4621C}</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109550C-2FA1-4E2F-9B66-866D08B4621C}">
            <x14:dataBar minLength="0" maxLength="100" border="1" negativeBarBorderColorSameAsPositive="0">
              <x14:cfvo type="autoMin"/>
              <x14:cfvo type="autoMax"/>
              <x14:borderColor rgb="FFFFB628"/>
              <x14:negativeFillColor rgb="FFFF0000"/>
              <x14:negativeBorderColor rgb="FFFF0000"/>
              <x14:axisColor rgb="FF000000"/>
            </x14:dataBar>
          </x14:cfRule>
          <xm:sqref>I2:I76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T32"/>
  <sheetViews>
    <sheetView workbookViewId="0">
      <selection activeCell="C7" sqref="C7"/>
    </sheetView>
  </sheetViews>
  <sheetFormatPr baseColWidth="10" defaultColWidth="11.42578125" defaultRowHeight="15" x14ac:dyDescent="0.25"/>
  <cols>
    <col min="1" max="1" width="12.28515625" bestFit="1" customWidth="1"/>
    <col min="2" max="2" width="15.85546875" bestFit="1" customWidth="1"/>
    <col min="3" max="3" width="10.7109375" bestFit="1" customWidth="1"/>
    <col min="4" max="4" width="7.7109375" bestFit="1" customWidth="1"/>
    <col min="5" max="5" width="5.140625" customWidth="1"/>
    <col min="6" max="6" width="5.28515625" style="200" bestFit="1" customWidth="1"/>
    <col min="7" max="7" width="20.85546875" bestFit="1" customWidth="1"/>
    <col min="8" max="8" width="5.85546875" style="188" customWidth="1"/>
    <col min="9" max="9" width="6.85546875" customWidth="1"/>
    <col min="10" max="10" width="5.28515625" style="200" bestFit="1" customWidth="1"/>
    <col min="11" max="11" width="21.7109375" bestFit="1" customWidth="1"/>
    <col min="12" max="12" width="5.85546875" customWidth="1"/>
    <col min="13" max="13" width="6.140625" customWidth="1"/>
    <col min="14" max="14" width="5.28515625" style="200" bestFit="1" customWidth="1"/>
    <col min="15" max="15" width="22" bestFit="1" customWidth="1"/>
    <col min="16" max="16" width="5.85546875" customWidth="1"/>
    <col min="17" max="17" width="5.140625" customWidth="1"/>
    <col min="18" max="18" width="5.28515625" style="200" bestFit="1" customWidth="1"/>
    <col min="19" max="19" width="21.28515625" bestFit="1" customWidth="1"/>
    <col min="20" max="20" width="5.85546875" customWidth="1"/>
  </cols>
  <sheetData>
    <row r="1" spans="1:20" x14ac:dyDescent="0.25">
      <c r="A1" s="189" t="s">
        <v>327</v>
      </c>
      <c r="F1" s="199" t="s">
        <v>374</v>
      </c>
      <c r="G1" s="241" t="s">
        <v>334</v>
      </c>
      <c r="H1" s="241"/>
      <c r="J1" s="199" t="s">
        <v>374</v>
      </c>
      <c r="K1" s="241" t="s">
        <v>375</v>
      </c>
      <c r="L1" s="241"/>
      <c r="N1" s="199" t="s">
        <v>374</v>
      </c>
      <c r="O1" s="241" t="s">
        <v>386</v>
      </c>
      <c r="P1" s="241"/>
      <c r="R1" s="199" t="s">
        <v>374</v>
      </c>
      <c r="S1" s="241" t="s">
        <v>405</v>
      </c>
      <c r="T1" s="241"/>
    </row>
    <row r="2" spans="1:20" x14ac:dyDescent="0.25">
      <c r="A2" s="28">
        <v>43634</v>
      </c>
      <c r="F2" s="63">
        <v>1</v>
      </c>
      <c r="G2" s="190" t="s">
        <v>335</v>
      </c>
      <c r="H2" s="188" t="s">
        <v>336</v>
      </c>
      <c r="J2" s="63">
        <v>1</v>
      </c>
      <c r="K2" s="190" t="s">
        <v>358</v>
      </c>
      <c r="L2" s="188">
        <v>175</v>
      </c>
      <c r="N2" s="63">
        <v>1</v>
      </c>
      <c r="O2" s="190" t="s">
        <v>358</v>
      </c>
      <c r="P2" s="188">
        <v>71</v>
      </c>
      <c r="R2" s="63">
        <v>1</v>
      </c>
      <c r="S2" s="190" t="s">
        <v>343</v>
      </c>
      <c r="T2" s="188">
        <v>58</v>
      </c>
    </row>
    <row r="3" spans="1:20" x14ac:dyDescent="0.25">
      <c r="F3" s="63">
        <v>2</v>
      </c>
      <c r="G3" s="190" t="s">
        <v>337</v>
      </c>
      <c r="H3" s="188" t="s">
        <v>338</v>
      </c>
      <c r="J3" s="63">
        <v>2</v>
      </c>
      <c r="K3" s="190" t="s">
        <v>376</v>
      </c>
      <c r="L3" s="188">
        <v>155</v>
      </c>
      <c r="N3" s="63">
        <v>2</v>
      </c>
      <c r="O3" s="190" t="s">
        <v>379</v>
      </c>
      <c r="P3" s="188">
        <v>29</v>
      </c>
      <c r="R3" s="63">
        <v>2</v>
      </c>
      <c r="S3" s="190" t="s">
        <v>377</v>
      </c>
      <c r="T3" s="188">
        <v>57</v>
      </c>
    </row>
    <row r="4" spans="1:20" x14ac:dyDescent="0.25">
      <c r="A4" s="189" t="s">
        <v>328</v>
      </c>
      <c r="F4" s="63">
        <v>3</v>
      </c>
      <c r="G4" s="190" t="s">
        <v>339</v>
      </c>
      <c r="H4" s="188" t="s">
        <v>340</v>
      </c>
      <c r="J4" s="63">
        <v>3</v>
      </c>
      <c r="K4" s="190" t="s">
        <v>344</v>
      </c>
      <c r="L4" s="188">
        <v>145</v>
      </c>
      <c r="N4" s="63">
        <v>3</v>
      </c>
      <c r="O4" s="190" t="s">
        <v>387</v>
      </c>
      <c r="P4" s="188">
        <v>16</v>
      </c>
      <c r="R4" s="63">
        <v>3</v>
      </c>
      <c r="S4" s="190" t="s">
        <v>337</v>
      </c>
      <c r="T4" s="188">
        <v>44</v>
      </c>
    </row>
    <row r="5" spans="1:20" x14ac:dyDescent="0.25">
      <c r="A5" s="211" t="s">
        <v>329</v>
      </c>
      <c r="B5" t="s">
        <v>444</v>
      </c>
      <c r="C5" s="28">
        <v>42847</v>
      </c>
      <c r="D5" t="s">
        <v>330</v>
      </c>
      <c r="F5" s="63">
        <v>4</v>
      </c>
      <c r="G5" s="190" t="s">
        <v>341</v>
      </c>
      <c r="H5" s="188" t="s">
        <v>342</v>
      </c>
      <c r="J5" s="63">
        <v>4</v>
      </c>
      <c r="K5" s="190" t="s">
        <v>341</v>
      </c>
      <c r="L5" s="188">
        <v>144</v>
      </c>
      <c r="N5" s="63">
        <v>4</v>
      </c>
      <c r="O5" s="190" t="s">
        <v>388</v>
      </c>
      <c r="P5" s="188">
        <v>12</v>
      </c>
      <c r="R5" s="63">
        <v>4</v>
      </c>
      <c r="S5" s="190" t="s">
        <v>335</v>
      </c>
      <c r="T5" s="188">
        <v>42</v>
      </c>
    </row>
    <row r="6" spans="1:20" x14ac:dyDescent="0.25">
      <c r="A6" s="211" t="s">
        <v>331</v>
      </c>
      <c r="B6" t="s">
        <v>332</v>
      </c>
      <c r="C6" s="28">
        <v>42991</v>
      </c>
      <c r="D6" t="s">
        <v>333</v>
      </c>
      <c r="F6" s="63">
        <v>5</v>
      </c>
      <c r="G6" s="190" t="s">
        <v>343</v>
      </c>
      <c r="H6" s="188" t="s">
        <v>342</v>
      </c>
      <c r="J6" s="63">
        <v>5</v>
      </c>
      <c r="K6" s="190" t="s">
        <v>335</v>
      </c>
      <c r="L6" s="188">
        <v>141</v>
      </c>
      <c r="N6" s="63">
        <v>5</v>
      </c>
      <c r="O6" s="190" t="s">
        <v>389</v>
      </c>
      <c r="P6" s="188">
        <v>11</v>
      </c>
      <c r="R6" s="63">
        <v>5</v>
      </c>
      <c r="S6" s="197" t="s">
        <v>272</v>
      </c>
      <c r="T6" s="192">
        <v>40</v>
      </c>
    </row>
    <row r="7" spans="1:20" x14ac:dyDescent="0.25">
      <c r="F7" s="63">
        <v>6</v>
      </c>
      <c r="G7" s="190" t="s">
        <v>344</v>
      </c>
      <c r="H7" s="188" t="s">
        <v>345</v>
      </c>
      <c r="J7" s="63">
        <v>6</v>
      </c>
      <c r="K7" s="190" t="s">
        <v>377</v>
      </c>
      <c r="L7" s="188">
        <v>140</v>
      </c>
      <c r="N7" s="63">
        <v>5</v>
      </c>
      <c r="O7" s="190" t="s">
        <v>390</v>
      </c>
      <c r="P7" s="188">
        <v>11</v>
      </c>
      <c r="R7" s="63">
        <v>6</v>
      </c>
      <c r="S7" s="190" t="s">
        <v>339</v>
      </c>
      <c r="T7" s="188">
        <v>27</v>
      </c>
    </row>
    <row r="8" spans="1:20" x14ac:dyDescent="0.25">
      <c r="F8" s="63">
        <v>7</v>
      </c>
      <c r="G8" s="190" t="s">
        <v>346</v>
      </c>
      <c r="H8" s="188" t="s">
        <v>347</v>
      </c>
      <c r="J8" s="63">
        <v>7</v>
      </c>
      <c r="K8" s="190" t="s">
        <v>380</v>
      </c>
      <c r="L8" s="188">
        <v>135</v>
      </c>
      <c r="N8" s="63">
        <v>7</v>
      </c>
      <c r="O8" s="190" t="s">
        <v>391</v>
      </c>
      <c r="P8" s="188">
        <v>6</v>
      </c>
      <c r="R8" s="63">
        <v>7</v>
      </c>
      <c r="S8" s="197" t="s">
        <v>433</v>
      </c>
      <c r="T8" s="211">
        <v>24</v>
      </c>
    </row>
    <row r="9" spans="1:20" x14ac:dyDescent="0.25">
      <c r="F9" s="63">
        <v>8</v>
      </c>
      <c r="G9" s="190" t="s">
        <v>349</v>
      </c>
      <c r="H9" s="188" t="s">
        <v>348</v>
      </c>
      <c r="J9" s="63">
        <v>8</v>
      </c>
      <c r="K9" s="190" t="s">
        <v>349</v>
      </c>
      <c r="L9" s="188">
        <v>111</v>
      </c>
      <c r="N9" s="63">
        <v>8</v>
      </c>
      <c r="O9" s="193" t="s">
        <v>437</v>
      </c>
      <c r="P9" s="188">
        <v>6</v>
      </c>
      <c r="R9" s="63">
        <v>8</v>
      </c>
      <c r="S9" s="190" t="s">
        <v>382</v>
      </c>
      <c r="T9" s="188">
        <v>22</v>
      </c>
    </row>
    <row r="10" spans="1:20" x14ac:dyDescent="0.25">
      <c r="F10" s="63">
        <v>9</v>
      </c>
      <c r="G10" s="190" t="s">
        <v>350</v>
      </c>
      <c r="H10" s="188" t="s">
        <v>348</v>
      </c>
      <c r="J10" s="63">
        <v>9</v>
      </c>
      <c r="K10" s="190" t="s">
        <v>378</v>
      </c>
      <c r="L10" s="188">
        <v>105</v>
      </c>
      <c r="N10" s="63">
        <v>9</v>
      </c>
      <c r="O10" s="190" t="s">
        <v>392</v>
      </c>
      <c r="P10" s="188">
        <v>4</v>
      </c>
      <c r="R10" s="63">
        <v>9</v>
      </c>
      <c r="S10" s="190" t="s">
        <v>406</v>
      </c>
      <c r="T10" s="188">
        <v>20</v>
      </c>
    </row>
    <row r="11" spans="1:20" x14ac:dyDescent="0.25">
      <c r="F11" s="63">
        <v>10</v>
      </c>
      <c r="G11" s="190" t="s">
        <v>351</v>
      </c>
      <c r="H11" s="188" t="s">
        <v>348</v>
      </c>
      <c r="J11" s="63">
        <v>10</v>
      </c>
      <c r="K11" s="190" t="s">
        <v>379</v>
      </c>
      <c r="L11" s="188">
        <v>93</v>
      </c>
      <c r="N11" s="63">
        <v>10</v>
      </c>
      <c r="O11" s="190" t="s">
        <v>393</v>
      </c>
      <c r="P11" s="188">
        <v>3</v>
      </c>
      <c r="R11" s="63">
        <v>10</v>
      </c>
      <c r="S11" s="190" t="s">
        <v>385</v>
      </c>
      <c r="T11" s="188">
        <v>13</v>
      </c>
    </row>
    <row r="12" spans="1:20" x14ac:dyDescent="0.25">
      <c r="F12" s="63">
        <v>11</v>
      </c>
      <c r="G12" s="190" t="s">
        <v>352</v>
      </c>
      <c r="H12" s="188" t="s">
        <v>348</v>
      </c>
      <c r="J12" s="63">
        <v>11</v>
      </c>
      <c r="K12" s="197" t="s">
        <v>267</v>
      </c>
      <c r="L12" s="188">
        <v>87</v>
      </c>
      <c r="N12" s="63">
        <v>10</v>
      </c>
      <c r="O12" s="193" t="s">
        <v>415</v>
      </c>
      <c r="P12" s="188">
        <v>3</v>
      </c>
      <c r="R12" s="63">
        <v>10</v>
      </c>
      <c r="S12" s="190" t="s">
        <v>407</v>
      </c>
      <c r="T12" s="188">
        <v>12</v>
      </c>
    </row>
    <row r="13" spans="1:20" x14ac:dyDescent="0.25">
      <c r="F13" s="63">
        <v>12</v>
      </c>
      <c r="G13" s="190" t="s">
        <v>354</v>
      </c>
      <c r="H13" s="188" t="s">
        <v>353</v>
      </c>
      <c r="J13" s="63">
        <v>12</v>
      </c>
      <c r="K13" s="190" t="s">
        <v>365</v>
      </c>
      <c r="L13" s="188">
        <v>83</v>
      </c>
      <c r="N13" s="63">
        <v>12</v>
      </c>
      <c r="O13" s="190" t="s">
        <v>394</v>
      </c>
      <c r="P13" s="188">
        <v>2</v>
      </c>
      <c r="R13" s="63">
        <v>10</v>
      </c>
      <c r="S13" s="196" t="s">
        <v>324</v>
      </c>
      <c r="T13" s="188">
        <v>12</v>
      </c>
    </row>
    <row r="14" spans="1:20" x14ac:dyDescent="0.25">
      <c r="F14" s="63">
        <v>13</v>
      </c>
      <c r="G14" s="190" t="s">
        <v>355</v>
      </c>
      <c r="H14" s="188" t="s">
        <v>353</v>
      </c>
      <c r="J14" s="63">
        <v>13</v>
      </c>
      <c r="K14" s="197" t="s">
        <v>441</v>
      </c>
      <c r="L14" s="188">
        <v>81</v>
      </c>
      <c r="N14" s="63">
        <v>12</v>
      </c>
      <c r="O14" s="196" t="s">
        <v>416</v>
      </c>
      <c r="P14" s="195">
        <v>2</v>
      </c>
      <c r="R14" s="63">
        <v>13</v>
      </c>
      <c r="S14" s="190" t="s">
        <v>408</v>
      </c>
      <c r="T14" s="188">
        <v>11</v>
      </c>
    </row>
    <row r="15" spans="1:20" x14ac:dyDescent="0.25">
      <c r="F15" s="63">
        <v>14</v>
      </c>
      <c r="G15" s="190" t="s">
        <v>356</v>
      </c>
      <c r="H15" s="188" t="s">
        <v>353</v>
      </c>
      <c r="J15" s="63">
        <v>14</v>
      </c>
      <c r="K15" s="190" t="s">
        <v>366</v>
      </c>
      <c r="L15" s="188">
        <v>78</v>
      </c>
      <c r="N15" s="63">
        <v>14</v>
      </c>
      <c r="O15" s="190" t="s">
        <v>395</v>
      </c>
      <c r="P15" s="188">
        <v>1</v>
      </c>
      <c r="R15" s="63">
        <v>13</v>
      </c>
      <c r="S15" s="190" t="s">
        <v>389</v>
      </c>
      <c r="T15" s="188">
        <v>11</v>
      </c>
    </row>
    <row r="16" spans="1:20" x14ac:dyDescent="0.25">
      <c r="F16" s="63">
        <v>15</v>
      </c>
      <c r="G16" s="190" t="s">
        <v>357</v>
      </c>
      <c r="H16" s="188" t="s">
        <v>353</v>
      </c>
      <c r="J16" s="63">
        <v>15</v>
      </c>
      <c r="K16" s="197" t="s">
        <v>272</v>
      </c>
      <c r="L16" s="188">
        <v>77</v>
      </c>
      <c r="N16" s="63">
        <v>14</v>
      </c>
      <c r="O16" s="190" t="s">
        <v>396</v>
      </c>
      <c r="P16" s="188">
        <v>1</v>
      </c>
      <c r="R16" s="63">
        <v>14</v>
      </c>
      <c r="S16" s="190" t="s">
        <v>409</v>
      </c>
      <c r="T16" s="188">
        <v>8</v>
      </c>
    </row>
    <row r="17" spans="6:20" x14ac:dyDescent="0.25">
      <c r="F17" s="63">
        <v>16</v>
      </c>
      <c r="G17" s="190" t="s">
        <v>358</v>
      </c>
      <c r="H17" s="188" t="s">
        <v>353</v>
      </c>
      <c r="J17" s="63">
        <v>16</v>
      </c>
      <c r="K17" s="197" t="s">
        <v>442</v>
      </c>
      <c r="L17" s="188">
        <v>75</v>
      </c>
      <c r="N17" s="63">
        <v>14</v>
      </c>
      <c r="O17" s="190" t="s">
        <v>397</v>
      </c>
      <c r="P17" s="188">
        <v>1</v>
      </c>
      <c r="R17" s="63">
        <v>14</v>
      </c>
      <c r="S17" s="190" t="s">
        <v>410</v>
      </c>
      <c r="T17" s="188">
        <v>8</v>
      </c>
    </row>
    <row r="18" spans="6:20" x14ac:dyDescent="0.25">
      <c r="F18" s="63">
        <v>17</v>
      </c>
      <c r="G18" s="190" t="s">
        <v>360</v>
      </c>
      <c r="H18" s="188" t="s">
        <v>359</v>
      </c>
      <c r="J18" s="63">
        <v>17</v>
      </c>
      <c r="K18" s="213" t="s">
        <v>326</v>
      </c>
      <c r="L18" s="188">
        <v>75</v>
      </c>
      <c r="N18" s="63">
        <v>14</v>
      </c>
      <c r="O18" s="190" t="s">
        <v>398</v>
      </c>
      <c r="P18" s="188">
        <v>1</v>
      </c>
      <c r="R18" s="63">
        <v>14</v>
      </c>
      <c r="S18" s="190" t="s">
        <v>384</v>
      </c>
      <c r="T18" s="188">
        <v>8</v>
      </c>
    </row>
    <row r="19" spans="6:20" x14ac:dyDescent="0.25">
      <c r="F19" s="63">
        <v>18</v>
      </c>
      <c r="G19" s="190" t="s">
        <v>361</v>
      </c>
      <c r="H19" s="188" t="s">
        <v>359</v>
      </c>
      <c r="J19" s="63">
        <v>18</v>
      </c>
      <c r="K19" s="190" t="s">
        <v>356</v>
      </c>
      <c r="L19" s="188">
        <v>67</v>
      </c>
      <c r="N19" s="63">
        <v>14</v>
      </c>
      <c r="O19" s="190" t="s">
        <v>399</v>
      </c>
      <c r="P19" s="188">
        <v>1</v>
      </c>
      <c r="R19" s="63">
        <v>17</v>
      </c>
      <c r="S19" s="190" t="s">
        <v>411</v>
      </c>
      <c r="T19" s="188">
        <v>7</v>
      </c>
    </row>
    <row r="20" spans="6:20" x14ac:dyDescent="0.25">
      <c r="F20" s="63">
        <v>19</v>
      </c>
      <c r="G20" s="190" t="s">
        <v>362</v>
      </c>
      <c r="H20" s="188" t="s">
        <v>359</v>
      </c>
      <c r="J20" s="63">
        <v>19</v>
      </c>
      <c r="K20" s="190" t="s">
        <v>343</v>
      </c>
      <c r="L20" s="188">
        <v>64</v>
      </c>
      <c r="N20" s="63">
        <v>14</v>
      </c>
      <c r="O20" s="190" t="s">
        <v>400</v>
      </c>
      <c r="P20" s="188">
        <v>1</v>
      </c>
      <c r="R20" s="63">
        <v>17</v>
      </c>
      <c r="S20" s="190" t="s">
        <v>412</v>
      </c>
      <c r="T20" s="188">
        <v>7</v>
      </c>
    </row>
    <row r="21" spans="6:20" x14ac:dyDescent="0.25">
      <c r="F21" s="63">
        <v>20</v>
      </c>
      <c r="G21" s="190" t="s">
        <v>363</v>
      </c>
      <c r="H21" s="188" t="s">
        <v>359</v>
      </c>
      <c r="J21" s="63">
        <v>20</v>
      </c>
      <c r="K21" s="190" t="s">
        <v>367</v>
      </c>
      <c r="L21" s="188">
        <v>60</v>
      </c>
      <c r="N21" s="63">
        <v>14</v>
      </c>
      <c r="O21" s="190" t="s">
        <v>401</v>
      </c>
      <c r="P21" s="188">
        <v>1</v>
      </c>
      <c r="R21" s="63">
        <v>19</v>
      </c>
      <c r="S21" s="190" t="s">
        <v>413</v>
      </c>
      <c r="T21" s="188">
        <v>6</v>
      </c>
    </row>
    <row r="22" spans="6:20" x14ac:dyDescent="0.25">
      <c r="F22" s="63">
        <v>21</v>
      </c>
      <c r="G22" s="190" t="s">
        <v>364</v>
      </c>
      <c r="H22" s="188" t="s">
        <v>359</v>
      </c>
      <c r="J22" s="63">
        <v>20</v>
      </c>
      <c r="K22" s="190" t="s">
        <v>357</v>
      </c>
      <c r="L22" s="188">
        <v>60</v>
      </c>
      <c r="N22" s="63">
        <v>14</v>
      </c>
      <c r="O22" s="190" t="s">
        <v>402</v>
      </c>
      <c r="P22" s="188">
        <v>1</v>
      </c>
      <c r="R22" s="63">
        <v>19</v>
      </c>
      <c r="S22" s="190" t="s">
        <v>414</v>
      </c>
      <c r="T22" s="188">
        <v>6</v>
      </c>
    </row>
    <row r="23" spans="6:20" x14ac:dyDescent="0.25">
      <c r="F23" s="63">
        <v>22</v>
      </c>
      <c r="G23" s="190" t="s">
        <v>365</v>
      </c>
      <c r="H23" s="188" t="s">
        <v>359</v>
      </c>
      <c r="J23" s="63">
        <v>22</v>
      </c>
      <c r="K23" s="190" t="s">
        <v>381</v>
      </c>
      <c r="L23" s="188">
        <v>58</v>
      </c>
      <c r="N23" s="63">
        <v>14</v>
      </c>
      <c r="O23" s="190" t="s">
        <v>403</v>
      </c>
      <c r="P23" s="188">
        <v>1</v>
      </c>
      <c r="R23" s="63">
        <v>19</v>
      </c>
      <c r="S23" s="190" t="s">
        <v>380</v>
      </c>
      <c r="T23" s="188">
        <v>6</v>
      </c>
    </row>
    <row r="24" spans="6:20" x14ac:dyDescent="0.25">
      <c r="F24" s="63">
        <v>23</v>
      </c>
      <c r="G24" s="190" t="s">
        <v>366</v>
      </c>
      <c r="H24" s="188" t="s">
        <v>359</v>
      </c>
      <c r="J24" s="63">
        <v>23</v>
      </c>
      <c r="K24" s="190" t="s">
        <v>382</v>
      </c>
      <c r="L24" s="188">
        <v>57</v>
      </c>
      <c r="N24" s="63">
        <v>14</v>
      </c>
      <c r="O24" s="190" t="s">
        <v>404</v>
      </c>
      <c r="P24" s="188">
        <v>1</v>
      </c>
      <c r="R24" s="63">
        <v>19</v>
      </c>
      <c r="S24" s="197" t="s">
        <v>445</v>
      </c>
      <c r="T24" s="214">
        <v>6</v>
      </c>
    </row>
    <row r="25" spans="6:20" x14ac:dyDescent="0.25">
      <c r="F25" s="63">
        <v>24</v>
      </c>
      <c r="G25" s="190" t="s">
        <v>367</v>
      </c>
      <c r="H25" s="188" t="s">
        <v>359</v>
      </c>
      <c r="J25" s="63">
        <v>23</v>
      </c>
      <c r="K25" s="190" t="s">
        <v>337</v>
      </c>
      <c r="L25" s="188">
        <v>57</v>
      </c>
      <c r="N25" s="63">
        <v>14</v>
      </c>
      <c r="O25" s="193" t="s">
        <v>443</v>
      </c>
      <c r="P25" s="188">
        <v>1</v>
      </c>
    </row>
    <row r="26" spans="6:20" x14ac:dyDescent="0.25">
      <c r="F26" s="63">
        <v>25</v>
      </c>
      <c r="G26" s="190" t="s">
        <v>368</v>
      </c>
      <c r="H26" s="188" t="s">
        <v>359</v>
      </c>
      <c r="J26" s="63">
        <v>25</v>
      </c>
      <c r="K26" s="190" t="s">
        <v>383</v>
      </c>
      <c r="L26" s="188">
        <v>56</v>
      </c>
      <c r="O26" s="107"/>
      <c r="P26" s="188"/>
    </row>
    <row r="27" spans="6:20" x14ac:dyDescent="0.25">
      <c r="F27" s="63">
        <v>26</v>
      </c>
      <c r="G27" s="190" t="s">
        <v>369</v>
      </c>
      <c r="H27" s="188" t="s">
        <v>359</v>
      </c>
      <c r="J27" s="63">
        <v>26</v>
      </c>
      <c r="K27" s="190" t="s">
        <v>361</v>
      </c>
      <c r="L27" s="188">
        <v>56</v>
      </c>
      <c r="O27" s="107"/>
      <c r="P27" s="188"/>
    </row>
    <row r="28" spans="6:20" x14ac:dyDescent="0.25">
      <c r="F28" s="63">
        <v>27</v>
      </c>
      <c r="G28" s="190" t="s">
        <v>370</v>
      </c>
      <c r="H28" s="188" t="s">
        <v>359</v>
      </c>
      <c r="J28" s="63">
        <v>27</v>
      </c>
      <c r="K28" s="190" t="s">
        <v>346</v>
      </c>
      <c r="L28" s="188">
        <v>54</v>
      </c>
      <c r="O28" s="107"/>
      <c r="P28" s="188"/>
    </row>
    <row r="29" spans="6:20" x14ac:dyDescent="0.25">
      <c r="F29" s="63">
        <v>28</v>
      </c>
      <c r="G29" s="190" t="s">
        <v>371</v>
      </c>
      <c r="H29" s="188" t="s">
        <v>359</v>
      </c>
      <c r="J29" s="63">
        <v>28</v>
      </c>
      <c r="K29" s="212" t="s">
        <v>423</v>
      </c>
      <c r="L29" s="198">
        <v>52</v>
      </c>
      <c r="O29" s="107"/>
      <c r="P29" s="188"/>
    </row>
    <row r="30" spans="6:20" x14ac:dyDescent="0.25">
      <c r="F30" s="63">
        <v>29</v>
      </c>
      <c r="G30" s="190" t="s">
        <v>372</v>
      </c>
      <c r="H30" s="188" t="s">
        <v>359</v>
      </c>
      <c r="J30" s="63">
        <v>29</v>
      </c>
      <c r="K30" s="190" t="s">
        <v>370</v>
      </c>
      <c r="L30" s="188">
        <v>51</v>
      </c>
      <c r="O30" s="107"/>
      <c r="P30" s="188"/>
    </row>
    <row r="31" spans="6:20" x14ac:dyDescent="0.25">
      <c r="F31" s="63">
        <v>30</v>
      </c>
      <c r="G31" s="190" t="s">
        <v>373</v>
      </c>
      <c r="H31" s="188" t="s">
        <v>359</v>
      </c>
      <c r="J31" s="63">
        <v>29</v>
      </c>
      <c r="K31" s="190" t="s">
        <v>384</v>
      </c>
      <c r="L31" s="188">
        <v>51</v>
      </c>
      <c r="O31" s="107"/>
      <c r="P31" s="188"/>
    </row>
    <row r="32" spans="6:20" x14ac:dyDescent="0.25">
      <c r="J32"/>
    </row>
  </sheetData>
  <mergeCells count="4">
    <mergeCell ref="G1:H1"/>
    <mergeCell ref="K1:L1"/>
    <mergeCell ref="O1:P1"/>
    <mergeCell ref="S1:T1"/>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55AEB-9B8E-41CD-9B4A-A4779F3B6E5A}">
  <dimension ref="A1:T28"/>
  <sheetViews>
    <sheetView workbookViewId="0">
      <selection activeCell="I10" sqref="I10"/>
    </sheetView>
  </sheetViews>
  <sheetFormatPr baseColWidth="10" defaultRowHeight="15" x14ac:dyDescent="0.25"/>
  <cols>
    <col min="1" max="1" width="19" customWidth="1"/>
    <col min="2" max="3" width="4.5703125" bestFit="1" customWidth="1"/>
    <col min="4" max="4" width="5.85546875" bestFit="1" customWidth="1"/>
    <col min="5" max="5" width="4.5703125" bestFit="1" customWidth="1"/>
    <col min="6" max="6" width="4.85546875" bestFit="1" customWidth="1"/>
    <col min="8" max="8" width="18" bestFit="1" customWidth="1"/>
    <col min="9" max="10" width="4.5703125" bestFit="1" customWidth="1"/>
    <col min="11" max="11" width="7.7109375" bestFit="1" customWidth="1"/>
    <col min="12" max="13" width="6.28515625" bestFit="1" customWidth="1"/>
    <col min="15" max="15" width="18" bestFit="1" customWidth="1"/>
    <col min="16" max="17" width="5.5703125" bestFit="1" customWidth="1"/>
    <col min="18" max="18" width="7.7109375" bestFit="1" customWidth="1"/>
    <col min="19" max="20" width="6.28515625" bestFit="1" customWidth="1"/>
  </cols>
  <sheetData>
    <row r="1" spans="1:20" x14ac:dyDescent="0.25">
      <c r="A1" s="217" t="s">
        <v>3</v>
      </c>
      <c r="B1" s="217" t="s">
        <v>29</v>
      </c>
      <c r="C1" s="217" t="s">
        <v>87</v>
      </c>
      <c r="D1" s="218" t="s">
        <v>450</v>
      </c>
      <c r="E1" s="218" t="s">
        <v>291</v>
      </c>
      <c r="F1" s="218" t="s">
        <v>292</v>
      </c>
      <c r="H1" s="217" t="s">
        <v>451</v>
      </c>
      <c r="I1" s="217" t="s">
        <v>29</v>
      </c>
      <c r="J1" s="217" t="s">
        <v>87</v>
      </c>
      <c r="K1" s="217" t="str">
        <f>D1</f>
        <v>N_CA</v>
      </c>
      <c r="L1" s="218" t="s">
        <v>291</v>
      </c>
      <c r="M1" s="218" t="s">
        <v>292</v>
      </c>
      <c r="O1" s="217" t="s">
        <v>451</v>
      </c>
      <c r="P1" s="217" t="s">
        <v>29</v>
      </c>
      <c r="Q1" s="217" t="s">
        <v>87</v>
      </c>
      <c r="R1" s="217" t="str">
        <f>K1</f>
        <v>N_CA</v>
      </c>
      <c r="S1" s="218" t="s">
        <v>291</v>
      </c>
      <c r="T1" s="218" t="s">
        <v>292</v>
      </c>
    </row>
    <row r="2" spans="1:20" x14ac:dyDescent="0.25">
      <c r="A2" t="str">
        <f>PLANTILLA!D4</f>
        <v>Cosme Fonteboa</v>
      </c>
      <c r="B2" s="30">
        <f ca="1">PLANTILLA!Y4+PLANTILLA!N4+PLANTILLA!J4</f>
        <v>12.079272207186751</v>
      </c>
      <c r="C2" s="30">
        <f ca="1">PLANTILLA!AB4+PLANTILLA!N4+PLANTILLA!J4</f>
        <v>1.6507007786153232</v>
      </c>
      <c r="D2" s="135">
        <f ca="1">(C2*2+B2)/8</f>
        <v>1.9225842205521746</v>
      </c>
      <c r="E2" s="30">
        <f ca="1">D2*PLANTILLA!R4</f>
        <v>1.2586268172297161</v>
      </c>
      <c r="F2" s="30">
        <f ca="1">D2*PLANTILLA!S4</f>
        <v>1.4515192553032983</v>
      </c>
      <c r="H2" s="35" t="str">
        <f>A6</f>
        <v>Berto Abandero</v>
      </c>
      <c r="I2" s="30">
        <f t="shared" ref="I2:M2" ca="1" si="0">B6</f>
        <v>14.063648315940119</v>
      </c>
      <c r="J2" s="30">
        <f t="shared" ca="1" si="0"/>
        <v>11.609102861394664</v>
      </c>
      <c r="K2" s="135">
        <f ca="1">(J2*2+I2)/8</f>
        <v>4.6602317548411811</v>
      </c>
      <c r="L2" s="35">
        <f t="shared" ca="1" si="0"/>
        <v>3.9386146956249655</v>
      </c>
      <c r="M2" s="35">
        <f t="shared" ca="1" si="0"/>
        <v>4.3109392820208381</v>
      </c>
      <c r="O2" t="str">
        <f>A2</f>
        <v>Cosme Fonteboa</v>
      </c>
      <c r="P2" s="30">
        <f ca="1">I2</f>
        <v>14.063648315940119</v>
      </c>
      <c r="Q2" s="30">
        <f ca="1">J2</f>
        <v>11.609102861394664</v>
      </c>
      <c r="R2" s="135">
        <f ca="1">(Q2*2+P2)/8</f>
        <v>4.6602317548411811</v>
      </c>
      <c r="S2" s="35">
        <f ca="1">E2</f>
        <v>1.2586268172297161</v>
      </c>
      <c r="T2" s="35">
        <f ca="1">F2</f>
        <v>1.4515192553032983</v>
      </c>
    </row>
    <row r="3" spans="1:20" x14ac:dyDescent="0.25">
      <c r="A3" t="str">
        <f>PLANTILLA!D5</f>
        <v>Nicolae Hornet</v>
      </c>
      <c r="B3" s="30">
        <f ca="1">PLANTILLA!Y5+PLANTILLA!N5+PLANTILLA!J5</f>
        <v>5.1948373809043176</v>
      </c>
      <c r="C3" s="30">
        <f ca="1">PLANTILLA!AB5+PLANTILLA!N5+PLANTILLA!J5</f>
        <v>1.1948373809043173</v>
      </c>
      <c r="D3" s="135">
        <f t="shared" ref="D3:D19" ca="1" si="1">(C3*2+B3)/8</f>
        <v>0.94806401783911909</v>
      </c>
      <c r="E3" s="30">
        <f ca="1">D3*PLANTILLA!R5</f>
        <v>0.87773672358657917</v>
      </c>
      <c r="F3" s="30">
        <f ca="1">D3*PLANTILLA!S5</f>
        <v>0.94738658722897595</v>
      </c>
      <c r="H3" s="35" t="str">
        <f>A7</f>
        <v>Guillermo Pedrajas</v>
      </c>
      <c r="I3" s="30">
        <f t="shared" ref="I3:M3" ca="1" si="2">B7</f>
        <v>11.949420024203345</v>
      </c>
      <c r="J3" s="30">
        <f t="shared" ca="1" si="2"/>
        <v>10.616086690870011</v>
      </c>
      <c r="K3" s="135">
        <f t="shared" ref="K3:K6" ca="1" si="3">(J3*2+I3)/8</f>
        <v>4.1476991757429209</v>
      </c>
      <c r="L3" s="35">
        <f t="shared" ca="1" si="2"/>
        <v>3.8400232647128405</v>
      </c>
      <c r="M3" s="35">
        <f t="shared" ca="1" si="2"/>
        <v>4.144735474631557</v>
      </c>
      <c r="O3" t="str">
        <f>A7</f>
        <v>Guillermo Pedrajas</v>
      </c>
      <c r="P3" s="30">
        <f t="shared" ref="P3:P5" ca="1" si="4">I3</f>
        <v>11.949420024203345</v>
      </c>
      <c r="Q3" s="30">
        <f t="shared" ref="Q3:Q5" ca="1" si="5">J3</f>
        <v>10.616086690870011</v>
      </c>
      <c r="R3" s="135">
        <f t="shared" ref="R3:R5" ca="1" si="6">(Q3*2+P3)/8</f>
        <v>4.1476991757429209</v>
      </c>
      <c r="S3" s="35">
        <f ca="1">E7</f>
        <v>3.8400232647128405</v>
      </c>
      <c r="T3" s="35">
        <f ca="1">F7</f>
        <v>4.144735474631557</v>
      </c>
    </row>
    <row r="4" spans="1:20" x14ac:dyDescent="0.25">
      <c r="A4" t="str">
        <f>PLANTILLA!D6</f>
        <v>Miguel Fernández</v>
      </c>
      <c r="B4" s="30">
        <f ca="1">PLANTILLA!Y6+PLANTILLA!N6+PLANTILLA!J6</f>
        <v>15.926356917458492</v>
      </c>
      <c r="C4" s="30">
        <f ca="1">PLANTILLA!AB6+PLANTILLA!N6+PLANTILLA!J6</f>
        <v>6.3638569174584907</v>
      </c>
      <c r="D4" s="135">
        <f t="shared" ca="1" si="1"/>
        <v>3.5817588440469343</v>
      </c>
      <c r="E4" s="30">
        <f ca="1">D4*PLANTILLA!R6</f>
        <v>2.7075551878726767</v>
      </c>
      <c r="F4" s="30">
        <f ca="1">D4*PLANTILLA!S6</f>
        <v>3.0241100726464749</v>
      </c>
      <c r="H4" t="str">
        <f>A10</f>
        <v>Will Duffill</v>
      </c>
      <c r="I4" s="30">
        <f t="shared" ref="I4:M4" ca="1" si="7">B10</f>
        <v>12.54528476814958</v>
      </c>
      <c r="J4" s="30">
        <f t="shared" ca="1" si="7"/>
        <v>8.8309990538638665</v>
      </c>
      <c r="K4" s="135">
        <f t="shared" ca="1" si="3"/>
        <v>3.7759103594846639</v>
      </c>
      <c r="L4" s="35">
        <f t="shared" ca="1" si="7"/>
        <v>3.1912267057919461</v>
      </c>
      <c r="M4" s="35">
        <f t="shared" ca="1" si="7"/>
        <v>3.4928993128253985</v>
      </c>
      <c r="O4" t="str">
        <f t="shared" ref="O4" si="8">A4</f>
        <v>Miguel Fernández</v>
      </c>
      <c r="P4" s="30">
        <f t="shared" ca="1" si="4"/>
        <v>12.54528476814958</v>
      </c>
      <c r="Q4" s="30">
        <f t="shared" ca="1" si="5"/>
        <v>8.8309990538638665</v>
      </c>
      <c r="R4" s="135">
        <f t="shared" ca="1" si="6"/>
        <v>3.7759103594846639</v>
      </c>
      <c r="S4" s="35">
        <f ca="1">E4</f>
        <v>2.7075551878726767</v>
      </c>
      <c r="T4" s="35">
        <f ca="1">F4</f>
        <v>3.0241100726464749</v>
      </c>
    </row>
    <row r="5" spans="1:20" x14ac:dyDescent="0.25">
      <c r="A5" t="str">
        <f>PLANTILLA!D7</f>
        <v>Iván Real Figueroa</v>
      </c>
      <c r="B5" s="30">
        <f ca="1">PLANTILLA!Y7+PLANTILLA!N7+PLANTILLA!J7</f>
        <v>16.019772163672215</v>
      </c>
      <c r="C5" s="30">
        <f ca="1">PLANTILLA!AB7+PLANTILLA!N7+PLANTILLA!J7</f>
        <v>6.5197721636722132</v>
      </c>
      <c r="D5" s="135">
        <f t="shared" ca="1" si="1"/>
        <v>3.6324145613770802</v>
      </c>
      <c r="E5" s="30">
        <f ca="1">D5*PLANTILLA!R7</f>
        <v>3.0699506214856576</v>
      </c>
      <c r="F5" s="30">
        <f ca="1">D5*PLANTILLA!S7</f>
        <v>3.3601587742836632</v>
      </c>
      <c r="H5" s="35" t="str">
        <f>A5</f>
        <v>Iván Real Figueroa</v>
      </c>
      <c r="I5" s="30">
        <f t="shared" ref="I5:M5" ca="1" si="9">B5</f>
        <v>16.019772163672215</v>
      </c>
      <c r="J5" s="30">
        <f t="shared" ca="1" si="9"/>
        <v>6.5197721636722132</v>
      </c>
      <c r="K5" s="135">
        <f t="shared" ca="1" si="3"/>
        <v>3.6324145613770802</v>
      </c>
      <c r="L5" s="35">
        <f t="shared" ca="1" si="9"/>
        <v>3.0699506214856576</v>
      </c>
      <c r="M5" s="35">
        <f t="shared" ca="1" si="9"/>
        <v>3.3601587742836632</v>
      </c>
      <c r="O5" s="35" t="str">
        <f>H5</f>
        <v>Iván Real Figueroa</v>
      </c>
      <c r="P5" s="30">
        <f t="shared" ca="1" si="4"/>
        <v>16.019772163672215</v>
      </c>
      <c r="Q5" s="30">
        <f t="shared" ca="1" si="5"/>
        <v>6.5197721636722132</v>
      </c>
      <c r="R5" s="135">
        <f t="shared" ca="1" si="6"/>
        <v>3.6324145613770802</v>
      </c>
      <c r="S5" s="35">
        <f ca="1">L5</f>
        <v>3.0699506214856576</v>
      </c>
      <c r="T5" s="35">
        <f ca="1">M5</f>
        <v>3.3601587742836632</v>
      </c>
    </row>
    <row r="6" spans="1:20" x14ac:dyDescent="0.25">
      <c r="A6" t="str">
        <f>PLANTILLA!D8</f>
        <v>Berto Abandero</v>
      </c>
      <c r="B6" s="30">
        <f ca="1">PLANTILLA!Y8+PLANTILLA!N8+PLANTILLA!J8</f>
        <v>14.063648315940119</v>
      </c>
      <c r="C6" s="30">
        <f ca="1">PLANTILLA!AB8+PLANTILLA!N8+PLANTILLA!J8</f>
        <v>11.609102861394664</v>
      </c>
      <c r="D6" s="135">
        <f t="shared" ca="1" si="1"/>
        <v>4.6602317548411811</v>
      </c>
      <c r="E6" s="30">
        <f ca="1">D6*PLANTILLA!R8</f>
        <v>3.9386146956249655</v>
      </c>
      <c r="F6" s="30">
        <f ca="1">D6*PLANTILLA!S8</f>
        <v>4.3109392820208381</v>
      </c>
      <c r="H6" t="str">
        <f>A4</f>
        <v>Miguel Fernández</v>
      </c>
      <c r="I6" s="30">
        <f t="shared" ref="I6:M6" ca="1" si="10">B4</f>
        <v>15.926356917458492</v>
      </c>
      <c r="J6" s="30">
        <f t="shared" ca="1" si="10"/>
        <v>6.3638569174584907</v>
      </c>
      <c r="K6" s="135">
        <f t="shared" ca="1" si="3"/>
        <v>3.5817588440469343</v>
      </c>
      <c r="L6" s="35">
        <f t="shared" ca="1" si="10"/>
        <v>2.7075551878726767</v>
      </c>
      <c r="M6" s="35">
        <f t="shared" ca="1" si="10"/>
        <v>3.0241100726464749</v>
      </c>
      <c r="R6" s="35"/>
      <c r="S6" s="30"/>
      <c r="T6" s="30"/>
    </row>
    <row r="7" spans="1:20" ht="18.75" x14ac:dyDescent="0.3">
      <c r="A7" t="str">
        <f>PLANTILLA!D9</f>
        <v>Guillermo Pedrajas</v>
      </c>
      <c r="B7" s="30">
        <f ca="1">PLANTILLA!Y9+PLANTILLA!N9+PLANTILLA!J9</f>
        <v>11.949420024203345</v>
      </c>
      <c r="C7" s="30">
        <f ca="1">PLANTILLA!AB9+PLANTILLA!N9+PLANTILLA!J9</f>
        <v>10.616086690870011</v>
      </c>
      <c r="D7" s="135">
        <f t="shared" ca="1" si="1"/>
        <v>4.1476991757429209</v>
      </c>
      <c r="E7" s="30">
        <f ca="1">D7*PLANTILLA!R9</f>
        <v>3.8400232647128405</v>
      </c>
      <c r="F7" s="30">
        <f ca="1">D7*PLANTILLA!S9</f>
        <v>4.144735474631557</v>
      </c>
      <c r="K7" s="219">
        <f ca="1">SUM(K2:K6)</f>
        <v>19.798014695492782</v>
      </c>
      <c r="L7" s="219">
        <f t="shared" ref="L7:M7" ca="1" si="11">SUM(L2:L6)</f>
        <v>16.747370475488086</v>
      </c>
      <c r="M7" s="219">
        <f t="shared" ca="1" si="11"/>
        <v>18.332842916407934</v>
      </c>
      <c r="N7" s="219"/>
      <c r="O7" s="219"/>
      <c r="P7" s="219"/>
      <c r="Q7" s="219"/>
      <c r="R7" s="219">
        <f ca="1">SUM(R2:R6)</f>
        <v>16.216255851445847</v>
      </c>
      <c r="S7" s="219">
        <f t="shared" ref="S7:T7" ca="1" si="12">SUM(S2:S6)</f>
        <v>10.876155891300892</v>
      </c>
      <c r="T7" s="219">
        <f t="shared" ca="1" si="12"/>
        <v>11.980523576864995</v>
      </c>
    </row>
    <row r="8" spans="1:20" x14ac:dyDescent="0.25">
      <c r="A8" t="str">
        <f>PLANTILLA!D10</f>
        <v>Eckardt Hägerling</v>
      </c>
      <c r="B8" s="30">
        <f ca="1">PLANTILLA!Y10+PLANTILLA!N10+PLANTILLA!J10</f>
        <v>7.4565635744296088</v>
      </c>
      <c r="C8" s="30">
        <f ca="1">PLANTILLA!AB10+PLANTILLA!N10+PLANTILLA!J10</f>
        <v>4.4565635744296088</v>
      </c>
      <c r="D8" s="135">
        <f t="shared" ca="1" si="1"/>
        <v>2.0462113404111033</v>
      </c>
      <c r="E8" s="30">
        <f ca="1">D8*PLANTILLA!R10</f>
        <v>1.7293642204221849</v>
      </c>
      <c r="F8" s="30">
        <f ca="1">D8*PLANTILLA!S10</f>
        <v>1.8928442426776602</v>
      </c>
      <c r="L8" s="111">
        <f ca="1">(K7-L7)/K7</f>
        <v>0.15408839052428855</v>
      </c>
      <c r="M8" s="111">
        <f ca="1">(K7-M7)/K7</f>
        <v>7.4005995127299759E-2</v>
      </c>
      <c r="R8" s="35"/>
    </row>
    <row r="9" spans="1:20" x14ac:dyDescent="0.25">
      <c r="A9" t="str">
        <f>PLANTILLA!D11</f>
        <v>Francesc Añigas</v>
      </c>
      <c r="B9" s="30">
        <f ca="1">PLANTILLA!Y11+PLANTILLA!N11+PLANTILLA!J11</f>
        <v>13.483711808959647</v>
      </c>
      <c r="C9" s="30">
        <f ca="1">PLANTILLA!AB11+PLANTILLA!N11+PLANTILLA!J11</f>
        <v>6.0670451422929803</v>
      </c>
      <c r="D9" s="135">
        <f t="shared" ca="1" si="1"/>
        <v>3.2022252616932008</v>
      </c>
      <c r="E9" s="30">
        <f ca="1">D9*PLANTILLA!R11</f>
        <v>3.2022252616932008</v>
      </c>
      <c r="F9" s="30">
        <f ca="1">D9*PLANTILLA!S11</f>
        <v>3.2022252616932008</v>
      </c>
    </row>
    <row r="10" spans="1:20" x14ac:dyDescent="0.25">
      <c r="A10" t="str">
        <f>PLANTILLA!D12</f>
        <v>Will Duffill</v>
      </c>
      <c r="B10" s="30">
        <f ca="1">PLANTILLA!Y12+PLANTILLA!N12+PLANTILLA!J12</f>
        <v>12.54528476814958</v>
      </c>
      <c r="C10" s="30">
        <f ca="1">PLANTILLA!AB12+PLANTILLA!N12+PLANTILLA!J12</f>
        <v>8.8309990538638665</v>
      </c>
      <c r="D10" s="135">
        <f t="shared" ca="1" si="1"/>
        <v>3.7759103594846639</v>
      </c>
      <c r="E10" s="30">
        <f ca="1">D10*PLANTILLA!R12</f>
        <v>3.1912267057919461</v>
      </c>
      <c r="F10" s="30">
        <f ca="1">D10*PLANTILLA!S12</f>
        <v>3.4928993128253985</v>
      </c>
      <c r="H10" s="35"/>
      <c r="I10" s="35"/>
      <c r="J10" s="35"/>
    </row>
    <row r="11" spans="1:20" x14ac:dyDescent="0.25">
      <c r="A11" t="str">
        <f>PLANTILLA!D13</f>
        <v>Valeri Gomis</v>
      </c>
      <c r="B11" s="30">
        <f ca="1">PLANTILLA!Y13+PLANTILLA!N13+PLANTILLA!J13</f>
        <v>12.116713339578153</v>
      </c>
      <c r="C11" s="30">
        <f ca="1">PLANTILLA!AB13+PLANTILLA!N13+PLANTILLA!J13</f>
        <v>7.8309990538638683</v>
      </c>
      <c r="D11" s="135">
        <f t="shared" ca="1" si="1"/>
        <v>3.472338930913236</v>
      </c>
      <c r="E11" s="30">
        <f ca="1">D11*PLANTILLA!R13</f>
        <v>2.624841508264089</v>
      </c>
      <c r="F11" s="30">
        <f ca="1">D11*PLANTILLA!S13</f>
        <v>2.9317258904992909</v>
      </c>
    </row>
    <row r="12" spans="1:20" x14ac:dyDescent="0.25">
      <c r="A12" t="str">
        <f>PLANTILLA!D14</f>
        <v>Enrique Cubas</v>
      </c>
      <c r="B12" s="30">
        <f>PLANTILLA!Y14+PLANTILLA!N14+PLANTILLA!J14</f>
        <v>11.183677108908766</v>
      </c>
      <c r="C12" s="30">
        <f>PLANTILLA!AB14+PLANTILLA!N14+PLANTILLA!J14</f>
        <v>8.3836771089087652</v>
      </c>
      <c r="D12" s="135">
        <f t="shared" si="1"/>
        <v>3.4938789158407868</v>
      </c>
      <c r="E12" s="30">
        <f>D12*PLANTILLA!R14</f>
        <v>3.2347033264569309</v>
      </c>
      <c r="F12" s="30">
        <f>D12*PLANTILLA!S14</f>
        <v>3.4913823961109069</v>
      </c>
      <c r="H12" s="220" t="s">
        <v>451</v>
      </c>
      <c r="I12" s="220" t="s">
        <v>29</v>
      </c>
      <c r="J12" s="220" t="s">
        <v>87</v>
      </c>
      <c r="K12" s="221" t="s">
        <v>450</v>
      </c>
      <c r="L12" s="221" t="s">
        <v>291</v>
      </c>
      <c r="M12" s="221" t="s">
        <v>292</v>
      </c>
      <c r="O12" s="220" t="s">
        <v>451</v>
      </c>
      <c r="P12" s="220" t="s">
        <v>29</v>
      </c>
      <c r="Q12" s="220" t="s">
        <v>87</v>
      </c>
      <c r="R12" s="220" t="str">
        <f>K12</f>
        <v>N_CA</v>
      </c>
      <c r="S12" s="221" t="s">
        <v>291</v>
      </c>
      <c r="T12" s="221" t="s">
        <v>292</v>
      </c>
    </row>
    <row r="13" spans="1:20" x14ac:dyDescent="0.25">
      <c r="A13" t="str">
        <f>PLANTILLA!D15</f>
        <v>J. G. Peñuela</v>
      </c>
      <c r="B13" s="30">
        <f ca="1">PLANTILLA!Y15+PLANTILLA!N15+PLANTILLA!J15</f>
        <v>11.088460940818237</v>
      </c>
      <c r="C13" s="30">
        <f ca="1">PLANTILLA!AB15+PLANTILLA!N15+PLANTILLA!J15</f>
        <v>6.8027466551039497</v>
      </c>
      <c r="D13" s="135">
        <f t="shared" ca="1" si="1"/>
        <v>3.0867442813782668</v>
      </c>
      <c r="E13" s="30">
        <f ca="1">D13*PLANTILLA!R15</f>
        <v>2.6087750626657598</v>
      </c>
      <c r="F13" s="30">
        <f ca="1">D13*PLANTILLA!S15</f>
        <v>2.8553874305335363</v>
      </c>
      <c r="H13" s="35" t="str">
        <f>H2</f>
        <v>Berto Abandero</v>
      </c>
      <c r="I13" s="30">
        <f ca="1">I2</f>
        <v>14.063648315940119</v>
      </c>
      <c r="J13" s="30">
        <f ca="1">J2</f>
        <v>11.609102861394664</v>
      </c>
      <c r="K13" s="135">
        <f ca="1">(J13*2+I13)/8</f>
        <v>4.6602317548411811</v>
      </c>
      <c r="L13" s="35">
        <f ca="1">K13*(1-$L$8)</f>
        <v>3.9421441442675227</v>
      </c>
      <c r="M13" s="35">
        <f ca="1">K13*(1-$M$8)</f>
        <v>4.315346666300317</v>
      </c>
      <c r="O13" s="35" t="str">
        <f>H13</f>
        <v>Berto Abandero</v>
      </c>
      <c r="P13" s="35">
        <f t="shared" ref="P13:Q13" ca="1" si="13">I13</f>
        <v>14.063648315940119</v>
      </c>
      <c r="Q13" s="35">
        <f t="shared" ca="1" si="13"/>
        <v>11.609102861394664</v>
      </c>
      <c r="R13" s="135">
        <f ca="1">(Q13*2+P13)/8</f>
        <v>4.6602317548411811</v>
      </c>
      <c r="S13" s="35">
        <f ca="1">L13</f>
        <v>3.9421441442675227</v>
      </c>
      <c r="T13" s="35">
        <f ca="1">M13</f>
        <v>4.315346666300317</v>
      </c>
    </row>
    <row r="14" spans="1:20" x14ac:dyDescent="0.25">
      <c r="A14" t="str">
        <f>PLANTILLA!D16</f>
        <v>David Garcia-Spiess</v>
      </c>
      <c r="B14" s="30">
        <f ca="1">PLANTILLA!Y16+PLANTILLA!N16+PLANTILLA!J16</f>
        <v>10.907024726983014</v>
      </c>
      <c r="C14" s="30">
        <f ca="1">PLANTILLA!AB16+PLANTILLA!N16+PLANTILLA!J16</f>
        <v>8.9070247269830141</v>
      </c>
      <c r="D14" s="135">
        <f t="shared" ca="1" si="1"/>
        <v>3.5901342726186303</v>
      </c>
      <c r="E14" s="30">
        <f ca="1">D14*PLANTILLA!R16</f>
        <v>3.0342172555503035</v>
      </c>
      <c r="F14" s="30">
        <f ca="1">D14*PLANTILLA!S16</f>
        <v>3.3210474666808514</v>
      </c>
      <c r="H14" s="35" t="str">
        <f t="shared" ref="H14:I17" si="14">H3</f>
        <v>Guillermo Pedrajas</v>
      </c>
      <c r="I14" s="30">
        <f t="shared" ca="1" si="14"/>
        <v>11.949420024203345</v>
      </c>
      <c r="J14" s="30">
        <f t="shared" ref="J14:J17" ca="1" si="15">J3</f>
        <v>10.616086690870011</v>
      </c>
      <c r="K14" s="135">
        <f t="shared" ref="K14:K17" ca="1" si="16">(J14*2+I14)/8</f>
        <v>4.1476991757429209</v>
      </c>
      <c r="L14" s="35">
        <f t="shared" ref="L14:L17" ca="1" si="17">K14*(1-$L$8)</f>
        <v>3.5085868853737758</v>
      </c>
      <c r="M14" s="35">
        <f t="shared" ref="M14:M17" ca="1" si="18">K14*(1-$M$8)</f>
        <v>3.8407445707533849</v>
      </c>
      <c r="O14" s="35" t="str">
        <f t="shared" ref="O14:O16" si="19">H14</f>
        <v>Guillermo Pedrajas</v>
      </c>
      <c r="P14" s="35">
        <f t="shared" ref="P14:P16" ca="1" si="20">I14</f>
        <v>11.949420024203345</v>
      </c>
      <c r="Q14" s="35">
        <f t="shared" ref="Q14:Q16" ca="1" si="21">J14</f>
        <v>10.616086690870011</v>
      </c>
      <c r="R14" s="135">
        <f t="shared" ref="R14:R16" ca="1" si="22">(Q14*2+P14)/8</f>
        <v>4.1476991757429209</v>
      </c>
      <c r="S14" s="35">
        <f t="shared" ref="S14:S16" ca="1" si="23">L14</f>
        <v>3.5085868853737758</v>
      </c>
      <c r="T14" s="35">
        <f t="shared" ref="T14:T16" ca="1" si="24">M14</f>
        <v>3.8407445707533849</v>
      </c>
    </row>
    <row r="15" spans="1:20" x14ac:dyDescent="0.25">
      <c r="A15" t="str">
        <f>PLANTILLA!D17</f>
        <v>Fabien Fabre</v>
      </c>
      <c r="B15" s="30">
        <f ca="1">PLANTILLA!Y17+PLANTILLA!N17+PLANTILLA!J17</f>
        <v>6.675345319540674</v>
      </c>
      <c r="C15" s="30">
        <f ca="1">PLANTILLA!AB17+PLANTILLA!N17+PLANTILLA!J17</f>
        <v>5.675345319540674</v>
      </c>
      <c r="D15" s="135">
        <f t="shared" ca="1" si="1"/>
        <v>2.2532544948277526</v>
      </c>
      <c r="E15" s="30">
        <f ca="1">D15*PLANTILLA!R17</f>
        <v>1.9043476232898293</v>
      </c>
      <c r="F15" s="30">
        <f ca="1">D15*PLANTILLA!S17</f>
        <v>2.0843691526826258</v>
      </c>
      <c r="H15" s="35" t="str">
        <f t="shared" si="14"/>
        <v>Will Duffill</v>
      </c>
      <c r="I15" s="30">
        <f t="shared" ca="1" si="14"/>
        <v>12.54528476814958</v>
      </c>
      <c r="J15" s="30">
        <f t="shared" ca="1" si="15"/>
        <v>8.8309990538638665</v>
      </c>
      <c r="K15" s="135">
        <f t="shared" ca="1" si="16"/>
        <v>3.7759103594846639</v>
      </c>
      <c r="L15" s="35">
        <f t="shared" ca="1" si="17"/>
        <v>3.1940864094276842</v>
      </c>
      <c r="M15" s="35">
        <f t="shared" ca="1" si="18"/>
        <v>3.4964703558195209</v>
      </c>
      <c r="O15" s="35" t="str">
        <f t="shared" si="19"/>
        <v>Will Duffill</v>
      </c>
      <c r="P15" s="35">
        <f t="shared" ca="1" si="20"/>
        <v>12.54528476814958</v>
      </c>
      <c r="Q15" s="35">
        <f t="shared" ca="1" si="21"/>
        <v>8.8309990538638665</v>
      </c>
      <c r="R15" s="135">
        <f t="shared" ca="1" si="22"/>
        <v>3.7759103594846639</v>
      </c>
      <c r="S15" s="35">
        <f t="shared" ca="1" si="23"/>
        <v>3.1940864094276842</v>
      </c>
      <c r="T15" s="35">
        <f t="shared" ca="1" si="24"/>
        <v>3.4964703558195209</v>
      </c>
    </row>
    <row r="16" spans="1:20" x14ac:dyDescent="0.25">
      <c r="A16" t="str">
        <f>PLANTILLA!D18</f>
        <v>Fernando Gazón</v>
      </c>
      <c r="B16" s="30">
        <f ca="1">PLANTILLA!Y18+PLANTILLA!N18+PLANTILLA!J18</f>
        <v>5.5305866782293833</v>
      </c>
      <c r="C16" s="30">
        <f ca="1">PLANTILLA!AB18+PLANTILLA!N18+PLANTILLA!J18</f>
        <v>5.7805866782293833</v>
      </c>
      <c r="D16" s="135">
        <f t="shared" ca="1" si="1"/>
        <v>2.1364700043360187</v>
      </c>
      <c r="E16" s="30">
        <f ca="1">D16*PLANTILLA!R18</f>
        <v>1.8056467142644386</v>
      </c>
      <c r="F16" s="30">
        <f ca="1">D16*PLANTILLA!S18</f>
        <v>1.9763378628076951</v>
      </c>
      <c r="H16" s="35" t="str">
        <f t="shared" si="14"/>
        <v>Iván Real Figueroa</v>
      </c>
      <c r="I16" s="30">
        <f t="shared" ca="1" si="14"/>
        <v>16.019772163672215</v>
      </c>
      <c r="J16" s="30">
        <f t="shared" ca="1" si="15"/>
        <v>6.5197721636722132</v>
      </c>
      <c r="K16" s="135">
        <f t="shared" ca="1" si="16"/>
        <v>3.6324145613770802</v>
      </c>
      <c r="L16" s="35">
        <f t="shared" ca="1" si="17"/>
        <v>3.0727016478974964</v>
      </c>
      <c r="M16" s="35">
        <f t="shared" ca="1" si="18"/>
        <v>3.3635941070474753</v>
      </c>
      <c r="O16" s="35" t="str">
        <f t="shared" si="19"/>
        <v>Iván Real Figueroa</v>
      </c>
      <c r="P16" s="35">
        <f t="shared" ca="1" si="20"/>
        <v>16.019772163672215</v>
      </c>
      <c r="Q16" s="35">
        <f t="shared" ca="1" si="21"/>
        <v>6.5197721636722132</v>
      </c>
      <c r="R16" s="135">
        <f t="shared" ca="1" si="22"/>
        <v>3.6324145613770802</v>
      </c>
      <c r="S16" s="35">
        <f t="shared" ca="1" si="23"/>
        <v>3.0727016478974964</v>
      </c>
      <c r="T16" s="35">
        <f t="shared" ca="1" si="24"/>
        <v>3.3635941070474753</v>
      </c>
    </row>
    <row r="17" spans="1:20" x14ac:dyDescent="0.25">
      <c r="A17" t="str">
        <f>PLANTILLA!D19</f>
        <v>Miklós Gábriel</v>
      </c>
      <c r="B17" s="30">
        <f ca="1">PLANTILLA!Y19+PLANTILLA!N19+PLANTILLA!J19</f>
        <v>6.8486474338132197</v>
      </c>
      <c r="C17" s="30">
        <f ca="1">PLANTILLA!AB19+PLANTILLA!N19+PLANTILLA!J19</f>
        <v>8.8486474338132197</v>
      </c>
      <c r="D17" s="135">
        <f t="shared" ca="1" si="1"/>
        <v>3.0682427876799574</v>
      </c>
      <c r="E17" s="30">
        <f ca="1">D17*PLANTILLA!R19</f>
        <v>2.3193735366196346</v>
      </c>
      <c r="F17" s="30">
        <f ca="1">D17*PLANTILLA!S19</f>
        <v>2.5905440102338373</v>
      </c>
      <c r="H17" s="35" t="str">
        <f t="shared" si="14"/>
        <v>Miguel Fernández</v>
      </c>
      <c r="I17" s="30">
        <f t="shared" ca="1" si="14"/>
        <v>15.926356917458492</v>
      </c>
      <c r="J17" s="30">
        <f t="shared" ca="1" si="15"/>
        <v>6.3638569174584907</v>
      </c>
      <c r="K17" s="135">
        <f t="shared" ca="1" si="16"/>
        <v>3.5817588440469343</v>
      </c>
      <c r="L17" s="35">
        <f t="shared" ca="1" si="17"/>
        <v>3.0298513885216058</v>
      </c>
      <c r="M17" s="35">
        <f t="shared" ca="1" si="18"/>
        <v>3.3166872164872339</v>
      </c>
      <c r="R17" s="35"/>
      <c r="S17" s="30"/>
      <c r="T17" s="30"/>
    </row>
    <row r="18" spans="1:20" ht="18.75" x14ac:dyDescent="0.3">
      <c r="A18" t="str">
        <f>PLANTILLA!D20</f>
        <v>Emilio Rojas</v>
      </c>
      <c r="B18" s="30">
        <f ca="1">PLANTILLA!Y20+PLANTILLA!N20+PLANTILLA!J20</f>
        <v>7.828381389128408</v>
      </c>
      <c r="C18" s="30">
        <f ca="1">PLANTILLA!AB20+PLANTILLA!N20+PLANTILLA!J20</f>
        <v>10.828381389128408</v>
      </c>
      <c r="D18" s="135">
        <f t="shared" ca="1" si="1"/>
        <v>3.6856430209231528</v>
      </c>
      <c r="E18" s="30">
        <f ca="1">D18*PLANTILLA!R20</f>
        <v>3.6856430209231528</v>
      </c>
      <c r="F18" s="30">
        <f ca="1">D18*PLANTILLA!S20</f>
        <v>3.6856430209231528</v>
      </c>
      <c r="K18" s="219">
        <f ca="1">SUM(K13:K17)</f>
        <v>19.798014695492782</v>
      </c>
      <c r="L18" s="219">
        <f t="shared" ref="L18:M18" ca="1" si="25">SUM(L13:L17)</f>
        <v>16.747370475488086</v>
      </c>
      <c r="M18" s="219">
        <f t="shared" ca="1" si="25"/>
        <v>18.332842916407934</v>
      </c>
      <c r="N18" s="219"/>
      <c r="O18" s="219"/>
      <c r="P18" s="219"/>
      <c r="Q18" s="219"/>
      <c r="R18" s="219">
        <f ca="1">SUM(R13:R17)</f>
        <v>16.216255851445847</v>
      </c>
      <c r="S18" s="219">
        <f t="shared" ref="S18:T18" ca="1" si="26">SUM(S13:S17)</f>
        <v>13.71751908696648</v>
      </c>
      <c r="T18" s="219">
        <f t="shared" ca="1" si="26"/>
        <v>15.016155699920699</v>
      </c>
    </row>
    <row r="19" spans="1:20" x14ac:dyDescent="0.25">
      <c r="A19" t="str">
        <f>PLANTILLA!D21</f>
        <v>Leo Hilpinen</v>
      </c>
      <c r="B19" s="30">
        <f ca="1">PLANTILLA!Y21+PLANTILLA!N21+PLANTILLA!J21</f>
        <v>6.7903966720464917</v>
      </c>
      <c r="C19" s="30">
        <f ca="1">PLANTILLA!AB21+PLANTILLA!N21+PLANTILLA!J21</f>
        <v>10.790396672046491</v>
      </c>
      <c r="D19" s="135">
        <f t="shared" ca="1" si="1"/>
        <v>3.546398752017434</v>
      </c>
      <c r="E19" s="30">
        <f ca="1">D19*PLANTILLA!R21</f>
        <v>3.2833272464260328</v>
      </c>
      <c r="F19" s="30">
        <f ca="1">D19*PLANTILLA!S21</f>
        <v>3.5438647047113609</v>
      </c>
    </row>
    <row r="20" spans="1:20" x14ac:dyDescent="0.25">
      <c r="B20" s="30"/>
      <c r="C20" s="30"/>
      <c r="D20" s="135"/>
      <c r="E20" s="30"/>
      <c r="F20" s="30"/>
    </row>
    <row r="21" spans="1:20" x14ac:dyDescent="0.25">
      <c r="B21" s="30"/>
      <c r="C21" s="30"/>
      <c r="D21" s="135"/>
      <c r="E21" s="30"/>
      <c r="F21" s="30"/>
    </row>
    <row r="22" spans="1:20" x14ac:dyDescent="0.25">
      <c r="B22" s="30"/>
      <c r="C22" s="30"/>
      <c r="D22" s="135"/>
      <c r="E22" s="30"/>
      <c r="F22" s="30"/>
    </row>
    <row r="23" spans="1:20" x14ac:dyDescent="0.25">
      <c r="B23" s="30"/>
      <c r="C23" s="30"/>
      <c r="D23" s="135"/>
      <c r="E23" s="30"/>
      <c r="F23" s="30"/>
    </row>
    <row r="24" spans="1:20" x14ac:dyDescent="0.25">
      <c r="B24" s="30"/>
      <c r="C24" s="30"/>
      <c r="D24" s="135"/>
      <c r="E24" s="30"/>
      <c r="F24" s="30"/>
    </row>
    <row r="25" spans="1:20" x14ac:dyDescent="0.25">
      <c r="B25" s="30"/>
      <c r="C25" s="30"/>
      <c r="D25" s="135"/>
      <c r="E25" s="30"/>
      <c r="F25" s="30"/>
    </row>
    <row r="26" spans="1:20" x14ac:dyDescent="0.25">
      <c r="B26" s="30"/>
      <c r="C26" s="30"/>
      <c r="D26" s="135"/>
      <c r="E26" s="30"/>
      <c r="F26" s="30"/>
    </row>
    <row r="27" spans="1:20" x14ac:dyDescent="0.25">
      <c r="B27" s="30"/>
      <c r="C27" s="30"/>
      <c r="D27" s="135"/>
      <c r="E27" s="30"/>
      <c r="F27" s="30"/>
    </row>
    <row r="28" spans="1:20" x14ac:dyDescent="0.25">
      <c r="B28" s="30"/>
      <c r="C28" s="30"/>
      <c r="D28" s="135"/>
      <c r="E28" s="30"/>
      <c r="F28" s="30"/>
    </row>
  </sheetData>
  <conditionalFormatting sqref="D20:D28">
    <cfRule type="colorScale" priority="6">
      <colorScale>
        <cfvo type="min"/>
        <cfvo type="percentile" val="50"/>
        <cfvo type="max"/>
        <color rgb="FFF8696B"/>
        <color rgb="FFFCFCFF"/>
        <color rgb="FF63BE7B"/>
      </colorScale>
    </cfRule>
  </conditionalFormatting>
  <conditionalFormatting sqref="D2:D19 K2:K6 K13:K17 R2:R5 R13:R1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96D45-5D29-403B-85C8-15FC2156DFCE}">
  <sheetPr>
    <tabColor rgb="FFFF0000"/>
  </sheetPr>
  <dimension ref="A1:AS36"/>
  <sheetViews>
    <sheetView zoomScaleNormal="100" workbookViewId="0">
      <selection activeCell="P8" sqref="P8"/>
    </sheetView>
  </sheetViews>
  <sheetFormatPr baseColWidth="10" defaultColWidth="11.42578125" defaultRowHeight="15" x14ac:dyDescent="0.25"/>
  <cols>
    <col min="1" max="1" width="5.140625" bestFit="1" customWidth="1"/>
    <col min="2" max="2" width="6.140625" bestFit="1" customWidth="1"/>
    <col min="3" max="3" width="8" bestFit="1" customWidth="1"/>
    <col min="4" max="4" width="13.5703125" bestFit="1" customWidth="1"/>
    <col min="5" max="5" width="4.5703125" bestFit="1" customWidth="1"/>
    <col min="6" max="6" width="5" bestFit="1" customWidth="1"/>
    <col min="7" max="11" width="5.5703125" bestFit="1" customWidth="1"/>
    <col min="12" max="13" width="4.5703125" bestFit="1" customWidth="1"/>
    <col min="14" max="14" width="7.28515625" bestFit="1" customWidth="1"/>
    <col min="15" max="15" width="5.5703125" bestFit="1" customWidth="1"/>
    <col min="16" max="16" width="5.7109375" bestFit="1" customWidth="1"/>
    <col min="17" max="17" width="5.28515625" bestFit="1" customWidth="1"/>
    <col min="18" max="18" width="5.5703125" bestFit="1" customWidth="1"/>
    <col min="19" max="19" width="5.42578125" bestFit="1" customWidth="1"/>
    <col min="20" max="21" width="5.7109375" bestFit="1" customWidth="1"/>
    <col min="22" max="22" width="9.140625" bestFit="1" customWidth="1"/>
    <col min="23" max="23" width="7.28515625" customWidth="1"/>
    <col min="24" max="24" width="5.140625" bestFit="1" customWidth="1"/>
    <col min="25" max="25" width="4.5703125" bestFit="1" customWidth="1"/>
    <col min="26" max="26" width="5.7109375" bestFit="1" customWidth="1"/>
    <col min="27" max="33" width="4.5703125" bestFit="1" customWidth="1"/>
    <col min="34" max="34" width="7.28515625" bestFit="1" customWidth="1"/>
    <col min="35" max="35" width="5.5703125" bestFit="1" customWidth="1"/>
    <col min="36" max="36" width="5.7109375" bestFit="1" customWidth="1"/>
    <col min="37" max="37" width="5.28515625" bestFit="1" customWidth="1"/>
    <col min="38" max="38" width="5.5703125" bestFit="1" customWidth="1"/>
    <col min="39" max="39" width="5.42578125" bestFit="1" customWidth="1"/>
    <col min="40" max="41" width="5.7109375" bestFit="1" customWidth="1"/>
    <col min="42" max="42" width="9.140625" bestFit="1" customWidth="1"/>
    <col min="43" max="43" width="5.140625" style="107" bestFit="1" customWidth="1"/>
    <col min="44" max="45" width="6.140625" style="107" customWidth="1"/>
  </cols>
  <sheetData>
    <row r="1" spans="1:45" x14ac:dyDescent="0.25">
      <c r="N1" s="170">
        <f>SUM(N3:N17)</f>
        <v>123730</v>
      </c>
      <c r="AH1" s="170">
        <f>SUM(AH3:AH17)</f>
        <v>178515.48</v>
      </c>
    </row>
    <row r="2" spans="1:45" x14ac:dyDescent="0.25">
      <c r="A2" s="207" t="s">
        <v>168</v>
      </c>
      <c r="B2" s="207" t="s">
        <v>2</v>
      </c>
      <c r="C2" s="207" t="s">
        <v>82</v>
      </c>
      <c r="D2" s="207" t="s">
        <v>169</v>
      </c>
      <c r="E2" s="207" t="s">
        <v>275</v>
      </c>
      <c r="F2" s="207" t="s">
        <v>276</v>
      </c>
      <c r="G2" s="207" t="s">
        <v>15</v>
      </c>
      <c r="H2" s="207" t="s">
        <v>16</v>
      </c>
      <c r="I2" s="207" t="s">
        <v>17</v>
      </c>
      <c r="J2" s="207" t="s">
        <v>18</v>
      </c>
      <c r="K2" s="207" t="s">
        <v>19</v>
      </c>
      <c r="L2" s="207" t="s">
        <v>20</v>
      </c>
      <c r="M2" s="207" t="s">
        <v>6</v>
      </c>
      <c r="N2" s="207" t="s">
        <v>67</v>
      </c>
      <c r="O2" s="207" t="s">
        <v>277</v>
      </c>
      <c r="P2" s="207" t="s">
        <v>278</v>
      </c>
      <c r="Q2" s="207" t="s">
        <v>279</v>
      </c>
      <c r="R2" s="207" t="s">
        <v>280</v>
      </c>
      <c r="S2" s="207" t="s">
        <v>281</v>
      </c>
      <c r="T2" s="207" t="s">
        <v>282</v>
      </c>
      <c r="U2" s="207" t="s">
        <v>283</v>
      </c>
      <c r="V2" s="207" t="s">
        <v>284</v>
      </c>
      <c r="X2" s="10" t="s">
        <v>168</v>
      </c>
      <c r="Y2" s="10" t="s">
        <v>275</v>
      </c>
      <c r="Z2" s="10" t="s">
        <v>276</v>
      </c>
      <c r="AA2" s="10" t="s">
        <v>15</v>
      </c>
      <c r="AB2" s="10" t="s">
        <v>16</v>
      </c>
      <c r="AC2" s="10" t="s">
        <v>17</v>
      </c>
      <c r="AD2" s="10" t="s">
        <v>18</v>
      </c>
      <c r="AE2" s="10" t="s">
        <v>19</v>
      </c>
      <c r="AF2" s="10" t="s">
        <v>20</v>
      </c>
      <c r="AG2" s="10" t="s">
        <v>6</v>
      </c>
      <c r="AH2" s="10" t="s">
        <v>67</v>
      </c>
      <c r="AI2" s="10" t="s">
        <v>277</v>
      </c>
      <c r="AJ2" s="10" t="s">
        <v>278</v>
      </c>
      <c r="AK2" s="10" t="s">
        <v>279</v>
      </c>
      <c r="AL2" s="10" t="s">
        <v>280</v>
      </c>
      <c r="AM2" s="10" t="s">
        <v>281</v>
      </c>
      <c r="AN2" s="10" t="s">
        <v>282</v>
      </c>
      <c r="AO2" s="10" t="s">
        <v>283</v>
      </c>
      <c r="AP2" s="10" t="s">
        <v>284</v>
      </c>
    </row>
    <row r="3" spans="1:45" x14ac:dyDescent="0.25">
      <c r="A3" t="s">
        <v>28</v>
      </c>
      <c r="B3" s="15" t="s">
        <v>27</v>
      </c>
      <c r="C3" s="17"/>
      <c r="D3" s="17" t="s">
        <v>438</v>
      </c>
      <c r="E3" s="3">
        <f>PLANTILLA!E4</f>
        <v>22</v>
      </c>
      <c r="F3" s="25">
        <f ca="1">PLANTILLA!F4</f>
        <v>48</v>
      </c>
      <c r="G3" s="185">
        <f>PLANTILLA!X4</f>
        <v>15</v>
      </c>
      <c r="H3" s="185">
        <f>PLANTILLA!Y4</f>
        <v>10.428571428571429</v>
      </c>
      <c r="I3" s="185">
        <f>PLANTILLA!Z4</f>
        <v>0</v>
      </c>
      <c r="J3" s="185">
        <f>PLANTILLA!AA4</f>
        <v>0</v>
      </c>
      <c r="K3" s="185">
        <f>PLANTILLA!AB4</f>
        <v>0</v>
      </c>
      <c r="L3" s="185">
        <f>PLANTILLA!AC4</f>
        <v>1</v>
      </c>
      <c r="M3" s="185">
        <f>PLANTILLA!AD4</f>
        <v>1</v>
      </c>
      <c r="N3" s="45">
        <f>PLANTILLA!V4</f>
        <v>27520</v>
      </c>
      <c r="O3" s="201">
        <v>51.5</v>
      </c>
      <c r="P3" s="201">
        <v>40</v>
      </c>
      <c r="Q3" s="201">
        <v>0</v>
      </c>
      <c r="R3" s="169">
        <v>0</v>
      </c>
      <c r="S3" s="169">
        <v>0</v>
      </c>
      <c r="T3" s="169">
        <v>0</v>
      </c>
      <c r="U3" s="169">
        <v>0</v>
      </c>
      <c r="V3" s="210">
        <f>SUM(O3:U3)</f>
        <v>91.5</v>
      </c>
      <c r="X3" t="s">
        <v>28</v>
      </c>
      <c r="Y3" s="17">
        <f>E3+1</f>
        <v>23</v>
      </c>
      <c r="Z3" s="3">
        <f ca="1">F3+(7*$AR$8)-122</f>
        <v>17</v>
      </c>
      <c r="AA3" s="108">
        <f>G3</f>
        <v>15</v>
      </c>
      <c r="AB3" s="108">
        <f>11+6/10</f>
        <v>11.6</v>
      </c>
      <c r="AC3" s="108">
        <f t="shared" ref="AB3:AG18" si="0">I3</f>
        <v>0</v>
      </c>
      <c r="AD3" s="108">
        <f t="shared" si="0"/>
        <v>0</v>
      </c>
      <c r="AE3" s="108">
        <f t="shared" si="0"/>
        <v>0</v>
      </c>
      <c r="AF3" s="108">
        <f t="shared" si="0"/>
        <v>1</v>
      </c>
      <c r="AG3" s="108">
        <f t="shared" si="0"/>
        <v>1</v>
      </c>
      <c r="AH3" s="45">
        <f>(24270+2300)*1.008</f>
        <v>26782.560000000001</v>
      </c>
      <c r="AI3" s="201">
        <f>O3</f>
        <v>51.5</v>
      </c>
      <c r="AJ3" s="201">
        <f>P3+$AR$8</f>
        <v>53</v>
      </c>
      <c r="AK3" s="201">
        <f t="shared" ref="AK3:AO3" si="1">Q3</f>
        <v>0</v>
      </c>
      <c r="AL3" s="201">
        <f t="shared" si="1"/>
        <v>0</v>
      </c>
      <c r="AM3" s="201">
        <f t="shared" si="1"/>
        <v>0</v>
      </c>
      <c r="AN3" s="201">
        <f t="shared" si="1"/>
        <v>0</v>
      </c>
      <c r="AO3" s="201">
        <f t="shared" si="1"/>
        <v>0</v>
      </c>
      <c r="AP3" s="210">
        <f>SUM(AI3:AO3)</f>
        <v>104.5</v>
      </c>
    </row>
    <row r="4" spans="1:45" x14ac:dyDescent="0.25">
      <c r="A4" t="s">
        <v>31</v>
      </c>
      <c r="B4" s="15" t="s">
        <v>29</v>
      </c>
      <c r="C4" s="3"/>
      <c r="D4" s="3" t="s">
        <v>427</v>
      </c>
      <c r="E4" s="3">
        <f>PLANTILLA!E6</f>
        <v>22</v>
      </c>
      <c r="F4" s="3">
        <f ca="1">PLANTILLA!F6</f>
        <v>45</v>
      </c>
      <c r="G4" s="185">
        <f>PLANTILLA!X6</f>
        <v>0</v>
      </c>
      <c r="H4" s="185">
        <f>PLANTILLA!Y6</f>
        <v>14.5625</v>
      </c>
      <c r="I4" s="185">
        <f>PLANTILLA!Z6</f>
        <v>5</v>
      </c>
      <c r="J4" s="185">
        <f>PLANTILLA!AA6</f>
        <v>5.4</v>
      </c>
      <c r="K4" s="185">
        <f>PLANTILLA!AB6</f>
        <v>5</v>
      </c>
      <c r="L4" s="185">
        <f>PLANTILLA!AC6</f>
        <v>2</v>
      </c>
      <c r="M4" s="185">
        <f>PLANTILLA!AD6</f>
        <v>1</v>
      </c>
      <c r="N4" s="45">
        <f>PLANTILLA!V6</f>
        <v>18250</v>
      </c>
      <c r="O4" s="201">
        <v>0</v>
      </c>
      <c r="P4" s="201">
        <f>79+9</f>
        <v>88</v>
      </c>
      <c r="Q4" s="201">
        <v>9</v>
      </c>
      <c r="R4" s="169">
        <v>6</v>
      </c>
      <c r="S4" s="169">
        <v>7</v>
      </c>
      <c r="T4" s="169">
        <v>0</v>
      </c>
      <c r="U4" s="169">
        <v>0</v>
      </c>
      <c r="V4" s="210">
        <f t="shared" ref="V4:V13" si="2">SUM(O4:U4)</f>
        <v>110</v>
      </c>
      <c r="X4" t="s">
        <v>31</v>
      </c>
      <c r="Y4" s="17">
        <f t="shared" ref="Y4:Y15" si="3">E4+1</f>
        <v>23</v>
      </c>
      <c r="Z4" s="3">
        <f t="shared" ref="Z4:Z15" ca="1" si="4">F4+(7*$AR$8)-122</f>
        <v>14</v>
      </c>
      <c r="AA4" s="108">
        <f t="shared" ref="AA4:AA18" si="5">G4</f>
        <v>0</v>
      </c>
      <c r="AB4" s="108">
        <f>15+3/18</f>
        <v>15.166666666666666</v>
      </c>
      <c r="AC4" s="108">
        <f t="shared" si="0"/>
        <v>5</v>
      </c>
      <c r="AD4" s="108">
        <f>5+2/10</f>
        <v>5.2</v>
      </c>
      <c r="AE4" s="108">
        <f t="shared" si="0"/>
        <v>5</v>
      </c>
      <c r="AF4" s="108">
        <f t="shared" si="0"/>
        <v>2</v>
      </c>
      <c r="AG4" s="108">
        <f t="shared" si="0"/>
        <v>1</v>
      </c>
      <c r="AH4" s="45">
        <f>(28000+135+130+135)*1.004</f>
        <v>28513.599999999999</v>
      </c>
      <c r="AI4" s="205">
        <f t="shared" ref="AI4:AI18" si="6">O4</f>
        <v>0</v>
      </c>
      <c r="AJ4" s="205">
        <f t="shared" ref="AJ4:AJ15" si="7">P4+$AR$8</f>
        <v>101</v>
      </c>
      <c r="AK4" s="205">
        <f t="shared" ref="AK4:AK18" si="8">Q4</f>
        <v>9</v>
      </c>
      <c r="AL4" s="205">
        <f t="shared" ref="AL4:AL18" si="9">R4</f>
        <v>6</v>
      </c>
      <c r="AM4" s="205">
        <f t="shared" ref="AM4:AM18" si="10">S4</f>
        <v>7</v>
      </c>
      <c r="AN4" s="205">
        <f t="shared" ref="AN4:AN18" si="11">T4</f>
        <v>0</v>
      </c>
      <c r="AO4" s="205">
        <f t="shared" ref="AO4:AO18" si="12">U4</f>
        <v>0</v>
      </c>
      <c r="AP4" s="210">
        <f>SUM(AI4:AO4)</f>
        <v>123</v>
      </c>
    </row>
    <row r="5" spans="1:45" x14ac:dyDescent="0.25">
      <c r="A5" t="s">
        <v>32</v>
      </c>
      <c r="B5" s="15" t="s">
        <v>29</v>
      </c>
      <c r="C5" s="3"/>
      <c r="D5" s="3" t="s">
        <v>428</v>
      </c>
      <c r="E5" s="3">
        <f>PLANTILLA!E8</f>
        <v>22</v>
      </c>
      <c r="F5" s="3">
        <f ca="1">PLANTILLA!F8</f>
        <v>76</v>
      </c>
      <c r="G5" s="185">
        <f>PLANTILLA!X8</f>
        <v>0</v>
      </c>
      <c r="H5" s="185">
        <f>PLANTILLA!Y8</f>
        <v>12.454545454545455</v>
      </c>
      <c r="I5" s="185">
        <f>PLANTILLA!Z8</f>
        <v>3</v>
      </c>
      <c r="J5" s="185">
        <f>PLANTILLA!AA8</f>
        <v>7.1999999999999993</v>
      </c>
      <c r="K5" s="185">
        <f>PLANTILLA!AB8</f>
        <v>10</v>
      </c>
      <c r="L5" s="185">
        <f>PLANTILLA!AC8</f>
        <v>3</v>
      </c>
      <c r="M5" s="185">
        <f>PLANTILLA!AD8</f>
        <v>2</v>
      </c>
      <c r="N5" s="45">
        <f>PLANTILLA!V8</f>
        <v>5710</v>
      </c>
      <c r="O5" s="201">
        <v>0</v>
      </c>
      <c r="P5" s="201">
        <v>61</v>
      </c>
      <c r="Q5" s="201">
        <v>3</v>
      </c>
      <c r="R5" s="169">
        <v>11.5</v>
      </c>
      <c r="S5" s="169">
        <v>29</v>
      </c>
      <c r="T5" s="169">
        <v>2</v>
      </c>
      <c r="U5" s="169">
        <v>0</v>
      </c>
      <c r="V5" s="210">
        <f>SUM(O5:U5)</f>
        <v>106.5</v>
      </c>
      <c r="X5" t="s">
        <v>32</v>
      </c>
      <c r="Y5" s="17">
        <f t="shared" si="3"/>
        <v>23</v>
      </c>
      <c r="Z5" s="3">
        <f t="shared" ca="1" si="4"/>
        <v>45</v>
      </c>
      <c r="AA5" s="108">
        <f t="shared" si="5"/>
        <v>0</v>
      </c>
      <c r="AB5" s="108">
        <f>13+5/12</f>
        <v>13.416666666666666</v>
      </c>
      <c r="AC5" s="108">
        <f t="shared" si="0"/>
        <v>3</v>
      </c>
      <c r="AD5" s="108">
        <f>7+1/12</f>
        <v>7.083333333333333</v>
      </c>
      <c r="AE5" s="108">
        <f t="shared" si="0"/>
        <v>10</v>
      </c>
      <c r="AF5" s="108">
        <f t="shared" si="0"/>
        <v>3</v>
      </c>
      <c r="AG5" s="108">
        <f t="shared" si="0"/>
        <v>2</v>
      </c>
      <c r="AH5" s="45">
        <f>(195+13000+190)*1.008</f>
        <v>13492.08</v>
      </c>
      <c r="AI5" s="205">
        <f t="shared" si="6"/>
        <v>0</v>
      </c>
      <c r="AJ5" s="205">
        <f t="shared" si="7"/>
        <v>74</v>
      </c>
      <c r="AK5" s="205">
        <f t="shared" si="8"/>
        <v>3</v>
      </c>
      <c r="AL5" s="205">
        <f t="shared" si="9"/>
        <v>11.5</v>
      </c>
      <c r="AM5" s="205">
        <f t="shared" si="10"/>
        <v>29</v>
      </c>
      <c r="AN5" s="205">
        <f t="shared" si="11"/>
        <v>2</v>
      </c>
      <c r="AO5" s="205">
        <f t="shared" si="12"/>
        <v>0</v>
      </c>
      <c r="AP5" s="210">
        <f>SUM(AI5:AO5)</f>
        <v>119.5</v>
      </c>
    </row>
    <row r="6" spans="1:45" x14ac:dyDescent="0.25">
      <c r="A6" t="s">
        <v>38</v>
      </c>
      <c r="B6" s="15" t="s">
        <v>29</v>
      </c>
      <c r="C6" s="3"/>
      <c r="D6" s="3" t="s">
        <v>431</v>
      </c>
      <c r="E6" s="3">
        <f>PLANTILLA!E7</f>
        <v>22</v>
      </c>
      <c r="F6" s="25">
        <f ca="1">PLANTILLA!F7</f>
        <v>26</v>
      </c>
      <c r="G6" s="185">
        <f>PLANTILLA!X7</f>
        <v>0</v>
      </c>
      <c r="H6" s="185">
        <f>PLANTILLA!Y7</f>
        <v>14.5</v>
      </c>
      <c r="I6" s="185">
        <f>PLANTILLA!Z7</f>
        <v>5</v>
      </c>
      <c r="J6" s="185">
        <f>PLANTILLA!AA7</f>
        <v>7</v>
      </c>
      <c r="K6" s="185">
        <f>PLANTILLA!AB7</f>
        <v>5</v>
      </c>
      <c r="L6" s="185">
        <f>PLANTILLA!AC7</f>
        <v>1</v>
      </c>
      <c r="M6" s="185">
        <f>PLANTILLA!AD7</f>
        <v>0</v>
      </c>
      <c r="N6" s="45">
        <f>PLANTILLA!V7</f>
        <v>19870</v>
      </c>
      <c r="O6" s="201">
        <v>0</v>
      </c>
      <c r="P6" s="201">
        <v>87</v>
      </c>
      <c r="Q6" s="201">
        <v>9</v>
      </c>
      <c r="R6" s="169">
        <v>10.5</v>
      </c>
      <c r="S6" s="169">
        <v>7</v>
      </c>
      <c r="T6" s="169">
        <v>0</v>
      </c>
      <c r="U6" s="169">
        <v>0</v>
      </c>
      <c r="V6" s="210">
        <f>SUM(O6:U6)</f>
        <v>113.5</v>
      </c>
      <c r="X6" t="s">
        <v>38</v>
      </c>
      <c r="Y6" s="17">
        <f t="shared" si="3"/>
        <v>23</v>
      </c>
      <c r="Z6" s="3">
        <f t="shared" ca="1" si="4"/>
        <v>-5</v>
      </c>
      <c r="AA6" s="108">
        <f t="shared" si="5"/>
        <v>0</v>
      </c>
      <c r="AB6" s="108">
        <f>15+3/18</f>
        <v>15.166666666666666</v>
      </c>
      <c r="AC6" s="108">
        <f t="shared" si="0"/>
        <v>5</v>
      </c>
      <c r="AD6" s="108">
        <f>J6+(0.5*AR9)/4</f>
        <v>7</v>
      </c>
      <c r="AE6" s="108">
        <f t="shared" si="0"/>
        <v>5</v>
      </c>
      <c r="AF6" s="108">
        <f t="shared" si="0"/>
        <v>1</v>
      </c>
      <c r="AG6" s="108">
        <f t="shared" si="0"/>
        <v>0</v>
      </c>
      <c r="AH6" s="45">
        <f>(28000+135+130+135)*1.004</f>
        <v>28513.599999999999</v>
      </c>
      <c r="AI6" s="205">
        <f t="shared" si="6"/>
        <v>0</v>
      </c>
      <c r="AJ6" s="205">
        <f t="shared" si="7"/>
        <v>100</v>
      </c>
      <c r="AK6" s="205">
        <f t="shared" si="8"/>
        <v>9</v>
      </c>
      <c r="AL6" s="205">
        <f t="shared" si="9"/>
        <v>10.5</v>
      </c>
      <c r="AM6" s="205">
        <f t="shared" si="10"/>
        <v>7</v>
      </c>
      <c r="AN6" s="205">
        <f t="shared" si="11"/>
        <v>0</v>
      </c>
      <c r="AO6" s="205">
        <f t="shared" si="12"/>
        <v>0</v>
      </c>
      <c r="AP6" s="210">
        <f>SUM(AI6:AO6)</f>
        <v>126.5</v>
      </c>
    </row>
    <row r="7" spans="1:45" x14ac:dyDescent="0.25">
      <c r="A7" t="s">
        <v>40</v>
      </c>
      <c r="B7" s="15" t="s">
        <v>29</v>
      </c>
      <c r="C7" s="3"/>
      <c r="D7" s="3" t="s">
        <v>435</v>
      </c>
      <c r="E7" s="3">
        <f>PLANTILLA!E9</f>
        <v>22</v>
      </c>
      <c r="F7" s="25">
        <f ca="1">PLANTILLA!F9</f>
        <v>61</v>
      </c>
      <c r="G7" s="185">
        <f>PLANTILLA!X9</f>
        <v>0</v>
      </c>
      <c r="H7" s="185">
        <f>PLANTILLA!Y9</f>
        <v>10.333333333333334</v>
      </c>
      <c r="I7" s="185">
        <f>PLANTILLA!Z9</f>
        <v>11</v>
      </c>
      <c r="J7" s="185">
        <f>PLANTILLA!AA9</f>
        <v>4</v>
      </c>
      <c r="K7" s="185">
        <f>PLANTILLA!AB9</f>
        <v>9</v>
      </c>
      <c r="L7" s="185">
        <f>PLANTILLA!AC9</f>
        <v>4</v>
      </c>
      <c r="M7" s="185">
        <f>PLANTILLA!AD9</f>
        <v>1</v>
      </c>
      <c r="N7" s="45">
        <f>PLANTILLA!V9</f>
        <v>6250</v>
      </c>
      <c r="O7" s="201">
        <v>0</v>
      </c>
      <c r="P7" s="201">
        <v>40</v>
      </c>
      <c r="Q7" s="201">
        <v>40</v>
      </c>
      <c r="R7" s="169">
        <v>3.5</v>
      </c>
      <c r="S7" s="169">
        <v>23</v>
      </c>
      <c r="T7" s="169">
        <v>5</v>
      </c>
      <c r="U7" s="169">
        <v>0</v>
      </c>
      <c r="V7" s="210">
        <f t="shared" si="2"/>
        <v>111.5</v>
      </c>
      <c r="X7" t="s">
        <v>40</v>
      </c>
      <c r="Y7" s="17">
        <f t="shared" si="3"/>
        <v>23</v>
      </c>
      <c r="Z7" s="3">
        <f t="shared" ca="1" si="4"/>
        <v>30</v>
      </c>
      <c r="AA7" s="108">
        <f t="shared" si="5"/>
        <v>0</v>
      </c>
      <c r="AB7" s="108">
        <f>11+7/10</f>
        <v>11.7</v>
      </c>
      <c r="AC7" s="108">
        <f t="shared" si="0"/>
        <v>11</v>
      </c>
      <c r="AD7" s="108">
        <f t="shared" si="0"/>
        <v>4</v>
      </c>
      <c r="AE7" s="108">
        <f t="shared" si="0"/>
        <v>9</v>
      </c>
      <c r="AF7" s="108">
        <f t="shared" si="0"/>
        <v>4</v>
      </c>
      <c r="AG7" s="108">
        <f t="shared" si="0"/>
        <v>1</v>
      </c>
      <c r="AH7" s="45">
        <f>(6800+2505+145)*1.008</f>
        <v>9525.6</v>
      </c>
      <c r="AI7" s="205">
        <f t="shared" si="6"/>
        <v>0</v>
      </c>
      <c r="AJ7" s="205">
        <f t="shared" si="7"/>
        <v>53</v>
      </c>
      <c r="AK7" s="205">
        <f t="shared" si="8"/>
        <v>40</v>
      </c>
      <c r="AL7" s="205">
        <f t="shared" si="9"/>
        <v>3.5</v>
      </c>
      <c r="AM7" s="205">
        <f t="shared" si="10"/>
        <v>23</v>
      </c>
      <c r="AN7" s="205">
        <f t="shared" si="11"/>
        <v>5</v>
      </c>
      <c r="AO7" s="205">
        <f t="shared" si="12"/>
        <v>0</v>
      </c>
      <c r="AP7" s="210">
        <f t="shared" ref="AP7:AP13" si="13">SUM(AI7:AO7)</f>
        <v>124.5</v>
      </c>
      <c r="AR7" s="186" t="s">
        <v>320</v>
      </c>
      <c r="AS7" s="186" t="s">
        <v>321</v>
      </c>
    </row>
    <row r="8" spans="1:45" x14ac:dyDescent="0.25">
      <c r="A8" t="s">
        <v>37</v>
      </c>
      <c r="B8" s="15" t="s">
        <v>29</v>
      </c>
      <c r="C8" s="3"/>
      <c r="D8" s="3"/>
      <c r="E8" s="3"/>
      <c r="F8" s="3"/>
      <c r="G8" s="185">
        <v>0</v>
      </c>
      <c r="H8" s="126">
        <v>2</v>
      </c>
      <c r="I8" s="185">
        <v>2</v>
      </c>
      <c r="J8" s="126">
        <v>2</v>
      </c>
      <c r="K8" s="185">
        <v>2</v>
      </c>
      <c r="L8" s="126">
        <v>2</v>
      </c>
      <c r="M8" s="185">
        <v>2</v>
      </c>
      <c r="N8" s="45"/>
      <c r="O8" s="201">
        <v>0</v>
      </c>
      <c r="P8" s="201">
        <v>0</v>
      </c>
      <c r="Q8" s="201">
        <v>0</v>
      </c>
      <c r="R8" s="169">
        <v>0</v>
      </c>
      <c r="S8" s="169">
        <v>0</v>
      </c>
      <c r="T8" s="169">
        <v>0</v>
      </c>
      <c r="U8" s="169">
        <v>0</v>
      </c>
      <c r="V8" s="210">
        <f t="shared" si="2"/>
        <v>0</v>
      </c>
      <c r="X8" t="s">
        <v>37</v>
      </c>
      <c r="Y8" s="17"/>
      <c r="Z8" s="3"/>
      <c r="AA8" s="108">
        <f t="shared" si="5"/>
        <v>0</v>
      </c>
      <c r="AB8" s="108">
        <f t="shared" si="0"/>
        <v>2</v>
      </c>
      <c r="AC8" s="108">
        <f t="shared" si="0"/>
        <v>2</v>
      </c>
      <c r="AD8" s="108">
        <f t="shared" si="0"/>
        <v>2</v>
      </c>
      <c r="AE8" s="108">
        <f t="shared" si="0"/>
        <v>2</v>
      </c>
      <c r="AF8" s="108">
        <f t="shared" si="0"/>
        <v>2</v>
      </c>
      <c r="AG8" s="108">
        <f t="shared" si="0"/>
        <v>2</v>
      </c>
      <c r="AH8" s="45"/>
      <c r="AI8" s="205">
        <f t="shared" si="6"/>
        <v>0</v>
      </c>
      <c r="AJ8" s="205">
        <v>0</v>
      </c>
      <c r="AK8" s="205">
        <f t="shared" si="8"/>
        <v>0</v>
      </c>
      <c r="AL8" s="205">
        <f t="shared" si="9"/>
        <v>0</v>
      </c>
      <c r="AM8" s="205">
        <f t="shared" si="10"/>
        <v>0</v>
      </c>
      <c r="AN8" s="205">
        <f t="shared" si="11"/>
        <v>0</v>
      </c>
      <c r="AO8" s="205">
        <f t="shared" si="12"/>
        <v>0</v>
      </c>
      <c r="AP8" s="210">
        <f t="shared" si="13"/>
        <v>0</v>
      </c>
      <c r="AQ8" s="186" t="s">
        <v>29</v>
      </c>
      <c r="AR8" s="107">
        <v>13</v>
      </c>
      <c r="AS8" s="208">
        <f>AR8/16</f>
        <v>0.8125</v>
      </c>
    </row>
    <row r="9" spans="1:45" x14ac:dyDescent="0.25">
      <c r="A9" t="s">
        <v>34</v>
      </c>
      <c r="B9" s="15" t="s">
        <v>29</v>
      </c>
      <c r="C9" s="3" t="s">
        <v>269</v>
      </c>
      <c r="D9" s="3" t="s">
        <v>419</v>
      </c>
      <c r="E9" s="3">
        <f>PLANTILLA!E11</f>
        <v>22</v>
      </c>
      <c r="F9" s="3">
        <f ca="1">PLANTILLA!F11</f>
        <v>41</v>
      </c>
      <c r="G9" s="185">
        <f>PLANTILLA!X11</f>
        <v>0</v>
      </c>
      <c r="H9" s="185">
        <f>PLANTILLA!Y11</f>
        <v>11.666666666666666</v>
      </c>
      <c r="I9" s="185">
        <f>PLANTILLA!Z11</f>
        <v>4</v>
      </c>
      <c r="J9" s="185">
        <f>PLANTILLA!AA11</f>
        <v>12.666666666666666</v>
      </c>
      <c r="K9" s="185">
        <f>PLANTILLA!AB11</f>
        <v>4.25</v>
      </c>
      <c r="L9" s="185">
        <f>PLANTILLA!AC11</f>
        <v>7</v>
      </c>
      <c r="M9" s="185">
        <f>PLANTILLA!AD11</f>
        <v>3</v>
      </c>
      <c r="N9" s="45">
        <f>PLANTILLA!V11</f>
        <v>8650</v>
      </c>
      <c r="O9" s="201">
        <v>0</v>
      </c>
      <c r="P9" s="201">
        <v>53</v>
      </c>
      <c r="Q9" s="201">
        <v>6</v>
      </c>
      <c r="R9" s="169">
        <v>40.5</v>
      </c>
      <c r="S9" s="169">
        <v>5</v>
      </c>
      <c r="T9" s="169">
        <v>16</v>
      </c>
      <c r="U9" s="169">
        <v>1</v>
      </c>
      <c r="V9" s="210">
        <f t="shared" si="2"/>
        <v>121.5</v>
      </c>
      <c r="X9" t="s">
        <v>34</v>
      </c>
      <c r="Y9" s="17">
        <f t="shared" si="3"/>
        <v>23</v>
      </c>
      <c r="Z9" s="3">
        <f t="shared" ca="1" si="4"/>
        <v>10</v>
      </c>
      <c r="AA9" s="108">
        <f t="shared" si="5"/>
        <v>0</v>
      </c>
      <c r="AB9" s="108">
        <f>12+10/11</f>
        <v>12.909090909090908</v>
      </c>
      <c r="AC9" s="108">
        <f t="shared" si="0"/>
        <v>4</v>
      </c>
      <c r="AD9" s="108">
        <v>12.5</v>
      </c>
      <c r="AE9" s="108">
        <f t="shared" si="0"/>
        <v>4.25</v>
      </c>
      <c r="AF9" s="108">
        <f t="shared" si="0"/>
        <v>7</v>
      </c>
      <c r="AG9" s="108">
        <f t="shared" si="0"/>
        <v>3</v>
      </c>
      <c r="AH9" s="45">
        <f>(12930+2985+125+125+245)*1.012</f>
        <v>16606.920000000002</v>
      </c>
      <c r="AI9" s="205">
        <f t="shared" si="6"/>
        <v>0</v>
      </c>
      <c r="AJ9" s="205">
        <f t="shared" si="7"/>
        <v>66</v>
      </c>
      <c r="AK9" s="205">
        <f t="shared" si="8"/>
        <v>6</v>
      </c>
      <c r="AL9" s="205">
        <f t="shared" si="9"/>
        <v>40.5</v>
      </c>
      <c r="AM9" s="205">
        <f t="shared" si="10"/>
        <v>5</v>
      </c>
      <c r="AN9" s="205">
        <f t="shared" si="11"/>
        <v>16</v>
      </c>
      <c r="AO9" s="205">
        <f t="shared" si="12"/>
        <v>1</v>
      </c>
      <c r="AP9" s="210">
        <f t="shared" si="13"/>
        <v>134.5</v>
      </c>
      <c r="AR9" s="209"/>
      <c r="AS9" s="209"/>
    </row>
    <row r="10" spans="1:45" x14ac:dyDescent="0.25">
      <c r="A10" t="s">
        <v>30</v>
      </c>
      <c r="B10" s="15" t="s">
        <v>29</v>
      </c>
      <c r="C10" s="3" t="s">
        <v>269</v>
      </c>
      <c r="D10" s="3" t="s">
        <v>286</v>
      </c>
      <c r="E10" s="3">
        <f>PLANTILLA!E13</f>
        <v>22</v>
      </c>
      <c r="F10" s="3">
        <f ca="1">PLANTILLA!F13</f>
        <v>41</v>
      </c>
      <c r="G10" s="185">
        <f>PLANTILLA!X13</f>
        <v>0</v>
      </c>
      <c r="H10" s="185">
        <f>PLANTILLA!Y13</f>
        <v>10.285714285714286</v>
      </c>
      <c r="I10" s="185">
        <f>PLANTILLA!Z13</f>
        <v>3</v>
      </c>
      <c r="J10" s="185">
        <f>PLANTILLA!AA13</f>
        <v>12</v>
      </c>
      <c r="K10" s="185">
        <f>PLANTILLA!AB13</f>
        <v>6.0000000000000009</v>
      </c>
      <c r="L10" s="185">
        <f>PLANTILLA!AC13</f>
        <v>7.25</v>
      </c>
      <c r="M10" s="185">
        <f>PLANTILLA!AD13</f>
        <v>3</v>
      </c>
      <c r="N10" s="45">
        <f>PLANTILLA!V13</f>
        <v>5690</v>
      </c>
      <c r="O10" s="201">
        <v>0</v>
      </c>
      <c r="P10" s="201">
        <v>39</v>
      </c>
      <c r="Q10" s="201">
        <v>3</v>
      </c>
      <c r="R10" s="169">
        <v>32.5</v>
      </c>
      <c r="S10" s="169">
        <v>10</v>
      </c>
      <c r="T10" s="169">
        <v>17</v>
      </c>
      <c r="U10" s="169">
        <v>1</v>
      </c>
      <c r="V10" s="210">
        <f t="shared" si="2"/>
        <v>102.5</v>
      </c>
      <c r="X10" t="s">
        <v>30</v>
      </c>
      <c r="Y10" s="17">
        <f t="shared" si="3"/>
        <v>23</v>
      </c>
      <c r="Z10" s="3">
        <f t="shared" ca="1" si="4"/>
        <v>10</v>
      </c>
      <c r="AA10" s="108">
        <f t="shared" si="5"/>
        <v>0</v>
      </c>
      <c r="AB10" s="108">
        <v>12</v>
      </c>
      <c r="AC10" s="108">
        <f t="shared" si="0"/>
        <v>3</v>
      </c>
      <c r="AD10" s="108">
        <v>11.9</v>
      </c>
      <c r="AE10" s="108">
        <f t="shared" si="0"/>
        <v>6.0000000000000009</v>
      </c>
      <c r="AF10" s="108">
        <f t="shared" si="0"/>
        <v>7.25</v>
      </c>
      <c r="AG10" s="108">
        <f t="shared" si="0"/>
        <v>3</v>
      </c>
      <c r="AH10" s="45">
        <f>(12930+2985+125+125+245)*1.012</f>
        <v>16606.920000000002</v>
      </c>
      <c r="AI10" s="205">
        <f t="shared" si="6"/>
        <v>0</v>
      </c>
      <c r="AJ10" s="205">
        <f t="shared" si="7"/>
        <v>52</v>
      </c>
      <c r="AK10" s="205">
        <f t="shared" si="8"/>
        <v>3</v>
      </c>
      <c r="AL10" s="205">
        <f t="shared" si="9"/>
        <v>32.5</v>
      </c>
      <c r="AM10" s="205">
        <f t="shared" si="10"/>
        <v>10</v>
      </c>
      <c r="AN10" s="205">
        <f t="shared" si="11"/>
        <v>17</v>
      </c>
      <c r="AO10" s="205">
        <f t="shared" si="12"/>
        <v>1</v>
      </c>
      <c r="AP10" s="210">
        <f t="shared" si="13"/>
        <v>115.5</v>
      </c>
      <c r="AR10" s="209"/>
      <c r="AS10" s="209"/>
    </row>
    <row r="11" spans="1:45" x14ac:dyDescent="0.25">
      <c r="A11" t="s">
        <v>42</v>
      </c>
      <c r="B11" s="15" t="s">
        <v>322</v>
      </c>
      <c r="C11" s="3"/>
      <c r="D11" s="3"/>
      <c r="E11" s="3"/>
      <c r="F11" s="3"/>
      <c r="G11" s="185">
        <v>0</v>
      </c>
      <c r="H11" s="126">
        <v>2</v>
      </c>
      <c r="I11" s="185">
        <v>2</v>
      </c>
      <c r="J11" s="126">
        <v>2</v>
      </c>
      <c r="K11" s="185">
        <v>2</v>
      </c>
      <c r="L11" s="126">
        <v>2</v>
      </c>
      <c r="M11" s="185">
        <v>2</v>
      </c>
      <c r="N11" s="45"/>
      <c r="O11" s="201">
        <v>0</v>
      </c>
      <c r="P11" s="201">
        <v>0</v>
      </c>
      <c r="Q11" s="201">
        <v>0</v>
      </c>
      <c r="R11" s="169">
        <v>0</v>
      </c>
      <c r="S11" s="169">
        <v>0</v>
      </c>
      <c r="T11" s="169">
        <v>0</v>
      </c>
      <c r="U11" s="169">
        <v>0</v>
      </c>
      <c r="V11" s="210">
        <f t="shared" si="2"/>
        <v>0</v>
      </c>
      <c r="X11" t="s">
        <v>42</v>
      </c>
      <c r="Y11" s="17"/>
      <c r="Z11" s="3"/>
      <c r="AA11" s="108">
        <f t="shared" si="5"/>
        <v>0</v>
      </c>
      <c r="AB11" s="108">
        <f t="shared" si="0"/>
        <v>2</v>
      </c>
      <c r="AC11" s="108">
        <f t="shared" si="0"/>
        <v>2</v>
      </c>
      <c r="AD11" s="108">
        <f t="shared" si="0"/>
        <v>2</v>
      </c>
      <c r="AE11" s="108">
        <f t="shared" si="0"/>
        <v>2</v>
      </c>
      <c r="AF11" s="108">
        <f t="shared" si="0"/>
        <v>2</v>
      </c>
      <c r="AG11" s="108">
        <f t="shared" si="0"/>
        <v>2</v>
      </c>
      <c r="AH11" s="45"/>
      <c r="AI11" s="205">
        <f t="shared" si="6"/>
        <v>0</v>
      </c>
      <c r="AJ11" s="205">
        <v>0</v>
      </c>
      <c r="AK11" s="205">
        <f t="shared" si="8"/>
        <v>0</v>
      </c>
      <c r="AL11" s="205">
        <f t="shared" si="9"/>
        <v>0</v>
      </c>
      <c r="AM11" s="205">
        <f t="shared" si="10"/>
        <v>0</v>
      </c>
      <c r="AN11" s="205">
        <f t="shared" si="11"/>
        <v>0</v>
      </c>
      <c r="AO11" s="205">
        <f t="shared" si="12"/>
        <v>0</v>
      </c>
      <c r="AP11" s="210">
        <f t="shared" si="13"/>
        <v>0</v>
      </c>
    </row>
    <row r="12" spans="1:45" x14ac:dyDescent="0.25">
      <c r="A12" t="s">
        <v>36</v>
      </c>
      <c r="B12" s="15" t="s">
        <v>322</v>
      </c>
      <c r="C12" s="3"/>
      <c r="D12" s="3"/>
      <c r="E12" s="3"/>
      <c r="F12" s="3"/>
      <c r="G12" s="185">
        <v>0</v>
      </c>
      <c r="H12" s="126">
        <v>2</v>
      </c>
      <c r="I12" s="185">
        <v>2</v>
      </c>
      <c r="J12" s="126">
        <v>2</v>
      </c>
      <c r="K12" s="185">
        <v>2</v>
      </c>
      <c r="L12" s="126">
        <v>2</v>
      </c>
      <c r="M12" s="185">
        <v>2</v>
      </c>
      <c r="N12" s="45"/>
      <c r="O12" s="201">
        <v>0</v>
      </c>
      <c r="P12" s="201">
        <v>0</v>
      </c>
      <c r="Q12" s="201">
        <v>0</v>
      </c>
      <c r="R12" s="169">
        <v>0</v>
      </c>
      <c r="S12" s="169">
        <v>0</v>
      </c>
      <c r="T12" s="169">
        <v>0</v>
      </c>
      <c r="U12" s="169">
        <v>0</v>
      </c>
      <c r="V12" s="210">
        <f t="shared" si="2"/>
        <v>0</v>
      </c>
      <c r="X12" t="s">
        <v>36</v>
      </c>
      <c r="Y12" s="17"/>
      <c r="Z12" s="3"/>
      <c r="AA12" s="108">
        <f t="shared" si="5"/>
        <v>0</v>
      </c>
      <c r="AB12" s="108">
        <f t="shared" si="0"/>
        <v>2</v>
      </c>
      <c r="AC12" s="108">
        <f t="shared" si="0"/>
        <v>2</v>
      </c>
      <c r="AD12" s="108">
        <f t="shared" si="0"/>
        <v>2</v>
      </c>
      <c r="AE12" s="108">
        <f t="shared" si="0"/>
        <v>2</v>
      </c>
      <c r="AF12" s="108">
        <f t="shared" si="0"/>
        <v>2</v>
      </c>
      <c r="AG12" s="108">
        <f t="shared" si="0"/>
        <v>2</v>
      </c>
      <c r="AH12" s="45"/>
      <c r="AI12" s="205">
        <f t="shared" si="6"/>
        <v>0</v>
      </c>
      <c r="AJ12" s="205">
        <v>0</v>
      </c>
      <c r="AK12" s="205">
        <f t="shared" si="8"/>
        <v>0</v>
      </c>
      <c r="AL12" s="205">
        <f t="shared" si="9"/>
        <v>0</v>
      </c>
      <c r="AM12" s="205">
        <f t="shared" si="10"/>
        <v>0</v>
      </c>
      <c r="AN12" s="205">
        <f t="shared" si="11"/>
        <v>0</v>
      </c>
      <c r="AO12" s="205">
        <f t="shared" si="12"/>
        <v>0</v>
      </c>
      <c r="AP12" s="210">
        <f t="shared" si="13"/>
        <v>0</v>
      </c>
    </row>
    <row r="13" spans="1:45" x14ac:dyDescent="0.25">
      <c r="A13" t="s">
        <v>35</v>
      </c>
      <c r="B13" s="15" t="s">
        <v>69</v>
      </c>
      <c r="C13" s="3" t="s">
        <v>44</v>
      </c>
      <c r="D13" s="3" t="s">
        <v>285</v>
      </c>
      <c r="E13" s="3">
        <f>PLANTILLA!E14</f>
        <v>22</v>
      </c>
      <c r="F13" s="3">
        <f ca="1">PLANTILLA!F14</f>
        <v>37</v>
      </c>
      <c r="G13" s="185">
        <f>PLANTILLA!X14</f>
        <v>0</v>
      </c>
      <c r="H13" s="185">
        <f>PLANTILLA!Y14</f>
        <v>8.8000000000000007</v>
      </c>
      <c r="I13" s="185">
        <f>PLANTILLA!Z14</f>
        <v>5.7</v>
      </c>
      <c r="J13" s="185">
        <f>PLANTILLA!AA14</f>
        <v>14.124999999999996</v>
      </c>
      <c r="K13" s="185">
        <f>PLANTILLA!AB14</f>
        <v>6</v>
      </c>
      <c r="L13" s="185">
        <f>PLANTILLA!AC14</f>
        <v>7.5</v>
      </c>
      <c r="M13" s="185">
        <f>PLANTILLA!AD14</f>
        <v>5</v>
      </c>
      <c r="N13" s="45">
        <f>PLANTILLA!V14</f>
        <v>13450</v>
      </c>
      <c r="O13" s="201">
        <v>0</v>
      </c>
      <c r="P13" s="201">
        <v>24</v>
      </c>
      <c r="Q13" s="201">
        <v>10.5</v>
      </c>
      <c r="R13" s="169">
        <v>47.5</v>
      </c>
      <c r="S13" s="169">
        <v>10</v>
      </c>
      <c r="T13" s="169">
        <v>18</v>
      </c>
      <c r="U13" s="169">
        <v>3</v>
      </c>
      <c r="V13" s="210">
        <f t="shared" si="2"/>
        <v>113</v>
      </c>
      <c r="X13" t="s">
        <v>35</v>
      </c>
      <c r="Y13" s="17">
        <f t="shared" si="3"/>
        <v>23</v>
      </c>
      <c r="Z13" s="3">
        <f t="shared" ca="1" si="4"/>
        <v>6</v>
      </c>
      <c r="AA13" s="108">
        <f t="shared" si="5"/>
        <v>0</v>
      </c>
      <c r="AB13" s="108">
        <f>10+6/9</f>
        <v>10.666666666666666</v>
      </c>
      <c r="AC13" s="108">
        <f t="shared" si="0"/>
        <v>5.7</v>
      </c>
      <c r="AD13" s="108">
        <v>14</v>
      </c>
      <c r="AE13" s="108">
        <f t="shared" si="0"/>
        <v>6</v>
      </c>
      <c r="AF13" s="108">
        <f t="shared" si="0"/>
        <v>7.5</v>
      </c>
      <c r="AG13" s="108">
        <f t="shared" si="0"/>
        <v>5</v>
      </c>
      <c r="AH13" s="45">
        <f>(11610+300+145+150+1200)*1.016</f>
        <v>13619.48</v>
      </c>
      <c r="AI13" s="205">
        <f t="shared" si="6"/>
        <v>0</v>
      </c>
      <c r="AJ13" s="205">
        <f t="shared" si="7"/>
        <v>37</v>
      </c>
      <c r="AK13" s="205">
        <f t="shared" si="8"/>
        <v>10.5</v>
      </c>
      <c r="AL13" s="205">
        <f t="shared" si="9"/>
        <v>47.5</v>
      </c>
      <c r="AM13" s="205">
        <f t="shared" si="10"/>
        <v>10</v>
      </c>
      <c r="AN13" s="205">
        <f t="shared" si="11"/>
        <v>18</v>
      </c>
      <c r="AO13" s="205">
        <f t="shared" si="12"/>
        <v>3</v>
      </c>
      <c r="AP13" s="210">
        <f t="shared" si="13"/>
        <v>126</v>
      </c>
    </row>
    <row r="14" spans="1:45" x14ac:dyDescent="0.25">
      <c r="A14" t="s">
        <v>39</v>
      </c>
      <c r="B14" s="15" t="s">
        <v>69</v>
      </c>
      <c r="C14" s="3" t="s">
        <v>44</v>
      </c>
      <c r="D14" s="3" t="s">
        <v>418</v>
      </c>
      <c r="E14" s="3">
        <f>PLANTILLA!E12</f>
        <v>22</v>
      </c>
      <c r="F14" s="3">
        <f ca="1">PLANTILLA!F12</f>
        <v>2</v>
      </c>
      <c r="G14" s="185">
        <f>PLANTILLA!X12</f>
        <v>0</v>
      </c>
      <c r="H14" s="185">
        <f>PLANTILLA!Y12</f>
        <v>10.714285714285714</v>
      </c>
      <c r="I14" s="185">
        <f>PLANTILLA!Z12</f>
        <v>3</v>
      </c>
      <c r="J14" s="185">
        <f>PLANTILLA!AA12</f>
        <v>13</v>
      </c>
      <c r="K14" s="185">
        <f>PLANTILLA!AB12</f>
        <v>7</v>
      </c>
      <c r="L14" s="185">
        <f>PLANTILLA!AC12</f>
        <v>7</v>
      </c>
      <c r="M14" s="185">
        <f>PLANTILLA!AD12</f>
        <v>3</v>
      </c>
      <c r="N14" s="45">
        <f>PLANTILLA!V12</f>
        <v>9290</v>
      </c>
      <c r="O14" s="201">
        <v>0</v>
      </c>
      <c r="P14" s="201">
        <v>42</v>
      </c>
      <c r="Q14" s="201">
        <v>3</v>
      </c>
      <c r="R14" s="169">
        <v>39.5</v>
      </c>
      <c r="S14" s="169">
        <v>14</v>
      </c>
      <c r="T14" s="169">
        <v>16</v>
      </c>
      <c r="U14" s="169">
        <v>1</v>
      </c>
      <c r="V14" s="210">
        <f>SUM(O14:U14)</f>
        <v>115.5</v>
      </c>
      <c r="X14" t="s">
        <v>39</v>
      </c>
      <c r="Y14" s="17">
        <f>E14</f>
        <v>22</v>
      </c>
      <c r="Z14" s="3">
        <f ca="1">F14+(7*$AR$8)</f>
        <v>93</v>
      </c>
      <c r="AA14" s="108">
        <f t="shared" si="5"/>
        <v>0</v>
      </c>
      <c r="AB14" s="108">
        <f>12+2/11</f>
        <v>12.181818181818182</v>
      </c>
      <c r="AC14" s="108">
        <f t="shared" si="0"/>
        <v>3</v>
      </c>
      <c r="AD14" s="108">
        <f>12+5/6</f>
        <v>12.833333333333334</v>
      </c>
      <c r="AE14" s="108">
        <f t="shared" si="0"/>
        <v>7</v>
      </c>
      <c r="AF14" s="108">
        <f t="shared" si="0"/>
        <v>7</v>
      </c>
      <c r="AG14" s="108">
        <f t="shared" si="0"/>
        <v>3</v>
      </c>
      <c r="AH14" s="45">
        <f>(7000+165+125+245+3505)*1.012</f>
        <v>11172.48</v>
      </c>
      <c r="AI14" s="205">
        <f t="shared" si="6"/>
        <v>0</v>
      </c>
      <c r="AJ14" s="205">
        <f t="shared" si="7"/>
        <v>55</v>
      </c>
      <c r="AK14" s="205">
        <f t="shared" si="8"/>
        <v>3</v>
      </c>
      <c r="AL14" s="205">
        <f t="shared" si="9"/>
        <v>39.5</v>
      </c>
      <c r="AM14" s="205">
        <f t="shared" si="10"/>
        <v>14</v>
      </c>
      <c r="AN14" s="205">
        <f t="shared" si="11"/>
        <v>16</v>
      </c>
      <c r="AO14" s="205">
        <f t="shared" si="12"/>
        <v>1</v>
      </c>
      <c r="AP14" s="210">
        <f>SUM(AI14:AO14)</f>
        <v>128.5</v>
      </c>
    </row>
    <row r="15" spans="1:45" x14ac:dyDescent="0.25">
      <c r="A15" t="s">
        <v>33</v>
      </c>
      <c r="B15" s="15" t="s">
        <v>69</v>
      </c>
      <c r="C15" s="3" t="s">
        <v>269</v>
      </c>
      <c r="D15" s="3" t="s">
        <v>287</v>
      </c>
      <c r="E15" s="3">
        <f>PLANTILLA!E15</f>
        <v>22</v>
      </c>
      <c r="F15" s="3">
        <f ca="1">PLANTILLA!F15</f>
        <v>37</v>
      </c>
      <c r="G15" s="185">
        <f>PLANTILLA!X15</f>
        <v>0</v>
      </c>
      <c r="H15" s="185">
        <f>PLANTILLA!Y15</f>
        <v>9.2857142857142865</v>
      </c>
      <c r="I15" s="185">
        <f>PLANTILLA!Z15</f>
        <v>5</v>
      </c>
      <c r="J15" s="185">
        <f>PLANTILLA!AA15</f>
        <v>13.19</v>
      </c>
      <c r="K15" s="185">
        <f>PLANTILLA!AB15</f>
        <v>5</v>
      </c>
      <c r="L15" s="185">
        <f>PLANTILLA!AC15</f>
        <v>7.8016666666666676</v>
      </c>
      <c r="M15" s="185">
        <f>PLANTILLA!AD15</f>
        <v>3</v>
      </c>
      <c r="N15" s="45">
        <f>PLANTILLA!V15</f>
        <v>9050</v>
      </c>
      <c r="O15" s="201">
        <v>0</v>
      </c>
      <c r="P15" s="201">
        <v>32</v>
      </c>
      <c r="Q15" s="201">
        <v>9</v>
      </c>
      <c r="R15" s="169">
        <v>39.880000000000003</v>
      </c>
      <c r="S15" s="169">
        <v>7</v>
      </c>
      <c r="T15" s="169">
        <v>19</v>
      </c>
      <c r="U15" s="169">
        <v>1</v>
      </c>
      <c r="V15" s="210">
        <f>SUM(O15:U15)</f>
        <v>107.88</v>
      </c>
      <c r="X15" t="s">
        <v>33</v>
      </c>
      <c r="Y15" s="17">
        <f t="shared" si="3"/>
        <v>23</v>
      </c>
      <c r="Z15" s="3">
        <f t="shared" ca="1" si="4"/>
        <v>6</v>
      </c>
      <c r="AA15" s="108">
        <f t="shared" si="5"/>
        <v>0</v>
      </c>
      <c r="AB15" s="108">
        <f>11+1/10</f>
        <v>11.1</v>
      </c>
      <c r="AC15" s="108">
        <f t="shared" si="0"/>
        <v>5</v>
      </c>
      <c r="AD15" s="108">
        <f>13+2/6</f>
        <v>13.333333333333334</v>
      </c>
      <c r="AE15" s="108">
        <f t="shared" si="0"/>
        <v>5</v>
      </c>
      <c r="AF15" s="108">
        <f t="shared" si="0"/>
        <v>7.8016666666666676</v>
      </c>
      <c r="AG15" s="108">
        <f t="shared" si="0"/>
        <v>3</v>
      </c>
      <c r="AH15" s="45">
        <f>(9000+135+135+350+3900)*1.012</f>
        <v>13682.24</v>
      </c>
      <c r="AI15" s="205">
        <f t="shared" si="6"/>
        <v>0</v>
      </c>
      <c r="AJ15" s="205">
        <f t="shared" si="7"/>
        <v>45</v>
      </c>
      <c r="AK15" s="205">
        <f t="shared" si="8"/>
        <v>9</v>
      </c>
      <c r="AL15" s="205">
        <f t="shared" si="9"/>
        <v>39.880000000000003</v>
      </c>
      <c r="AM15" s="205">
        <f t="shared" si="10"/>
        <v>7</v>
      </c>
      <c r="AN15" s="205">
        <f t="shared" si="11"/>
        <v>19</v>
      </c>
      <c r="AO15" s="205">
        <f t="shared" si="12"/>
        <v>1</v>
      </c>
      <c r="AP15" s="210">
        <f>SUM(AI15:AO15)</f>
        <v>120.88</v>
      </c>
    </row>
    <row r="16" spans="1:45" x14ac:dyDescent="0.25">
      <c r="A16" t="s">
        <v>41</v>
      </c>
      <c r="B16" s="15" t="s">
        <v>43</v>
      </c>
      <c r="C16" s="3"/>
      <c r="D16" s="3"/>
      <c r="E16" s="3"/>
      <c r="F16" s="3"/>
      <c r="G16" s="185">
        <v>0</v>
      </c>
      <c r="H16" s="126">
        <v>2</v>
      </c>
      <c r="I16" s="185">
        <v>2</v>
      </c>
      <c r="J16" s="126">
        <v>2</v>
      </c>
      <c r="K16" s="185">
        <v>2</v>
      </c>
      <c r="L16" s="126">
        <v>2</v>
      </c>
      <c r="M16" s="185">
        <v>2</v>
      </c>
      <c r="N16" s="45"/>
      <c r="O16" s="201">
        <v>0</v>
      </c>
      <c r="P16" s="201">
        <v>0</v>
      </c>
      <c r="Q16" s="201">
        <v>0</v>
      </c>
      <c r="R16" s="169">
        <v>0</v>
      </c>
      <c r="S16" s="169">
        <v>0</v>
      </c>
      <c r="T16" s="169">
        <v>0</v>
      </c>
      <c r="U16" s="169">
        <v>0</v>
      </c>
      <c r="V16" s="210">
        <f>SUM(O16:U16)</f>
        <v>0</v>
      </c>
      <c r="X16" t="s">
        <v>41</v>
      </c>
      <c r="Y16" s="3"/>
      <c r="Z16" s="3"/>
      <c r="AA16" s="108">
        <f t="shared" si="5"/>
        <v>0</v>
      </c>
      <c r="AB16" s="108">
        <f t="shared" si="0"/>
        <v>2</v>
      </c>
      <c r="AC16" s="108">
        <f t="shared" si="0"/>
        <v>2</v>
      </c>
      <c r="AD16" s="108">
        <f t="shared" si="0"/>
        <v>2</v>
      </c>
      <c r="AE16" s="108">
        <f t="shared" si="0"/>
        <v>2</v>
      </c>
      <c r="AF16" s="108">
        <f t="shared" si="0"/>
        <v>2</v>
      </c>
      <c r="AG16" s="108">
        <f t="shared" si="0"/>
        <v>2</v>
      </c>
      <c r="AH16" s="45"/>
      <c r="AI16" s="205">
        <f t="shared" si="6"/>
        <v>0</v>
      </c>
      <c r="AJ16" s="205">
        <v>0</v>
      </c>
      <c r="AK16" s="205">
        <f t="shared" si="8"/>
        <v>0</v>
      </c>
      <c r="AL16" s="205">
        <f t="shared" si="9"/>
        <v>0</v>
      </c>
      <c r="AM16" s="205">
        <f t="shared" si="10"/>
        <v>0</v>
      </c>
      <c r="AN16" s="205">
        <f t="shared" si="11"/>
        <v>0</v>
      </c>
      <c r="AO16" s="205">
        <f t="shared" si="12"/>
        <v>0</v>
      </c>
      <c r="AP16" s="210">
        <f>SUM(AI16:AO16)</f>
        <v>0</v>
      </c>
    </row>
    <row r="17" spans="1:45" x14ac:dyDescent="0.25">
      <c r="A17" t="s">
        <v>45</v>
      </c>
      <c r="B17" s="15" t="s">
        <v>43</v>
      </c>
      <c r="C17" s="3"/>
      <c r="D17" s="3"/>
      <c r="E17" s="3"/>
      <c r="F17" s="3"/>
      <c r="G17" s="185">
        <v>0</v>
      </c>
      <c r="H17" s="126">
        <v>2</v>
      </c>
      <c r="I17" s="185">
        <v>2</v>
      </c>
      <c r="J17" s="126">
        <v>2</v>
      </c>
      <c r="K17" s="185">
        <v>2</v>
      </c>
      <c r="L17" s="126">
        <v>2</v>
      </c>
      <c r="M17" s="185">
        <v>2</v>
      </c>
      <c r="N17" s="45"/>
      <c r="O17" s="201">
        <v>0</v>
      </c>
      <c r="P17" s="201">
        <v>0</v>
      </c>
      <c r="Q17" s="201">
        <v>0</v>
      </c>
      <c r="R17" s="169">
        <v>0</v>
      </c>
      <c r="S17" s="169">
        <v>0</v>
      </c>
      <c r="T17" s="169">
        <v>0</v>
      </c>
      <c r="U17" s="169">
        <v>0</v>
      </c>
      <c r="V17" s="210">
        <f>SUM(O17:U17)</f>
        <v>0</v>
      </c>
      <c r="X17" t="s">
        <v>45</v>
      </c>
      <c r="Y17" s="3"/>
      <c r="Z17" s="3"/>
      <c r="AA17" s="108">
        <f t="shared" si="5"/>
        <v>0</v>
      </c>
      <c r="AB17" s="108">
        <f t="shared" si="0"/>
        <v>2</v>
      </c>
      <c r="AC17" s="108">
        <f t="shared" si="0"/>
        <v>2</v>
      </c>
      <c r="AD17" s="108">
        <f t="shared" si="0"/>
        <v>2</v>
      </c>
      <c r="AE17" s="108">
        <f t="shared" si="0"/>
        <v>2</v>
      </c>
      <c r="AF17" s="108">
        <f t="shared" si="0"/>
        <v>2</v>
      </c>
      <c r="AG17" s="108">
        <f t="shared" si="0"/>
        <v>2</v>
      </c>
      <c r="AH17" s="45"/>
      <c r="AI17" s="205">
        <f t="shared" si="6"/>
        <v>0</v>
      </c>
      <c r="AJ17" s="205">
        <v>0</v>
      </c>
      <c r="AK17" s="205">
        <f t="shared" si="8"/>
        <v>0</v>
      </c>
      <c r="AL17" s="205">
        <f t="shared" si="9"/>
        <v>0</v>
      </c>
      <c r="AM17" s="205">
        <f t="shared" si="10"/>
        <v>0</v>
      </c>
      <c r="AN17" s="205">
        <f t="shared" si="11"/>
        <v>0</v>
      </c>
      <c r="AO17" s="205">
        <f t="shared" si="12"/>
        <v>0</v>
      </c>
      <c r="AP17" s="210">
        <f>SUM(AI17:AO17)</f>
        <v>0</v>
      </c>
    </row>
    <row r="18" spans="1:45" x14ac:dyDescent="0.25">
      <c r="A18" t="s">
        <v>288</v>
      </c>
      <c r="B18" s="15" t="s">
        <v>43</v>
      </c>
      <c r="C18" s="3"/>
      <c r="D18" s="3"/>
      <c r="E18" s="3"/>
      <c r="F18" s="3"/>
      <c r="G18" s="185">
        <v>0</v>
      </c>
      <c r="H18" s="126">
        <v>2</v>
      </c>
      <c r="I18" s="185">
        <v>2</v>
      </c>
      <c r="J18" s="126">
        <v>2</v>
      </c>
      <c r="K18" s="185">
        <v>2</v>
      </c>
      <c r="L18" s="126">
        <v>2</v>
      </c>
      <c r="M18" s="185">
        <v>2</v>
      </c>
      <c r="N18" s="45"/>
      <c r="O18" s="201">
        <v>0</v>
      </c>
      <c r="P18" s="201">
        <v>0</v>
      </c>
      <c r="Q18" s="201">
        <v>0</v>
      </c>
      <c r="R18" s="169">
        <v>0</v>
      </c>
      <c r="S18" s="169">
        <v>0</v>
      </c>
      <c r="T18" s="169">
        <v>0</v>
      </c>
      <c r="U18" s="169">
        <v>0</v>
      </c>
      <c r="V18" s="210">
        <f>SUM(O18:U18)</f>
        <v>0</v>
      </c>
      <c r="X18" t="s">
        <v>288</v>
      </c>
      <c r="Y18" s="3"/>
      <c r="Z18" s="3"/>
      <c r="AA18" s="108">
        <f t="shared" si="5"/>
        <v>0</v>
      </c>
      <c r="AB18" s="108">
        <f t="shared" si="0"/>
        <v>2</v>
      </c>
      <c r="AC18" s="108">
        <f t="shared" si="0"/>
        <v>2</v>
      </c>
      <c r="AD18" s="108">
        <f t="shared" si="0"/>
        <v>2</v>
      </c>
      <c r="AE18" s="108">
        <f t="shared" si="0"/>
        <v>2</v>
      </c>
      <c r="AF18" s="108">
        <f t="shared" si="0"/>
        <v>2</v>
      </c>
      <c r="AG18" s="108">
        <f t="shared" si="0"/>
        <v>2</v>
      </c>
      <c r="AH18" s="45"/>
      <c r="AI18" s="205">
        <f t="shared" si="6"/>
        <v>0</v>
      </c>
      <c r="AJ18" s="205">
        <v>0</v>
      </c>
      <c r="AK18" s="205">
        <f t="shared" si="8"/>
        <v>0</v>
      </c>
      <c r="AL18" s="205">
        <f t="shared" si="9"/>
        <v>0</v>
      </c>
      <c r="AM18" s="205">
        <f t="shared" si="10"/>
        <v>0</v>
      </c>
      <c r="AN18" s="205">
        <f t="shared" si="11"/>
        <v>0</v>
      </c>
      <c r="AO18" s="205">
        <f t="shared" si="12"/>
        <v>0</v>
      </c>
      <c r="AP18" s="210">
        <f>SUM(AI18:AO18)</f>
        <v>0</v>
      </c>
    </row>
    <row r="19" spans="1:45" x14ac:dyDescent="0.25">
      <c r="N19" s="170">
        <f>SUM(N21:N35)</f>
        <v>256852.38000000009</v>
      </c>
      <c r="AH19" s="170">
        <f>SUM(AH21:AH35)</f>
        <v>265456.36499999999</v>
      </c>
    </row>
    <row r="20" spans="1:45" x14ac:dyDescent="0.25">
      <c r="A20" s="10" t="s">
        <v>168</v>
      </c>
      <c r="B20" s="10" t="s">
        <v>2</v>
      </c>
      <c r="C20" s="10" t="s">
        <v>82</v>
      </c>
      <c r="D20" s="10" t="str">
        <f>D2</f>
        <v>Nombre</v>
      </c>
      <c r="E20" s="10" t="str">
        <f>E2</f>
        <v>Año</v>
      </c>
      <c r="F20" s="10" t="str">
        <f>F2</f>
        <v>Dia</v>
      </c>
      <c r="G20" s="10" t="s">
        <v>15</v>
      </c>
      <c r="H20" s="10" t="s">
        <v>16</v>
      </c>
      <c r="I20" s="10" t="s">
        <v>17</v>
      </c>
      <c r="J20" s="10" t="s">
        <v>18</v>
      </c>
      <c r="K20" s="10" t="s">
        <v>19</v>
      </c>
      <c r="L20" s="10" t="s">
        <v>20</v>
      </c>
      <c r="M20" s="10" t="s">
        <v>6</v>
      </c>
      <c r="N20" s="10" t="s">
        <v>67</v>
      </c>
      <c r="O20" s="10" t="s">
        <v>277</v>
      </c>
      <c r="P20" s="10" t="s">
        <v>278</v>
      </c>
      <c r="Q20" s="10" t="s">
        <v>279</v>
      </c>
      <c r="R20" s="10" t="s">
        <v>280</v>
      </c>
      <c r="S20" s="10" t="s">
        <v>281</v>
      </c>
      <c r="T20" s="10" t="s">
        <v>282</v>
      </c>
      <c r="U20" s="10" t="s">
        <v>283</v>
      </c>
      <c r="V20" s="10" t="s">
        <v>284</v>
      </c>
      <c r="X20" s="10" t="s">
        <v>168</v>
      </c>
      <c r="Y20" s="10" t="str">
        <f>Y2</f>
        <v>Año</v>
      </c>
      <c r="Z20" s="10" t="str">
        <f>Z2</f>
        <v>Dia</v>
      </c>
      <c r="AA20" s="10" t="s">
        <v>15</v>
      </c>
      <c r="AB20" s="10" t="s">
        <v>16</v>
      </c>
      <c r="AC20" s="10" t="s">
        <v>17</v>
      </c>
      <c r="AD20" s="10" t="s">
        <v>18</v>
      </c>
      <c r="AE20" s="10" t="s">
        <v>19</v>
      </c>
      <c r="AF20" s="10" t="s">
        <v>20</v>
      </c>
      <c r="AG20" s="10" t="s">
        <v>6</v>
      </c>
      <c r="AH20" s="10" t="s">
        <v>67</v>
      </c>
      <c r="AI20" s="10" t="s">
        <v>277</v>
      </c>
      <c r="AJ20" s="10" t="s">
        <v>278</v>
      </c>
      <c r="AK20" s="10" t="s">
        <v>279</v>
      </c>
      <c r="AL20" s="10" t="s">
        <v>280</v>
      </c>
      <c r="AM20" s="10" t="s">
        <v>281</v>
      </c>
      <c r="AN20" s="10" t="s">
        <v>282</v>
      </c>
      <c r="AO20" s="10" t="s">
        <v>283</v>
      </c>
      <c r="AP20" s="10" t="s">
        <v>284</v>
      </c>
    </row>
    <row r="21" spans="1:45" x14ac:dyDescent="0.25">
      <c r="A21" t="s">
        <v>28</v>
      </c>
      <c r="B21" s="15" t="s">
        <v>27</v>
      </c>
      <c r="C21" s="17"/>
      <c r="D21" s="17" t="str">
        <f t="shared" ref="D21:D22" si="14">D3</f>
        <v>C. Fonteboa</v>
      </c>
      <c r="E21" s="17">
        <f t="shared" ref="E21" si="15">Y3</f>
        <v>23</v>
      </c>
      <c r="F21" s="17">
        <f t="shared" ref="F21" ca="1" si="16">Z3</f>
        <v>17</v>
      </c>
      <c r="G21" s="108">
        <f t="shared" ref="G21" si="17">AA3</f>
        <v>15</v>
      </c>
      <c r="H21" s="108">
        <f t="shared" ref="H21" si="18">AB3</f>
        <v>11.6</v>
      </c>
      <c r="I21" s="108">
        <f t="shared" ref="I21" si="19">AC3</f>
        <v>0</v>
      </c>
      <c r="J21" s="108">
        <f t="shared" ref="J21" si="20">AD3</f>
        <v>0</v>
      </c>
      <c r="K21" s="108">
        <f t="shared" ref="K21" si="21">AE3</f>
        <v>0</v>
      </c>
      <c r="L21" s="108">
        <f t="shared" ref="L21" si="22">AF3</f>
        <v>1</v>
      </c>
      <c r="M21" s="108">
        <f t="shared" ref="M21" si="23">AG3</f>
        <v>1</v>
      </c>
      <c r="N21" s="45">
        <f>AH3</f>
        <v>26782.560000000001</v>
      </c>
      <c r="O21" s="201">
        <f>AI3</f>
        <v>51.5</v>
      </c>
      <c r="P21" s="206">
        <f t="shared" ref="P21:U21" si="24">AJ3</f>
        <v>53</v>
      </c>
      <c r="Q21" s="206">
        <f t="shared" si="24"/>
        <v>0</v>
      </c>
      <c r="R21" s="206">
        <f t="shared" si="24"/>
        <v>0</v>
      </c>
      <c r="S21" s="206">
        <f t="shared" si="24"/>
        <v>0</v>
      </c>
      <c r="T21" s="206">
        <f t="shared" si="24"/>
        <v>0</v>
      </c>
      <c r="U21" s="206">
        <f t="shared" si="24"/>
        <v>0</v>
      </c>
      <c r="V21" s="63">
        <f>SUM(O21:U21)</f>
        <v>104.5</v>
      </c>
      <c r="X21" t="s">
        <v>28</v>
      </c>
      <c r="Y21" s="17">
        <f>E21+2</f>
        <v>25</v>
      </c>
      <c r="Z21" s="17">
        <f ca="1">F21+(($AR$25+$AR$26)*7)-112-112</f>
        <v>-4</v>
      </c>
      <c r="AA21" s="108">
        <f>G21</f>
        <v>15</v>
      </c>
      <c r="AB21" s="108">
        <f>H21</f>
        <v>11.6</v>
      </c>
      <c r="AC21" s="108">
        <f t="shared" ref="AC21:AF22" si="25">I21</f>
        <v>0</v>
      </c>
      <c r="AD21" s="108">
        <f t="shared" si="25"/>
        <v>0</v>
      </c>
      <c r="AE21" s="108">
        <f t="shared" si="25"/>
        <v>0</v>
      </c>
      <c r="AF21" s="108">
        <f t="shared" si="25"/>
        <v>1</v>
      </c>
      <c r="AG21" s="108">
        <v>13.5</v>
      </c>
      <c r="AH21" s="45">
        <f>(24270+2300)*1.038</f>
        <v>27579.66</v>
      </c>
      <c r="AI21" s="201">
        <f>O21</f>
        <v>51.5</v>
      </c>
      <c r="AJ21" s="206">
        <f>P21</f>
        <v>53</v>
      </c>
      <c r="AK21" s="201">
        <f t="shared" ref="AK21:AN36" si="26">Q21</f>
        <v>0</v>
      </c>
      <c r="AL21" s="201">
        <f t="shared" si="26"/>
        <v>0</v>
      </c>
      <c r="AM21" s="201">
        <f t="shared" si="26"/>
        <v>0</v>
      </c>
      <c r="AN21" s="201">
        <f t="shared" si="26"/>
        <v>0</v>
      </c>
      <c r="AO21" s="201">
        <f>U21+$AR$26</f>
        <v>15</v>
      </c>
      <c r="AP21" s="63">
        <f>SUM(AI21:AO21)</f>
        <v>119.5</v>
      </c>
    </row>
    <row r="22" spans="1:45" x14ac:dyDescent="0.25">
      <c r="A22" t="s">
        <v>31</v>
      </c>
      <c r="B22" s="15" t="s">
        <v>29</v>
      </c>
      <c r="C22" s="17"/>
      <c r="D22" s="17" t="str">
        <f t="shared" si="14"/>
        <v>M. Fernandez</v>
      </c>
      <c r="E22" s="17">
        <f t="shared" ref="E22:F22" si="27">Y4</f>
        <v>23</v>
      </c>
      <c r="F22" s="17">
        <f t="shared" ca="1" si="27"/>
        <v>14</v>
      </c>
      <c r="G22" s="108">
        <f t="shared" ref="G22:G34" si="28">AA4</f>
        <v>0</v>
      </c>
      <c r="H22" s="108">
        <f t="shared" ref="H22:H34" si="29">AB4</f>
        <v>15.166666666666666</v>
      </c>
      <c r="I22" s="108">
        <f t="shared" ref="I22:I33" si="30">AC4</f>
        <v>5</v>
      </c>
      <c r="J22" s="108">
        <f t="shared" ref="J22:J33" si="31">AD4</f>
        <v>5.2</v>
      </c>
      <c r="K22" s="108">
        <f t="shared" ref="K22:K33" si="32">AE4</f>
        <v>5</v>
      </c>
      <c r="L22" s="108">
        <f t="shared" ref="L22:L33" si="33">AF4</f>
        <v>2</v>
      </c>
      <c r="M22" s="108">
        <f t="shared" ref="M22:M33" si="34">AG4</f>
        <v>1</v>
      </c>
      <c r="N22" s="45">
        <f t="shared" ref="N22:N33" si="35">AH4</f>
        <v>28513.599999999999</v>
      </c>
      <c r="O22" s="206">
        <f t="shared" ref="O22:O33" si="36">AI4</f>
        <v>0</v>
      </c>
      <c r="P22" s="206">
        <f t="shared" ref="P22:P33" si="37">AJ4</f>
        <v>101</v>
      </c>
      <c r="Q22" s="206">
        <f t="shared" ref="Q22:Q33" si="38">AK4</f>
        <v>9</v>
      </c>
      <c r="R22" s="206">
        <f t="shared" ref="R22:R33" si="39">AL4</f>
        <v>6</v>
      </c>
      <c r="S22" s="206">
        <f t="shared" ref="S22:S33" si="40">AM4</f>
        <v>7</v>
      </c>
      <c r="T22" s="206">
        <f t="shared" ref="T22:T33" si="41">AN4</f>
        <v>0</v>
      </c>
      <c r="U22" s="206">
        <f t="shared" ref="U22:U33" si="42">AO4</f>
        <v>0</v>
      </c>
      <c r="V22" s="63">
        <f>SUM(O22:U22)</f>
        <v>123</v>
      </c>
      <c r="X22" t="s">
        <v>31</v>
      </c>
      <c r="Y22" s="17">
        <f>E22+1</f>
        <v>24</v>
      </c>
      <c r="Z22" s="17">
        <f ca="1">F22+(($AR$25+$AR$26)*7)-112</f>
        <v>105</v>
      </c>
      <c r="AA22" s="108">
        <f>G22</f>
        <v>0</v>
      </c>
      <c r="AB22" s="108">
        <f t="shared" ref="AB22:AB33" si="43">H22</f>
        <v>15.166666666666666</v>
      </c>
      <c r="AC22" s="108">
        <f t="shared" si="25"/>
        <v>5</v>
      </c>
      <c r="AD22" s="108">
        <f t="shared" si="25"/>
        <v>5.2</v>
      </c>
      <c r="AE22" s="108">
        <f>8+3/5</f>
        <v>8.6</v>
      </c>
      <c r="AF22" s="108">
        <f t="shared" si="25"/>
        <v>2</v>
      </c>
      <c r="AG22" s="108">
        <v>13.5</v>
      </c>
      <c r="AH22" s="45">
        <f>(28000+135+140+135)*1.038</f>
        <v>29489.58</v>
      </c>
      <c r="AI22" s="201">
        <f t="shared" ref="AI22:AJ36" si="44">O22</f>
        <v>0</v>
      </c>
      <c r="AJ22" s="206">
        <f t="shared" ref="AJ22:AJ33" si="45">P22</f>
        <v>101</v>
      </c>
      <c r="AK22" s="201">
        <f t="shared" si="26"/>
        <v>9</v>
      </c>
      <c r="AL22" s="201">
        <f t="shared" si="26"/>
        <v>6</v>
      </c>
      <c r="AM22" s="201">
        <f>S22+$AR$25</f>
        <v>21</v>
      </c>
      <c r="AN22" s="201">
        <f t="shared" si="26"/>
        <v>0</v>
      </c>
      <c r="AO22" s="206">
        <f t="shared" ref="AO22:AO36" si="46">U22+$AR$26</f>
        <v>15</v>
      </c>
      <c r="AP22" s="63">
        <f>SUM(AI22:AO22)</f>
        <v>152</v>
      </c>
    </row>
    <row r="23" spans="1:45" x14ac:dyDescent="0.25">
      <c r="A23" t="s">
        <v>32</v>
      </c>
      <c r="B23" s="15" t="s">
        <v>29</v>
      </c>
      <c r="C23" s="17"/>
      <c r="D23" s="17" t="str">
        <f t="shared" ref="D23:D25" si="47">D5</f>
        <v>B. Abandero</v>
      </c>
      <c r="E23" s="17">
        <f t="shared" ref="E23:F23" si="48">Y5</f>
        <v>23</v>
      </c>
      <c r="F23" s="17">
        <f t="shared" ca="1" si="48"/>
        <v>45</v>
      </c>
      <c r="G23" s="108">
        <f t="shared" si="28"/>
        <v>0</v>
      </c>
      <c r="H23" s="108">
        <f t="shared" si="29"/>
        <v>13.416666666666666</v>
      </c>
      <c r="I23" s="108">
        <f t="shared" si="30"/>
        <v>3</v>
      </c>
      <c r="J23" s="108">
        <f t="shared" si="31"/>
        <v>7.083333333333333</v>
      </c>
      <c r="K23" s="108">
        <f t="shared" si="32"/>
        <v>10</v>
      </c>
      <c r="L23" s="108">
        <f t="shared" si="33"/>
        <v>3</v>
      </c>
      <c r="M23" s="108">
        <f t="shared" si="34"/>
        <v>2</v>
      </c>
      <c r="N23" s="45">
        <f t="shared" si="35"/>
        <v>13492.08</v>
      </c>
      <c r="O23" s="206">
        <f t="shared" si="36"/>
        <v>0</v>
      </c>
      <c r="P23" s="206">
        <f t="shared" si="37"/>
        <v>74</v>
      </c>
      <c r="Q23" s="206">
        <f t="shared" si="38"/>
        <v>3</v>
      </c>
      <c r="R23" s="206">
        <f t="shared" si="39"/>
        <v>11.5</v>
      </c>
      <c r="S23" s="206">
        <f t="shared" si="40"/>
        <v>29</v>
      </c>
      <c r="T23" s="206">
        <f t="shared" si="41"/>
        <v>2</v>
      </c>
      <c r="U23" s="206">
        <f t="shared" si="42"/>
        <v>0</v>
      </c>
      <c r="V23" s="63">
        <f>SUM(O23:U23)</f>
        <v>119.5</v>
      </c>
      <c r="X23" t="s">
        <v>32</v>
      </c>
      <c r="Y23" s="17">
        <f>E23+2</f>
        <v>25</v>
      </c>
      <c r="Z23" s="17">
        <f ca="1">F23+(($AR$25+$AR$26)*7)-112-112</f>
        <v>24</v>
      </c>
      <c r="AA23" s="108">
        <f t="shared" ref="AA23:AA36" si="49">G23</f>
        <v>0</v>
      </c>
      <c r="AB23" s="108">
        <f t="shared" si="43"/>
        <v>13.416666666666666</v>
      </c>
      <c r="AC23" s="108">
        <f t="shared" ref="AC23:AC36" si="50">I23</f>
        <v>3</v>
      </c>
      <c r="AD23" s="108">
        <f t="shared" ref="AD23:AD36" si="51">J23</f>
        <v>7.083333333333333</v>
      </c>
      <c r="AE23" s="108">
        <v>12</v>
      </c>
      <c r="AF23" s="108">
        <f t="shared" ref="AF23:AF36" si="52">L23</f>
        <v>3</v>
      </c>
      <c r="AG23" s="108">
        <v>13.5</v>
      </c>
      <c r="AH23" s="45">
        <f>(195+13000+515)*1.038</f>
        <v>14230.98</v>
      </c>
      <c r="AI23" s="201">
        <f t="shared" si="44"/>
        <v>0</v>
      </c>
      <c r="AJ23" s="206">
        <f t="shared" si="45"/>
        <v>74</v>
      </c>
      <c r="AK23" s="201">
        <f t="shared" si="26"/>
        <v>3</v>
      </c>
      <c r="AL23" s="201">
        <f t="shared" si="26"/>
        <v>11.5</v>
      </c>
      <c r="AM23" s="206">
        <f t="shared" ref="AM23:AM36" si="53">S23+$AR$25</f>
        <v>43</v>
      </c>
      <c r="AN23" s="201">
        <f t="shared" si="26"/>
        <v>2</v>
      </c>
      <c r="AO23" s="206">
        <f t="shared" si="46"/>
        <v>15</v>
      </c>
      <c r="AP23" s="63">
        <f>SUM(AI23:AO23)</f>
        <v>148.5</v>
      </c>
      <c r="AQ23" s="186"/>
    </row>
    <row r="24" spans="1:45" x14ac:dyDescent="0.25">
      <c r="A24" t="s">
        <v>38</v>
      </c>
      <c r="B24" s="15" t="s">
        <v>29</v>
      </c>
      <c r="C24" s="3"/>
      <c r="D24" s="17" t="str">
        <f t="shared" si="47"/>
        <v>I. R. Figueroa</v>
      </c>
      <c r="E24" s="17">
        <f t="shared" ref="E24:E25" si="54">Y6</f>
        <v>23</v>
      </c>
      <c r="F24" s="17">
        <f t="shared" ref="F24:F25" ca="1" si="55">Z6</f>
        <v>-5</v>
      </c>
      <c r="G24" s="108">
        <f t="shared" si="28"/>
        <v>0</v>
      </c>
      <c r="H24" s="108">
        <f t="shared" si="29"/>
        <v>15.166666666666666</v>
      </c>
      <c r="I24" s="108">
        <f t="shared" si="30"/>
        <v>5</v>
      </c>
      <c r="J24" s="108">
        <f t="shared" si="31"/>
        <v>7</v>
      </c>
      <c r="K24" s="108">
        <f t="shared" si="32"/>
        <v>5</v>
      </c>
      <c r="L24" s="108">
        <f t="shared" si="33"/>
        <v>1</v>
      </c>
      <c r="M24" s="108">
        <f t="shared" si="34"/>
        <v>0</v>
      </c>
      <c r="N24" s="45">
        <f t="shared" si="35"/>
        <v>28513.599999999999</v>
      </c>
      <c r="O24" s="206">
        <f t="shared" si="36"/>
        <v>0</v>
      </c>
      <c r="P24" s="206">
        <f t="shared" si="37"/>
        <v>100</v>
      </c>
      <c r="Q24" s="206">
        <f t="shared" si="38"/>
        <v>9</v>
      </c>
      <c r="R24" s="206">
        <f t="shared" si="39"/>
        <v>10.5</v>
      </c>
      <c r="S24" s="206">
        <f t="shared" si="40"/>
        <v>7</v>
      </c>
      <c r="T24" s="206">
        <f t="shared" si="41"/>
        <v>0</v>
      </c>
      <c r="U24" s="206">
        <f t="shared" si="42"/>
        <v>0</v>
      </c>
      <c r="V24" s="63">
        <f>SUM(O24:U24)</f>
        <v>126.5</v>
      </c>
      <c r="X24" t="s">
        <v>38</v>
      </c>
      <c r="Y24" s="17">
        <f t="shared" ref="Y24" si="56">E24+1</f>
        <v>24</v>
      </c>
      <c r="Z24" s="17">
        <f t="shared" ref="Z24" ca="1" si="57">F24+(($AR$25+$AR$26)*7)-112</f>
        <v>86</v>
      </c>
      <c r="AA24" s="108">
        <f t="shared" si="49"/>
        <v>0</v>
      </c>
      <c r="AB24" s="108">
        <f t="shared" si="43"/>
        <v>15.166666666666666</v>
      </c>
      <c r="AC24" s="108">
        <f t="shared" si="50"/>
        <v>5</v>
      </c>
      <c r="AD24" s="108">
        <f t="shared" si="51"/>
        <v>7</v>
      </c>
      <c r="AE24" s="108">
        <f>8+3/5</f>
        <v>8.6</v>
      </c>
      <c r="AF24" s="108">
        <f t="shared" si="52"/>
        <v>1</v>
      </c>
      <c r="AG24" s="108">
        <v>13.5</v>
      </c>
      <c r="AH24" s="45">
        <f>(28000+135+145+135)*1.038</f>
        <v>29494.77</v>
      </c>
      <c r="AI24" s="201">
        <f t="shared" si="44"/>
        <v>0</v>
      </c>
      <c r="AJ24" s="206">
        <f t="shared" si="45"/>
        <v>100</v>
      </c>
      <c r="AK24" s="201">
        <f t="shared" si="26"/>
        <v>9</v>
      </c>
      <c r="AL24" s="201">
        <f t="shared" si="26"/>
        <v>10.5</v>
      </c>
      <c r="AM24" s="206">
        <f t="shared" si="53"/>
        <v>21</v>
      </c>
      <c r="AN24" s="201">
        <f t="shared" si="26"/>
        <v>0</v>
      </c>
      <c r="AO24" s="206">
        <f t="shared" si="46"/>
        <v>15</v>
      </c>
      <c r="AP24" s="63">
        <f>SUM(AI24:AO24)</f>
        <v>155.5</v>
      </c>
      <c r="AQ24" s="186"/>
      <c r="AR24" s="186" t="s">
        <v>320</v>
      </c>
      <c r="AS24" s="186" t="s">
        <v>321</v>
      </c>
    </row>
    <row r="25" spans="1:45" x14ac:dyDescent="0.25">
      <c r="A25" t="s">
        <v>40</v>
      </c>
      <c r="B25" s="15" t="s">
        <v>29</v>
      </c>
      <c r="C25" s="3"/>
      <c r="D25" s="17" t="str">
        <f t="shared" si="47"/>
        <v>G. Pedrajas</v>
      </c>
      <c r="E25" s="17">
        <f t="shared" si="54"/>
        <v>23</v>
      </c>
      <c r="F25" s="17">
        <f t="shared" ca="1" si="55"/>
        <v>30</v>
      </c>
      <c r="G25" s="108">
        <f t="shared" si="28"/>
        <v>0</v>
      </c>
      <c r="H25" s="108">
        <f t="shared" si="29"/>
        <v>11.7</v>
      </c>
      <c r="I25" s="108">
        <f t="shared" si="30"/>
        <v>11</v>
      </c>
      <c r="J25" s="108">
        <f t="shared" si="31"/>
        <v>4</v>
      </c>
      <c r="K25" s="108">
        <f t="shared" si="32"/>
        <v>9</v>
      </c>
      <c r="L25" s="108">
        <f t="shared" si="33"/>
        <v>4</v>
      </c>
      <c r="M25" s="108">
        <f t="shared" si="34"/>
        <v>1</v>
      </c>
      <c r="N25" s="45">
        <f t="shared" si="35"/>
        <v>9525.6</v>
      </c>
      <c r="O25" s="206">
        <f t="shared" si="36"/>
        <v>0</v>
      </c>
      <c r="P25" s="206">
        <f t="shared" si="37"/>
        <v>53</v>
      </c>
      <c r="Q25" s="206">
        <f t="shared" si="38"/>
        <v>40</v>
      </c>
      <c r="R25" s="206">
        <f t="shared" si="39"/>
        <v>3.5</v>
      </c>
      <c r="S25" s="206">
        <f t="shared" si="40"/>
        <v>23</v>
      </c>
      <c r="T25" s="206">
        <f t="shared" si="41"/>
        <v>5</v>
      </c>
      <c r="U25" s="206">
        <f t="shared" si="42"/>
        <v>0</v>
      </c>
      <c r="V25" s="63">
        <f t="shared" ref="V25:V31" si="58">SUM(O25:U25)</f>
        <v>124.5</v>
      </c>
      <c r="X25" t="s">
        <v>40</v>
      </c>
      <c r="Y25" s="17">
        <f t="shared" ref="Y25:Y34" si="59">E25+2</f>
        <v>25</v>
      </c>
      <c r="Z25" s="17">
        <f t="shared" ref="Z25:Z34" ca="1" si="60">F25+(($AR$25+$AR$26)*7)-112-112</f>
        <v>9</v>
      </c>
      <c r="AA25" s="108">
        <f t="shared" si="49"/>
        <v>0</v>
      </c>
      <c r="AB25" s="108">
        <f t="shared" si="43"/>
        <v>11.7</v>
      </c>
      <c r="AC25" s="108">
        <f t="shared" si="50"/>
        <v>11</v>
      </c>
      <c r="AD25" s="108">
        <f t="shared" si="51"/>
        <v>4</v>
      </c>
      <c r="AE25" s="108">
        <f>11+1/7</f>
        <v>11.142857142857142</v>
      </c>
      <c r="AF25" s="108">
        <f t="shared" si="52"/>
        <v>4</v>
      </c>
      <c r="AG25" s="108">
        <v>13.5</v>
      </c>
      <c r="AH25" s="45">
        <f>(6800+2505+305)*1.038</f>
        <v>9975.18</v>
      </c>
      <c r="AI25" s="201">
        <f t="shared" si="44"/>
        <v>0</v>
      </c>
      <c r="AJ25" s="206">
        <f t="shared" si="45"/>
        <v>53</v>
      </c>
      <c r="AK25" s="201">
        <f t="shared" si="26"/>
        <v>40</v>
      </c>
      <c r="AL25" s="201">
        <f t="shared" si="26"/>
        <v>3.5</v>
      </c>
      <c r="AM25" s="206">
        <f t="shared" si="53"/>
        <v>37</v>
      </c>
      <c r="AN25" s="201">
        <f t="shared" si="26"/>
        <v>5</v>
      </c>
      <c r="AO25" s="206">
        <f t="shared" si="46"/>
        <v>15</v>
      </c>
      <c r="AP25" s="63">
        <f t="shared" ref="AP25:AP31" si="61">SUM(AI25:AO25)</f>
        <v>153.5</v>
      </c>
      <c r="AQ25" s="186" t="s">
        <v>274</v>
      </c>
      <c r="AR25" s="107">
        <v>14</v>
      </c>
      <c r="AS25" s="208">
        <f>AR25/16</f>
        <v>0.875</v>
      </c>
    </row>
    <row r="26" spans="1:45" x14ac:dyDescent="0.25">
      <c r="A26" t="s">
        <v>37</v>
      </c>
      <c r="B26" s="15" t="s">
        <v>29</v>
      </c>
      <c r="C26" s="3" t="s">
        <v>269</v>
      </c>
      <c r="D26" s="3" t="s">
        <v>289</v>
      </c>
      <c r="E26" s="17">
        <v>23</v>
      </c>
      <c r="F26" s="17">
        <v>50</v>
      </c>
      <c r="G26" s="108">
        <f t="shared" si="28"/>
        <v>0</v>
      </c>
      <c r="H26" s="108">
        <v>14</v>
      </c>
      <c r="I26" s="108">
        <v>8</v>
      </c>
      <c r="J26" s="108">
        <f t="shared" si="31"/>
        <v>2</v>
      </c>
      <c r="K26" s="108">
        <v>8</v>
      </c>
      <c r="L26" s="108">
        <f t="shared" si="33"/>
        <v>2</v>
      </c>
      <c r="M26" s="108">
        <f t="shared" si="34"/>
        <v>2</v>
      </c>
      <c r="N26" s="45">
        <f>(18370+445+135)*1.008</f>
        <v>19101.599999999999</v>
      </c>
      <c r="O26" s="206">
        <f t="shared" si="36"/>
        <v>0</v>
      </c>
      <c r="P26" s="206">
        <v>79</v>
      </c>
      <c r="Q26" s="206">
        <v>21</v>
      </c>
      <c r="R26" s="206">
        <f t="shared" si="39"/>
        <v>0</v>
      </c>
      <c r="S26" s="206">
        <v>18</v>
      </c>
      <c r="T26" s="206">
        <f t="shared" si="41"/>
        <v>0</v>
      </c>
      <c r="U26" s="206">
        <f t="shared" si="42"/>
        <v>0</v>
      </c>
      <c r="V26" s="63">
        <f t="shared" si="58"/>
        <v>118</v>
      </c>
      <c r="X26" t="s">
        <v>37</v>
      </c>
      <c r="Y26" s="17">
        <f t="shared" si="59"/>
        <v>25</v>
      </c>
      <c r="Z26" s="17">
        <f t="shared" si="60"/>
        <v>29</v>
      </c>
      <c r="AA26" s="108">
        <f t="shared" si="49"/>
        <v>0</v>
      </c>
      <c r="AB26" s="108">
        <f t="shared" si="43"/>
        <v>14</v>
      </c>
      <c r="AC26" s="108">
        <f t="shared" si="50"/>
        <v>8</v>
      </c>
      <c r="AD26" s="108">
        <f t="shared" si="51"/>
        <v>2</v>
      </c>
      <c r="AE26" s="108">
        <f>10+3/7</f>
        <v>10.428571428571429</v>
      </c>
      <c r="AF26" s="108">
        <f t="shared" si="52"/>
        <v>2</v>
      </c>
      <c r="AG26" s="108">
        <v>13.5</v>
      </c>
      <c r="AH26" s="45">
        <f>(18370+445+200)*1.038</f>
        <v>19737.57</v>
      </c>
      <c r="AI26" s="201">
        <f t="shared" si="44"/>
        <v>0</v>
      </c>
      <c r="AJ26" s="206">
        <f t="shared" si="45"/>
        <v>79</v>
      </c>
      <c r="AK26" s="201">
        <f t="shared" si="26"/>
        <v>21</v>
      </c>
      <c r="AL26" s="201">
        <f t="shared" si="26"/>
        <v>0</v>
      </c>
      <c r="AM26" s="206">
        <f t="shared" si="53"/>
        <v>32</v>
      </c>
      <c r="AN26" s="201">
        <f t="shared" si="26"/>
        <v>0</v>
      </c>
      <c r="AO26" s="206">
        <f t="shared" si="46"/>
        <v>15</v>
      </c>
      <c r="AP26" s="63">
        <f t="shared" si="61"/>
        <v>147</v>
      </c>
      <c r="AQ26" s="186" t="s">
        <v>46</v>
      </c>
      <c r="AR26" s="107">
        <v>15</v>
      </c>
      <c r="AS26" s="208">
        <f>AR26/16</f>
        <v>0.9375</v>
      </c>
    </row>
    <row r="27" spans="1:45" x14ac:dyDescent="0.25">
      <c r="A27" t="s">
        <v>34</v>
      </c>
      <c r="B27" s="15" t="s">
        <v>29</v>
      </c>
      <c r="C27" s="3" t="s">
        <v>269</v>
      </c>
      <c r="D27" s="3" t="s">
        <v>419</v>
      </c>
      <c r="E27" s="17">
        <f t="shared" ref="E27:F28" si="62">Y9</f>
        <v>23</v>
      </c>
      <c r="F27" s="17">
        <f t="shared" ca="1" si="62"/>
        <v>10</v>
      </c>
      <c r="G27" s="108">
        <f t="shared" si="28"/>
        <v>0</v>
      </c>
      <c r="H27" s="108">
        <f t="shared" si="29"/>
        <v>12.909090909090908</v>
      </c>
      <c r="I27" s="108">
        <f t="shared" si="30"/>
        <v>4</v>
      </c>
      <c r="J27" s="108">
        <f t="shared" si="31"/>
        <v>12.5</v>
      </c>
      <c r="K27" s="108">
        <f t="shared" si="32"/>
        <v>4.25</v>
      </c>
      <c r="L27" s="108">
        <f t="shared" si="33"/>
        <v>7</v>
      </c>
      <c r="M27" s="108">
        <f t="shared" si="34"/>
        <v>3</v>
      </c>
      <c r="N27" s="45">
        <f t="shared" si="35"/>
        <v>16606.920000000002</v>
      </c>
      <c r="O27" s="206">
        <f t="shared" si="36"/>
        <v>0</v>
      </c>
      <c r="P27" s="206">
        <f t="shared" si="37"/>
        <v>66</v>
      </c>
      <c r="Q27" s="206">
        <f t="shared" si="38"/>
        <v>6</v>
      </c>
      <c r="R27" s="206">
        <f t="shared" si="39"/>
        <v>40.5</v>
      </c>
      <c r="S27" s="206">
        <f t="shared" si="40"/>
        <v>5</v>
      </c>
      <c r="T27" s="206">
        <f t="shared" si="41"/>
        <v>16</v>
      </c>
      <c r="U27" s="206">
        <f t="shared" si="42"/>
        <v>1</v>
      </c>
      <c r="V27" s="63">
        <f t="shared" si="58"/>
        <v>134.5</v>
      </c>
      <c r="X27" t="s">
        <v>34</v>
      </c>
      <c r="Y27" s="17">
        <f>E27+1</f>
        <v>24</v>
      </c>
      <c r="Z27" s="17">
        <f ca="1">F27+(($AR$25+$AR$26)*7)-112</f>
        <v>101</v>
      </c>
      <c r="AA27" s="108">
        <f t="shared" si="49"/>
        <v>0</v>
      </c>
      <c r="AB27" s="108">
        <f t="shared" si="43"/>
        <v>12.909090909090908</v>
      </c>
      <c r="AC27" s="108">
        <f t="shared" si="50"/>
        <v>4</v>
      </c>
      <c r="AD27" s="108">
        <f t="shared" si="51"/>
        <v>12.5</v>
      </c>
      <c r="AE27" s="108">
        <f>8+1/5</f>
        <v>8.1999999999999993</v>
      </c>
      <c r="AF27" s="108">
        <f t="shared" si="52"/>
        <v>7</v>
      </c>
      <c r="AG27" s="108">
        <v>14</v>
      </c>
      <c r="AH27" s="45">
        <f>(12930+2985+125+145+245)*1.04</f>
        <v>17087.2</v>
      </c>
      <c r="AI27" s="201">
        <f t="shared" si="44"/>
        <v>0</v>
      </c>
      <c r="AJ27" s="206">
        <f t="shared" si="45"/>
        <v>66</v>
      </c>
      <c r="AK27" s="201">
        <f t="shared" si="26"/>
        <v>6</v>
      </c>
      <c r="AL27" s="201">
        <f t="shared" si="26"/>
        <v>40.5</v>
      </c>
      <c r="AM27" s="206">
        <f t="shared" si="53"/>
        <v>19</v>
      </c>
      <c r="AN27" s="201">
        <f t="shared" si="26"/>
        <v>16</v>
      </c>
      <c r="AO27" s="206">
        <f t="shared" si="46"/>
        <v>16</v>
      </c>
      <c r="AP27" s="63">
        <f t="shared" si="61"/>
        <v>163.5</v>
      </c>
      <c r="AQ27" s="186"/>
    </row>
    <row r="28" spans="1:45" x14ac:dyDescent="0.25">
      <c r="A28" t="s">
        <v>30</v>
      </c>
      <c r="B28" s="15" t="s">
        <v>29</v>
      </c>
      <c r="C28" s="3" t="s">
        <v>269</v>
      </c>
      <c r="D28" s="3" t="s">
        <v>286</v>
      </c>
      <c r="E28" s="17">
        <f t="shared" si="62"/>
        <v>23</v>
      </c>
      <c r="F28" s="17">
        <f t="shared" ca="1" si="62"/>
        <v>10</v>
      </c>
      <c r="G28" s="108">
        <f t="shared" si="28"/>
        <v>0</v>
      </c>
      <c r="H28" s="108">
        <f t="shared" si="29"/>
        <v>12</v>
      </c>
      <c r="I28" s="108">
        <f t="shared" si="30"/>
        <v>3</v>
      </c>
      <c r="J28" s="108">
        <f t="shared" si="31"/>
        <v>11.9</v>
      </c>
      <c r="K28" s="108">
        <f t="shared" si="32"/>
        <v>6.0000000000000009</v>
      </c>
      <c r="L28" s="108">
        <f t="shared" si="33"/>
        <v>7.25</v>
      </c>
      <c r="M28" s="108">
        <f t="shared" si="34"/>
        <v>3</v>
      </c>
      <c r="N28" s="45">
        <f t="shared" si="35"/>
        <v>16606.920000000002</v>
      </c>
      <c r="O28" s="206">
        <f t="shared" si="36"/>
        <v>0</v>
      </c>
      <c r="P28" s="206">
        <f t="shared" si="37"/>
        <v>52</v>
      </c>
      <c r="Q28" s="206">
        <f t="shared" si="38"/>
        <v>3</v>
      </c>
      <c r="R28" s="206">
        <f t="shared" si="39"/>
        <v>32.5</v>
      </c>
      <c r="S28" s="206">
        <f t="shared" si="40"/>
        <v>10</v>
      </c>
      <c r="T28" s="206">
        <f t="shared" si="41"/>
        <v>17</v>
      </c>
      <c r="U28" s="206">
        <f t="shared" si="42"/>
        <v>1</v>
      </c>
      <c r="V28" s="63">
        <f t="shared" si="58"/>
        <v>115.5</v>
      </c>
      <c r="X28" t="s">
        <v>30</v>
      </c>
      <c r="Y28" s="17">
        <f>E28+1</f>
        <v>24</v>
      </c>
      <c r="Z28" s="17">
        <f ca="1">F28+(($AR$25+$AR$26)*7)-112</f>
        <v>101</v>
      </c>
      <c r="AA28" s="108">
        <f t="shared" si="49"/>
        <v>0</v>
      </c>
      <c r="AB28" s="108">
        <f t="shared" si="43"/>
        <v>12</v>
      </c>
      <c r="AC28" s="108">
        <f t="shared" si="50"/>
        <v>3</v>
      </c>
      <c r="AD28" s="108">
        <f t="shared" si="51"/>
        <v>11.9</v>
      </c>
      <c r="AE28" s="108">
        <f>9+1/7</f>
        <v>9.1428571428571423</v>
      </c>
      <c r="AF28" s="108">
        <f t="shared" si="52"/>
        <v>7.25</v>
      </c>
      <c r="AG28" s="108">
        <v>14</v>
      </c>
      <c r="AH28" s="45">
        <f>(12930+2985+180+125+245)*1.04</f>
        <v>17123.600000000002</v>
      </c>
      <c r="AI28" s="201">
        <f t="shared" si="44"/>
        <v>0</v>
      </c>
      <c r="AJ28" s="206">
        <f t="shared" si="45"/>
        <v>52</v>
      </c>
      <c r="AK28" s="201">
        <f t="shared" si="26"/>
        <v>3</v>
      </c>
      <c r="AL28" s="201">
        <f t="shared" si="26"/>
        <v>32.5</v>
      </c>
      <c r="AM28" s="206">
        <f t="shared" si="53"/>
        <v>24</v>
      </c>
      <c r="AN28" s="201">
        <f t="shared" si="26"/>
        <v>17</v>
      </c>
      <c r="AO28" s="206">
        <f t="shared" si="46"/>
        <v>16</v>
      </c>
      <c r="AP28" s="63">
        <f t="shared" si="61"/>
        <v>144.5</v>
      </c>
      <c r="AQ28" s="186"/>
    </row>
    <row r="29" spans="1:45" x14ac:dyDescent="0.25">
      <c r="A29" t="s">
        <v>42</v>
      </c>
      <c r="B29" s="15" t="s">
        <v>322</v>
      </c>
      <c r="C29" s="3" t="s">
        <v>420</v>
      </c>
      <c r="D29" s="3" t="s">
        <v>440</v>
      </c>
      <c r="E29" s="17">
        <v>23</v>
      </c>
      <c r="F29" s="17">
        <v>50</v>
      </c>
      <c r="G29" s="108">
        <f t="shared" si="28"/>
        <v>0</v>
      </c>
      <c r="H29" s="108">
        <v>6</v>
      </c>
      <c r="I29" s="108">
        <v>13</v>
      </c>
      <c r="J29" s="108">
        <v>6</v>
      </c>
      <c r="K29" s="108">
        <v>6</v>
      </c>
      <c r="L29" s="108">
        <v>6</v>
      </c>
      <c r="M29" s="108">
        <v>12</v>
      </c>
      <c r="N29" s="45">
        <f>(14490+225+185+125+165)*1.03</f>
        <v>15645.7</v>
      </c>
      <c r="O29" s="206">
        <f t="shared" si="36"/>
        <v>0</v>
      </c>
      <c r="P29" s="206">
        <v>14</v>
      </c>
      <c r="Q29" s="206">
        <v>58</v>
      </c>
      <c r="R29" s="206">
        <v>8.5</v>
      </c>
      <c r="S29" s="206">
        <v>10</v>
      </c>
      <c r="T29" s="206">
        <v>12</v>
      </c>
      <c r="U29" s="206">
        <v>12</v>
      </c>
      <c r="V29" s="63">
        <f t="shared" si="58"/>
        <v>114.5</v>
      </c>
      <c r="X29" t="s">
        <v>42</v>
      </c>
      <c r="Y29" s="17">
        <f t="shared" si="59"/>
        <v>25</v>
      </c>
      <c r="Z29" s="17">
        <f t="shared" si="60"/>
        <v>29</v>
      </c>
      <c r="AA29" s="108">
        <f t="shared" si="49"/>
        <v>0</v>
      </c>
      <c r="AB29" s="108">
        <f t="shared" si="43"/>
        <v>6</v>
      </c>
      <c r="AC29" s="108">
        <f t="shared" si="50"/>
        <v>13</v>
      </c>
      <c r="AD29" s="108">
        <f t="shared" si="51"/>
        <v>6</v>
      </c>
      <c r="AE29" s="108">
        <f>9+5/6</f>
        <v>9.8333333333333339</v>
      </c>
      <c r="AF29" s="108">
        <f t="shared" si="52"/>
        <v>6</v>
      </c>
      <c r="AG29" s="108">
        <v>19</v>
      </c>
      <c r="AH29" s="45">
        <f>(14490+225+200+125+165)*1.049</f>
        <v>15950.044999999998</v>
      </c>
      <c r="AI29" s="201">
        <f t="shared" si="44"/>
        <v>0</v>
      </c>
      <c r="AJ29" s="206">
        <f t="shared" si="45"/>
        <v>14</v>
      </c>
      <c r="AK29" s="201">
        <f t="shared" si="26"/>
        <v>58</v>
      </c>
      <c r="AL29" s="201">
        <f t="shared" si="26"/>
        <v>8.5</v>
      </c>
      <c r="AM29" s="206">
        <f t="shared" si="53"/>
        <v>24</v>
      </c>
      <c r="AN29" s="201">
        <f t="shared" si="26"/>
        <v>12</v>
      </c>
      <c r="AO29" s="206">
        <v>31</v>
      </c>
      <c r="AP29" s="63">
        <f t="shared" si="61"/>
        <v>147.5</v>
      </c>
    </row>
    <row r="30" spans="1:45" x14ac:dyDescent="0.25">
      <c r="A30" t="s">
        <v>36</v>
      </c>
      <c r="B30" s="15" t="s">
        <v>322</v>
      </c>
      <c r="C30" s="3" t="s">
        <v>420</v>
      </c>
      <c r="D30" s="3" t="s">
        <v>440</v>
      </c>
      <c r="E30" s="17">
        <v>23</v>
      </c>
      <c r="F30" s="17">
        <v>50</v>
      </c>
      <c r="G30" s="108">
        <f t="shared" ref="G30" si="63">AA12</f>
        <v>0</v>
      </c>
      <c r="H30" s="108">
        <v>6</v>
      </c>
      <c r="I30" s="108">
        <v>13</v>
      </c>
      <c r="J30" s="108">
        <v>6</v>
      </c>
      <c r="K30" s="108">
        <v>6</v>
      </c>
      <c r="L30" s="108">
        <v>6</v>
      </c>
      <c r="M30" s="108">
        <v>12</v>
      </c>
      <c r="N30" s="45">
        <f>(14490+225+185+125+165)*1.03</f>
        <v>15645.7</v>
      </c>
      <c r="O30" s="206">
        <f t="shared" si="36"/>
        <v>0</v>
      </c>
      <c r="P30" s="215">
        <v>14</v>
      </c>
      <c r="Q30" s="215">
        <v>58</v>
      </c>
      <c r="R30" s="215">
        <v>8.5</v>
      </c>
      <c r="S30" s="215">
        <v>10</v>
      </c>
      <c r="T30" s="215">
        <v>12</v>
      </c>
      <c r="U30" s="215">
        <v>12</v>
      </c>
      <c r="V30" s="63">
        <f t="shared" si="58"/>
        <v>114.5</v>
      </c>
      <c r="X30" t="s">
        <v>36</v>
      </c>
      <c r="Y30" s="17">
        <f t="shared" si="59"/>
        <v>25</v>
      </c>
      <c r="Z30" s="17">
        <f t="shared" si="60"/>
        <v>29</v>
      </c>
      <c r="AA30" s="108">
        <f t="shared" si="49"/>
        <v>0</v>
      </c>
      <c r="AB30" s="108">
        <f t="shared" si="43"/>
        <v>6</v>
      </c>
      <c r="AC30" s="108">
        <f t="shared" si="50"/>
        <v>13</v>
      </c>
      <c r="AD30" s="108">
        <f t="shared" si="51"/>
        <v>6</v>
      </c>
      <c r="AE30" s="108">
        <f>9+5/6</f>
        <v>9.8333333333333339</v>
      </c>
      <c r="AF30" s="108">
        <f t="shared" si="52"/>
        <v>6</v>
      </c>
      <c r="AG30" s="108">
        <v>19</v>
      </c>
      <c r="AH30" s="45">
        <f>(14490+225+200+125+165)*1.049</f>
        <v>15950.044999999998</v>
      </c>
      <c r="AI30" s="201">
        <f t="shared" si="44"/>
        <v>0</v>
      </c>
      <c r="AJ30" s="206">
        <f t="shared" si="45"/>
        <v>14</v>
      </c>
      <c r="AK30" s="201">
        <f t="shared" si="26"/>
        <v>58</v>
      </c>
      <c r="AL30" s="201">
        <f t="shared" si="26"/>
        <v>8.5</v>
      </c>
      <c r="AM30" s="206">
        <f t="shared" si="53"/>
        <v>24</v>
      </c>
      <c r="AN30" s="201">
        <f t="shared" si="26"/>
        <v>12</v>
      </c>
      <c r="AO30" s="206">
        <v>31</v>
      </c>
      <c r="AP30" s="63">
        <f t="shared" si="61"/>
        <v>147.5</v>
      </c>
    </row>
    <row r="31" spans="1:45" x14ac:dyDescent="0.25">
      <c r="A31" t="s">
        <v>35</v>
      </c>
      <c r="B31" s="15" t="s">
        <v>69</v>
      </c>
      <c r="C31" s="3" t="s">
        <v>44</v>
      </c>
      <c r="D31" s="3" t="s">
        <v>285</v>
      </c>
      <c r="E31" s="17">
        <f t="shared" ref="E31:F32" si="64">Y13</f>
        <v>23</v>
      </c>
      <c r="F31" s="17">
        <f t="shared" ca="1" si="64"/>
        <v>6</v>
      </c>
      <c r="G31" s="108">
        <f t="shared" si="28"/>
        <v>0</v>
      </c>
      <c r="H31" s="108">
        <f t="shared" si="29"/>
        <v>10.666666666666666</v>
      </c>
      <c r="I31" s="108">
        <f t="shared" si="30"/>
        <v>5.7</v>
      </c>
      <c r="J31" s="108">
        <f t="shared" si="31"/>
        <v>14</v>
      </c>
      <c r="K31" s="108">
        <f t="shared" si="32"/>
        <v>6</v>
      </c>
      <c r="L31" s="108">
        <f t="shared" si="33"/>
        <v>7.5</v>
      </c>
      <c r="M31" s="108">
        <f t="shared" si="34"/>
        <v>5</v>
      </c>
      <c r="N31" s="45">
        <f t="shared" si="35"/>
        <v>13619.48</v>
      </c>
      <c r="O31" s="206">
        <f t="shared" si="36"/>
        <v>0</v>
      </c>
      <c r="P31" s="206">
        <f t="shared" si="37"/>
        <v>37</v>
      </c>
      <c r="Q31" s="206">
        <f t="shared" si="38"/>
        <v>10.5</v>
      </c>
      <c r="R31" s="206">
        <f t="shared" si="39"/>
        <v>47.5</v>
      </c>
      <c r="S31" s="206">
        <f t="shared" si="40"/>
        <v>10</v>
      </c>
      <c r="T31" s="206">
        <f t="shared" si="41"/>
        <v>18</v>
      </c>
      <c r="U31" s="206">
        <f t="shared" si="42"/>
        <v>3</v>
      </c>
      <c r="V31" s="63">
        <f t="shared" si="58"/>
        <v>126</v>
      </c>
      <c r="X31" t="s">
        <v>35</v>
      </c>
      <c r="Y31" s="17">
        <f>E31+1</f>
        <v>24</v>
      </c>
      <c r="Z31" s="17">
        <f ca="1">F31+(($AR$25+$AR$26)*7)-112</f>
        <v>97</v>
      </c>
      <c r="AA31" s="108">
        <f t="shared" si="49"/>
        <v>0</v>
      </c>
      <c r="AB31" s="108">
        <f t="shared" si="43"/>
        <v>10.666666666666666</v>
      </c>
      <c r="AC31" s="108">
        <f t="shared" si="50"/>
        <v>5.7</v>
      </c>
      <c r="AD31" s="108">
        <f t="shared" si="51"/>
        <v>14</v>
      </c>
      <c r="AE31" s="108">
        <f>9+1/7</f>
        <v>9.1428571428571423</v>
      </c>
      <c r="AF31" s="108">
        <f t="shared" si="52"/>
        <v>7.5</v>
      </c>
      <c r="AG31" s="108">
        <v>15</v>
      </c>
      <c r="AH31" s="45">
        <f>(11610+300+185+150+1200)*1.045</f>
        <v>14050.025</v>
      </c>
      <c r="AI31" s="201">
        <f t="shared" si="44"/>
        <v>0</v>
      </c>
      <c r="AJ31" s="206">
        <f t="shared" si="45"/>
        <v>37</v>
      </c>
      <c r="AK31" s="201">
        <f t="shared" si="26"/>
        <v>10.5</v>
      </c>
      <c r="AL31" s="201">
        <f t="shared" si="26"/>
        <v>47.5</v>
      </c>
      <c r="AM31" s="206">
        <f t="shared" si="53"/>
        <v>24</v>
      </c>
      <c r="AN31" s="201">
        <f t="shared" si="26"/>
        <v>18</v>
      </c>
      <c r="AO31" s="206">
        <f t="shared" si="46"/>
        <v>18</v>
      </c>
      <c r="AP31" s="63">
        <f t="shared" si="61"/>
        <v>155</v>
      </c>
    </row>
    <row r="32" spans="1:45" x14ac:dyDescent="0.25">
      <c r="A32" t="s">
        <v>39</v>
      </c>
      <c r="B32" s="15" t="s">
        <v>69</v>
      </c>
      <c r="C32" s="3" t="s">
        <v>44</v>
      </c>
      <c r="D32" s="3" t="s">
        <v>418</v>
      </c>
      <c r="E32" s="17">
        <f t="shared" si="64"/>
        <v>22</v>
      </c>
      <c r="F32" s="17">
        <f t="shared" ca="1" si="64"/>
        <v>93</v>
      </c>
      <c r="G32" s="108">
        <f t="shared" si="28"/>
        <v>0</v>
      </c>
      <c r="H32" s="108">
        <f t="shared" si="29"/>
        <v>12.181818181818182</v>
      </c>
      <c r="I32" s="108">
        <f t="shared" si="30"/>
        <v>3</v>
      </c>
      <c r="J32" s="108">
        <f t="shared" si="31"/>
        <v>12.833333333333334</v>
      </c>
      <c r="K32" s="108">
        <f t="shared" si="32"/>
        <v>7</v>
      </c>
      <c r="L32" s="108">
        <f t="shared" si="33"/>
        <v>7</v>
      </c>
      <c r="M32" s="108">
        <f t="shared" si="34"/>
        <v>3</v>
      </c>
      <c r="N32" s="45">
        <f t="shared" si="35"/>
        <v>11172.48</v>
      </c>
      <c r="O32" s="206">
        <f t="shared" si="36"/>
        <v>0</v>
      </c>
      <c r="P32" s="206">
        <f t="shared" si="37"/>
        <v>55</v>
      </c>
      <c r="Q32" s="206">
        <f t="shared" si="38"/>
        <v>3</v>
      </c>
      <c r="R32" s="206">
        <f t="shared" si="39"/>
        <v>39.5</v>
      </c>
      <c r="S32" s="206">
        <f t="shared" si="40"/>
        <v>14</v>
      </c>
      <c r="T32" s="206">
        <f t="shared" si="41"/>
        <v>16</v>
      </c>
      <c r="U32" s="206">
        <f t="shared" si="42"/>
        <v>1</v>
      </c>
      <c r="V32" s="63">
        <f>SUM(O32:U32)</f>
        <v>128.5</v>
      </c>
      <c r="X32" t="s">
        <v>39</v>
      </c>
      <c r="Y32" s="17">
        <f t="shared" si="59"/>
        <v>24</v>
      </c>
      <c r="Z32" s="17">
        <f t="shared" ca="1" si="60"/>
        <v>72</v>
      </c>
      <c r="AA32" s="108">
        <f t="shared" si="49"/>
        <v>0</v>
      </c>
      <c r="AB32" s="108">
        <f t="shared" si="43"/>
        <v>12.181818181818182</v>
      </c>
      <c r="AC32" s="108">
        <f t="shared" si="50"/>
        <v>3</v>
      </c>
      <c r="AD32" s="108">
        <f t="shared" si="51"/>
        <v>12.833333333333334</v>
      </c>
      <c r="AE32" s="108">
        <f>9+5/6</f>
        <v>9.8333333333333339</v>
      </c>
      <c r="AF32" s="108">
        <f t="shared" si="52"/>
        <v>7</v>
      </c>
      <c r="AG32" s="108">
        <v>14</v>
      </c>
      <c r="AH32" s="45">
        <f>(7000+165+165+245+3505)*1.04</f>
        <v>11523.2</v>
      </c>
      <c r="AI32" s="201">
        <f t="shared" si="44"/>
        <v>0</v>
      </c>
      <c r="AJ32" s="206">
        <f t="shared" si="45"/>
        <v>55</v>
      </c>
      <c r="AK32" s="201">
        <f t="shared" si="26"/>
        <v>3</v>
      </c>
      <c r="AL32" s="201">
        <f t="shared" si="26"/>
        <v>39.5</v>
      </c>
      <c r="AM32" s="206">
        <f t="shared" si="53"/>
        <v>28</v>
      </c>
      <c r="AN32" s="201">
        <f t="shared" si="26"/>
        <v>16</v>
      </c>
      <c r="AO32" s="206">
        <f t="shared" si="46"/>
        <v>16</v>
      </c>
      <c r="AP32" s="63">
        <f>SUM(AI32:AO32)</f>
        <v>157.5</v>
      </c>
    </row>
    <row r="33" spans="1:42" x14ac:dyDescent="0.25">
      <c r="A33" t="s">
        <v>33</v>
      </c>
      <c r="B33" s="15" t="s">
        <v>69</v>
      </c>
      <c r="C33" s="3" t="s">
        <v>269</v>
      </c>
      <c r="D33" s="3" t="s">
        <v>287</v>
      </c>
      <c r="E33" s="17">
        <f t="shared" ref="E33:F33" si="65">Y15</f>
        <v>23</v>
      </c>
      <c r="F33" s="17">
        <f t="shared" ca="1" si="65"/>
        <v>6</v>
      </c>
      <c r="G33" s="108">
        <f t="shared" si="28"/>
        <v>0</v>
      </c>
      <c r="H33" s="108">
        <f t="shared" si="29"/>
        <v>11.1</v>
      </c>
      <c r="I33" s="108">
        <f t="shared" si="30"/>
        <v>5</v>
      </c>
      <c r="J33" s="108">
        <f t="shared" si="31"/>
        <v>13.333333333333334</v>
      </c>
      <c r="K33" s="108">
        <f t="shared" si="32"/>
        <v>5</v>
      </c>
      <c r="L33" s="108">
        <f t="shared" si="33"/>
        <v>7.8016666666666676</v>
      </c>
      <c r="M33" s="108">
        <f t="shared" si="34"/>
        <v>3</v>
      </c>
      <c r="N33" s="45">
        <f t="shared" si="35"/>
        <v>13682.24</v>
      </c>
      <c r="O33" s="206">
        <f t="shared" si="36"/>
        <v>0</v>
      </c>
      <c r="P33" s="206">
        <f t="shared" si="37"/>
        <v>45</v>
      </c>
      <c r="Q33" s="206">
        <f t="shared" si="38"/>
        <v>9</v>
      </c>
      <c r="R33" s="206">
        <f t="shared" si="39"/>
        <v>39.880000000000003</v>
      </c>
      <c r="S33" s="206">
        <f t="shared" si="40"/>
        <v>7</v>
      </c>
      <c r="T33" s="206">
        <f t="shared" si="41"/>
        <v>19</v>
      </c>
      <c r="U33" s="206">
        <f t="shared" si="42"/>
        <v>1</v>
      </c>
      <c r="V33" s="63">
        <f>SUM(O33:U33)</f>
        <v>120.88</v>
      </c>
      <c r="X33" t="s">
        <v>33</v>
      </c>
      <c r="Y33" s="17">
        <f>E33+1</f>
        <v>24</v>
      </c>
      <c r="Z33" s="17">
        <f ca="1">F33+(($AR$25+$AR$26)*7)-112</f>
        <v>97</v>
      </c>
      <c r="AA33" s="108">
        <f t="shared" si="49"/>
        <v>0</v>
      </c>
      <c r="AB33" s="108">
        <f t="shared" si="43"/>
        <v>11.1</v>
      </c>
      <c r="AC33" s="108">
        <f t="shared" si="50"/>
        <v>5</v>
      </c>
      <c r="AD33" s="108">
        <f t="shared" si="51"/>
        <v>13.333333333333334</v>
      </c>
      <c r="AE33" s="108">
        <f>8+3/5</f>
        <v>8.6</v>
      </c>
      <c r="AF33" s="108">
        <f t="shared" si="52"/>
        <v>7.8016666666666676</v>
      </c>
      <c r="AG33" s="108">
        <v>14</v>
      </c>
      <c r="AH33" s="45">
        <f>(9000+135+185+350+3900)*1.04</f>
        <v>14112.800000000001</v>
      </c>
      <c r="AI33" s="201">
        <f t="shared" si="44"/>
        <v>0</v>
      </c>
      <c r="AJ33" s="206">
        <f t="shared" si="45"/>
        <v>45</v>
      </c>
      <c r="AK33" s="201">
        <f t="shared" si="26"/>
        <v>9</v>
      </c>
      <c r="AL33" s="201">
        <f t="shared" si="26"/>
        <v>39.880000000000003</v>
      </c>
      <c r="AM33" s="206">
        <f t="shared" si="53"/>
        <v>21</v>
      </c>
      <c r="AN33" s="201">
        <f t="shared" si="26"/>
        <v>19</v>
      </c>
      <c r="AO33" s="206">
        <f t="shared" si="46"/>
        <v>16</v>
      </c>
      <c r="AP33" s="63">
        <f>SUM(AI33:AO33)</f>
        <v>149.88</v>
      </c>
    </row>
    <row r="34" spans="1:42" x14ac:dyDescent="0.25">
      <c r="A34" t="s">
        <v>41</v>
      </c>
      <c r="B34" s="15" t="s">
        <v>43</v>
      </c>
      <c r="C34" s="3" t="s">
        <v>420</v>
      </c>
      <c r="D34" s="3" t="s">
        <v>290</v>
      </c>
      <c r="E34" s="17">
        <v>23</v>
      </c>
      <c r="F34" s="17">
        <v>50</v>
      </c>
      <c r="G34" s="108">
        <f t="shared" si="28"/>
        <v>0</v>
      </c>
      <c r="H34" s="108">
        <f t="shared" si="29"/>
        <v>2</v>
      </c>
      <c r="I34" s="108">
        <v>7</v>
      </c>
      <c r="J34" s="108">
        <v>7</v>
      </c>
      <c r="K34" s="108">
        <v>10</v>
      </c>
      <c r="L34" s="108">
        <v>13</v>
      </c>
      <c r="M34" s="108">
        <v>10</v>
      </c>
      <c r="N34" s="45">
        <f>(12930+255+185+195)*1.03</f>
        <v>13971.95</v>
      </c>
      <c r="O34" s="201">
        <f t="shared" ref="O34:P34" si="66">AI16</f>
        <v>0</v>
      </c>
      <c r="P34" s="201">
        <f t="shared" si="66"/>
        <v>0</v>
      </c>
      <c r="Q34" s="201">
        <v>16</v>
      </c>
      <c r="R34" s="201">
        <v>10.5</v>
      </c>
      <c r="S34" s="201">
        <v>29</v>
      </c>
      <c r="T34" s="201">
        <v>59</v>
      </c>
      <c r="U34" s="201">
        <v>8</v>
      </c>
      <c r="V34" s="63">
        <f>SUM(O34:U34)</f>
        <v>122.5</v>
      </c>
      <c r="X34" t="s">
        <v>41</v>
      </c>
      <c r="Y34" s="17">
        <f t="shared" si="59"/>
        <v>25</v>
      </c>
      <c r="Z34" s="17">
        <f t="shared" si="60"/>
        <v>29</v>
      </c>
      <c r="AA34" s="108">
        <f t="shared" si="49"/>
        <v>0</v>
      </c>
      <c r="AB34" s="108">
        <f t="shared" ref="AB34:AB36" si="67">H34</f>
        <v>2</v>
      </c>
      <c r="AC34" s="108">
        <f t="shared" si="50"/>
        <v>7</v>
      </c>
      <c r="AD34" s="108">
        <f t="shared" si="51"/>
        <v>7</v>
      </c>
      <c r="AE34" s="108">
        <v>12</v>
      </c>
      <c r="AF34" s="108">
        <f t="shared" si="52"/>
        <v>13</v>
      </c>
      <c r="AG34" s="108">
        <v>16.5</v>
      </c>
      <c r="AH34" s="45">
        <f>(12930+255+515+195)*1.049</f>
        <v>14575.855</v>
      </c>
      <c r="AI34" s="201">
        <f t="shared" si="44"/>
        <v>0</v>
      </c>
      <c r="AJ34" s="201">
        <f t="shared" si="44"/>
        <v>0</v>
      </c>
      <c r="AK34" s="201">
        <f t="shared" si="26"/>
        <v>16</v>
      </c>
      <c r="AL34" s="201">
        <f t="shared" si="26"/>
        <v>10.5</v>
      </c>
      <c r="AM34" s="206">
        <f t="shared" si="53"/>
        <v>43</v>
      </c>
      <c r="AN34" s="201">
        <f t="shared" si="26"/>
        <v>59</v>
      </c>
      <c r="AO34" s="206">
        <f t="shared" si="46"/>
        <v>23</v>
      </c>
      <c r="AP34" s="63">
        <f>SUM(AI34:AO34)</f>
        <v>151.5</v>
      </c>
    </row>
    <row r="35" spans="1:42" x14ac:dyDescent="0.25">
      <c r="A35" t="s">
        <v>45</v>
      </c>
      <c r="B35" s="15" t="s">
        <v>43</v>
      </c>
      <c r="C35" s="3" t="s">
        <v>420</v>
      </c>
      <c r="D35" s="3" t="s">
        <v>290</v>
      </c>
      <c r="E35" s="17">
        <v>23</v>
      </c>
      <c r="F35" s="17">
        <v>50</v>
      </c>
      <c r="G35" s="108">
        <f t="shared" ref="G35:G36" si="68">AA17</f>
        <v>0</v>
      </c>
      <c r="H35" s="108">
        <f t="shared" ref="H35:H36" si="69">AB17</f>
        <v>2</v>
      </c>
      <c r="I35" s="108">
        <v>7</v>
      </c>
      <c r="J35" s="108">
        <v>7</v>
      </c>
      <c r="K35" s="108">
        <v>10</v>
      </c>
      <c r="L35" s="108">
        <v>13</v>
      </c>
      <c r="M35" s="108">
        <v>10</v>
      </c>
      <c r="N35" s="45">
        <f t="shared" ref="N35:N36" si="70">(12930+255+185+195)*1.03</f>
        <v>13971.95</v>
      </c>
      <c r="O35" s="206">
        <f t="shared" ref="O35:O36" si="71">AI17</f>
        <v>0</v>
      </c>
      <c r="P35" s="206">
        <f t="shared" ref="P35:P36" si="72">AJ17</f>
        <v>0</v>
      </c>
      <c r="Q35" s="206">
        <v>16</v>
      </c>
      <c r="R35" s="206">
        <v>10.5</v>
      </c>
      <c r="S35" s="206">
        <v>29</v>
      </c>
      <c r="T35" s="206">
        <v>59</v>
      </c>
      <c r="U35" s="206">
        <v>8</v>
      </c>
      <c r="V35" s="63">
        <f>SUM(O35:U35)</f>
        <v>122.5</v>
      </c>
      <c r="X35" t="s">
        <v>45</v>
      </c>
      <c r="Y35" s="17">
        <f t="shared" ref="Y35:Y36" si="73">E35+2</f>
        <v>25</v>
      </c>
      <c r="Z35" s="17">
        <f t="shared" ref="Z35:Z36" si="74">F35+(($AR$25+$AR$26)*7)-112-112</f>
        <v>29</v>
      </c>
      <c r="AA35" s="108">
        <f t="shared" si="49"/>
        <v>0</v>
      </c>
      <c r="AB35" s="108">
        <f t="shared" si="67"/>
        <v>2</v>
      </c>
      <c r="AC35" s="108">
        <f t="shared" si="50"/>
        <v>7</v>
      </c>
      <c r="AD35" s="108">
        <f t="shared" si="51"/>
        <v>7</v>
      </c>
      <c r="AE35" s="108">
        <v>12</v>
      </c>
      <c r="AF35" s="108">
        <f t="shared" si="52"/>
        <v>13</v>
      </c>
      <c r="AG35" s="108">
        <v>16.5</v>
      </c>
      <c r="AH35" s="45">
        <f>(12930+255+515+195)*1.049</f>
        <v>14575.855</v>
      </c>
      <c r="AI35" s="201">
        <f t="shared" si="44"/>
        <v>0</v>
      </c>
      <c r="AJ35" s="201">
        <f t="shared" si="44"/>
        <v>0</v>
      </c>
      <c r="AK35" s="201">
        <f t="shared" si="26"/>
        <v>16</v>
      </c>
      <c r="AL35" s="201">
        <f t="shared" si="26"/>
        <v>10.5</v>
      </c>
      <c r="AM35" s="206">
        <f t="shared" si="53"/>
        <v>43</v>
      </c>
      <c r="AN35" s="201">
        <f t="shared" si="26"/>
        <v>59</v>
      </c>
      <c r="AO35" s="206">
        <f t="shared" si="46"/>
        <v>23</v>
      </c>
      <c r="AP35" s="63">
        <f>SUM(AI35:AO35)</f>
        <v>151.5</v>
      </c>
    </row>
    <row r="36" spans="1:42" x14ac:dyDescent="0.25">
      <c r="A36" t="s">
        <v>288</v>
      </c>
      <c r="B36" s="15" t="s">
        <v>43</v>
      </c>
      <c r="C36" s="3" t="s">
        <v>420</v>
      </c>
      <c r="D36" s="3" t="s">
        <v>290</v>
      </c>
      <c r="E36" s="17">
        <v>23</v>
      </c>
      <c r="F36" s="17">
        <v>50</v>
      </c>
      <c r="G36" s="108">
        <f t="shared" si="68"/>
        <v>0</v>
      </c>
      <c r="H36" s="108">
        <f t="shared" si="69"/>
        <v>2</v>
      </c>
      <c r="I36" s="108">
        <v>7</v>
      </c>
      <c r="J36" s="108">
        <v>7</v>
      </c>
      <c r="K36" s="108">
        <v>10</v>
      </c>
      <c r="L36" s="108">
        <v>13</v>
      </c>
      <c r="M36" s="108">
        <v>10</v>
      </c>
      <c r="N36" s="45">
        <f t="shared" si="70"/>
        <v>13971.95</v>
      </c>
      <c r="O36" s="206">
        <f t="shared" si="71"/>
        <v>0</v>
      </c>
      <c r="P36" s="206">
        <f t="shared" si="72"/>
        <v>0</v>
      </c>
      <c r="Q36" s="206">
        <v>16</v>
      </c>
      <c r="R36" s="206">
        <v>10.5</v>
      </c>
      <c r="S36" s="206">
        <v>29</v>
      </c>
      <c r="T36" s="206">
        <v>59</v>
      </c>
      <c r="U36" s="206">
        <v>8</v>
      </c>
      <c r="V36" s="63">
        <f>SUM(O36:U36)</f>
        <v>122.5</v>
      </c>
      <c r="X36" t="s">
        <v>288</v>
      </c>
      <c r="Y36" s="17">
        <f t="shared" si="73"/>
        <v>25</v>
      </c>
      <c r="Z36" s="17">
        <f t="shared" si="74"/>
        <v>29</v>
      </c>
      <c r="AA36" s="108">
        <f t="shared" si="49"/>
        <v>0</v>
      </c>
      <c r="AB36" s="108">
        <f t="shared" si="67"/>
        <v>2</v>
      </c>
      <c r="AC36" s="108">
        <f t="shared" si="50"/>
        <v>7</v>
      </c>
      <c r="AD36" s="108">
        <f t="shared" si="51"/>
        <v>7</v>
      </c>
      <c r="AE36" s="108">
        <v>12</v>
      </c>
      <c r="AF36" s="108">
        <f t="shared" si="52"/>
        <v>13</v>
      </c>
      <c r="AG36" s="108">
        <v>16.5</v>
      </c>
      <c r="AH36" s="45">
        <f>(12930+255+515+195)*1.049</f>
        <v>14575.855</v>
      </c>
      <c r="AI36" s="201">
        <f t="shared" si="44"/>
        <v>0</v>
      </c>
      <c r="AJ36" s="201">
        <f t="shared" si="44"/>
        <v>0</v>
      </c>
      <c r="AK36" s="201">
        <f t="shared" si="26"/>
        <v>16</v>
      </c>
      <c r="AL36" s="201">
        <f t="shared" si="26"/>
        <v>10.5</v>
      </c>
      <c r="AM36" s="206">
        <f t="shared" si="53"/>
        <v>43</v>
      </c>
      <c r="AN36" s="201">
        <f t="shared" si="26"/>
        <v>59</v>
      </c>
      <c r="AO36" s="206">
        <f t="shared" si="46"/>
        <v>23</v>
      </c>
      <c r="AP36" s="63">
        <f>SUM(AI36:AO36)</f>
        <v>151.5</v>
      </c>
    </row>
  </sheetData>
  <conditionalFormatting sqref="G8:M18 G3:M4">
    <cfRule type="colorScale" priority="26">
      <colorScale>
        <cfvo type="min"/>
        <cfvo type="max"/>
        <color rgb="FFFFEF9C"/>
        <color rgb="FF63BE7B"/>
      </colorScale>
    </cfRule>
  </conditionalFormatting>
  <conditionalFormatting sqref="G5:M7">
    <cfRule type="colorScale" priority="25">
      <colorScale>
        <cfvo type="min"/>
        <cfvo type="max"/>
        <color rgb="FFFFEF9C"/>
        <color rgb="FF63BE7B"/>
      </colorScale>
    </cfRule>
  </conditionalFormatting>
  <conditionalFormatting sqref="N3:N18">
    <cfRule type="dataBar" priority="24">
      <dataBar>
        <cfvo type="min"/>
        <cfvo type="max"/>
        <color rgb="FFFF555A"/>
      </dataBar>
      <extLst>
        <ext xmlns:x14="http://schemas.microsoft.com/office/spreadsheetml/2009/9/main" uri="{B025F937-C7B1-47D3-B67F-A62EFF666E3E}">
          <x14:id>{FA8484D2-E49B-4152-B82F-527E9BCD9437}</x14:id>
        </ext>
      </extLst>
    </cfRule>
  </conditionalFormatting>
  <conditionalFormatting sqref="O3:U18">
    <cfRule type="colorScale" priority="23">
      <colorScale>
        <cfvo type="min"/>
        <cfvo type="max"/>
        <color rgb="FFFCFCFF"/>
        <color rgb="FFF8696B"/>
      </colorScale>
    </cfRule>
  </conditionalFormatting>
  <conditionalFormatting sqref="V3:V18">
    <cfRule type="dataBar" priority="22">
      <dataBar>
        <cfvo type="min"/>
        <cfvo type="max"/>
        <color rgb="FFFFB628"/>
      </dataBar>
      <extLst>
        <ext xmlns:x14="http://schemas.microsoft.com/office/spreadsheetml/2009/9/main" uri="{B025F937-C7B1-47D3-B67F-A62EFF666E3E}">
          <x14:id>{D8E0F95B-E09F-473D-8CB3-1AA6BE8A35DD}</x14:id>
        </ext>
      </extLst>
    </cfRule>
  </conditionalFormatting>
  <conditionalFormatting sqref="AA3:AG18">
    <cfRule type="colorScale" priority="21">
      <colorScale>
        <cfvo type="min"/>
        <cfvo type="max"/>
        <color rgb="FFFFEF9C"/>
        <color rgb="FF63BE7B"/>
      </colorScale>
    </cfRule>
  </conditionalFormatting>
  <conditionalFormatting sqref="AH3:AH18">
    <cfRule type="dataBar" priority="20">
      <dataBar>
        <cfvo type="min"/>
        <cfvo type="max"/>
        <color rgb="FFFF555A"/>
      </dataBar>
      <extLst>
        <ext xmlns:x14="http://schemas.microsoft.com/office/spreadsheetml/2009/9/main" uri="{B025F937-C7B1-47D3-B67F-A62EFF666E3E}">
          <x14:id>{D0CABE6B-C37A-4128-9F14-49736C3E3E16}</x14:id>
        </ext>
      </extLst>
    </cfRule>
  </conditionalFormatting>
  <conditionalFormatting sqref="AI3:AO18">
    <cfRule type="colorScale" priority="19">
      <colorScale>
        <cfvo type="min"/>
        <cfvo type="max"/>
        <color rgb="FFFCFCFF"/>
        <color rgb="FFF8696B"/>
      </colorScale>
    </cfRule>
  </conditionalFormatting>
  <conditionalFormatting sqref="AP3:AP18">
    <cfRule type="dataBar" priority="18">
      <dataBar>
        <cfvo type="min"/>
        <cfvo type="max"/>
        <color rgb="FFFFB628"/>
      </dataBar>
      <extLst>
        <ext xmlns:x14="http://schemas.microsoft.com/office/spreadsheetml/2009/9/main" uri="{B025F937-C7B1-47D3-B67F-A62EFF666E3E}">
          <x14:id>{CB746796-43C0-4000-8EAD-CC55FCC653DB}</x14:id>
        </ext>
      </extLst>
    </cfRule>
  </conditionalFormatting>
  <conditionalFormatting sqref="N21:N36">
    <cfRule type="dataBar" priority="16">
      <dataBar>
        <cfvo type="min"/>
        <cfvo type="max"/>
        <color rgb="FFFF555A"/>
      </dataBar>
      <extLst>
        <ext xmlns:x14="http://schemas.microsoft.com/office/spreadsheetml/2009/9/main" uri="{B025F937-C7B1-47D3-B67F-A62EFF666E3E}">
          <x14:id>{F1C4D72C-43B0-4BB2-9B27-2904231E0565}</x14:id>
        </ext>
      </extLst>
    </cfRule>
  </conditionalFormatting>
  <conditionalFormatting sqref="V21:V36">
    <cfRule type="dataBar" priority="14">
      <dataBar>
        <cfvo type="min"/>
        <cfvo type="max"/>
        <color rgb="FFFFB628"/>
      </dataBar>
      <extLst>
        <ext xmlns:x14="http://schemas.microsoft.com/office/spreadsheetml/2009/9/main" uri="{B025F937-C7B1-47D3-B67F-A62EFF666E3E}">
          <x14:id>{FCD1AAE9-7889-4A70-9407-731E2C29149F}</x14:id>
        </ext>
      </extLst>
    </cfRule>
  </conditionalFormatting>
  <conditionalFormatting sqref="AI21:AO36">
    <cfRule type="colorScale" priority="13">
      <colorScale>
        <cfvo type="min"/>
        <cfvo type="max"/>
        <color rgb="FFFCFCFF"/>
        <color rgb="FFF8696B"/>
      </colorScale>
    </cfRule>
  </conditionalFormatting>
  <conditionalFormatting sqref="AP21:AP36">
    <cfRule type="dataBar" priority="12">
      <dataBar>
        <cfvo type="min"/>
        <cfvo type="max"/>
        <color rgb="FFFFB628"/>
      </dataBar>
      <extLst>
        <ext xmlns:x14="http://schemas.microsoft.com/office/spreadsheetml/2009/9/main" uri="{B025F937-C7B1-47D3-B67F-A62EFF666E3E}">
          <x14:id>{589B8D8C-D891-4DE2-9406-02BB42CE7CE8}</x14:id>
        </ext>
      </extLst>
    </cfRule>
  </conditionalFormatting>
  <conditionalFormatting sqref="AA21:AG36">
    <cfRule type="colorScale" priority="11">
      <colorScale>
        <cfvo type="min"/>
        <cfvo type="max"/>
        <color rgb="FFFFEF9C"/>
        <color rgb="FF63BE7B"/>
      </colorScale>
    </cfRule>
  </conditionalFormatting>
  <conditionalFormatting sqref="O21:U36">
    <cfRule type="colorScale" priority="3">
      <colorScale>
        <cfvo type="min"/>
        <cfvo type="max"/>
        <color rgb="FFFCFCFF"/>
        <color rgb="FFF8696B"/>
      </colorScale>
    </cfRule>
  </conditionalFormatting>
  <conditionalFormatting sqref="G21:M36">
    <cfRule type="colorScale" priority="2">
      <colorScale>
        <cfvo type="min"/>
        <cfvo type="max"/>
        <color rgb="FFFFEF9C"/>
        <color rgb="FF63BE7B"/>
      </colorScale>
    </cfRule>
  </conditionalFormatting>
  <conditionalFormatting sqref="AH21:AH36">
    <cfRule type="dataBar" priority="1">
      <dataBar>
        <cfvo type="min"/>
        <cfvo type="max"/>
        <color rgb="FFFF555A"/>
      </dataBar>
      <extLst>
        <ext xmlns:x14="http://schemas.microsoft.com/office/spreadsheetml/2009/9/main" uri="{B025F937-C7B1-47D3-B67F-A62EFF666E3E}">
          <x14:id>{0B0C4CDB-7CA7-4405-A3B6-07BF3BC1410B}</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FA8484D2-E49B-4152-B82F-527E9BCD9437}">
            <x14:dataBar minLength="0" maxLength="100" border="1" negativeBarBorderColorSameAsPositive="0">
              <x14:cfvo type="autoMin"/>
              <x14:cfvo type="autoMax"/>
              <x14:borderColor rgb="FFFF555A"/>
              <x14:negativeFillColor rgb="FFFF0000"/>
              <x14:negativeBorderColor rgb="FFFF0000"/>
              <x14:axisColor rgb="FF000000"/>
            </x14:dataBar>
          </x14:cfRule>
          <xm:sqref>N3:N18</xm:sqref>
        </x14:conditionalFormatting>
        <x14:conditionalFormatting xmlns:xm="http://schemas.microsoft.com/office/excel/2006/main">
          <x14:cfRule type="dataBar" id="{D8E0F95B-E09F-473D-8CB3-1AA6BE8A35DD}">
            <x14:dataBar minLength="0" maxLength="100" border="1" negativeBarBorderColorSameAsPositive="0">
              <x14:cfvo type="autoMin"/>
              <x14:cfvo type="autoMax"/>
              <x14:borderColor rgb="FFFFB628"/>
              <x14:negativeFillColor rgb="FFFF0000"/>
              <x14:negativeBorderColor rgb="FFFF0000"/>
              <x14:axisColor rgb="FF000000"/>
            </x14:dataBar>
          </x14:cfRule>
          <xm:sqref>V3:V18</xm:sqref>
        </x14:conditionalFormatting>
        <x14:conditionalFormatting xmlns:xm="http://schemas.microsoft.com/office/excel/2006/main">
          <x14:cfRule type="dataBar" id="{D0CABE6B-C37A-4128-9F14-49736C3E3E16}">
            <x14:dataBar minLength="0" maxLength="100" border="1" negativeBarBorderColorSameAsPositive="0">
              <x14:cfvo type="autoMin"/>
              <x14:cfvo type="autoMax"/>
              <x14:borderColor rgb="FFFF555A"/>
              <x14:negativeFillColor rgb="FFFF0000"/>
              <x14:negativeBorderColor rgb="FFFF0000"/>
              <x14:axisColor rgb="FF000000"/>
            </x14:dataBar>
          </x14:cfRule>
          <xm:sqref>AH3:AH18</xm:sqref>
        </x14:conditionalFormatting>
        <x14:conditionalFormatting xmlns:xm="http://schemas.microsoft.com/office/excel/2006/main">
          <x14:cfRule type="dataBar" id="{CB746796-43C0-4000-8EAD-CC55FCC653DB}">
            <x14:dataBar minLength="0" maxLength="100" border="1" negativeBarBorderColorSameAsPositive="0">
              <x14:cfvo type="autoMin"/>
              <x14:cfvo type="autoMax"/>
              <x14:borderColor rgb="FFFFB628"/>
              <x14:negativeFillColor rgb="FFFF0000"/>
              <x14:negativeBorderColor rgb="FFFF0000"/>
              <x14:axisColor rgb="FF000000"/>
            </x14:dataBar>
          </x14:cfRule>
          <xm:sqref>AP3:AP18</xm:sqref>
        </x14:conditionalFormatting>
        <x14:conditionalFormatting xmlns:xm="http://schemas.microsoft.com/office/excel/2006/main">
          <x14:cfRule type="dataBar" id="{F1C4D72C-43B0-4BB2-9B27-2904231E0565}">
            <x14:dataBar minLength="0" maxLength="100" border="1" negativeBarBorderColorSameAsPositive="0">
              <x14:cfvo type="autoMin"/>
              <x14:cfvo type="autoMax"/>
              <x14:borderColor rgb="FFFF555A"/>
              <x14:negativeFillColor rgb="FFFF0000"/>
              <x14:negativeBorderColor rgb="FFFF0000"/>
              <x14:axisColor rgb="FF000000"/>
            </x14:dataBar>
          </x14:cfRule>
          <xm:sqref>N21:N36</xm:sqref>
        </x14:conditionalFormatting>
        <x14:conditionalFormatting xmlns:xm="http://schemas.microsoft.com/office/excel/2006/main">
          <x14:cfRule type="dataBar" id="{FCD1AAE9-7889-4A70-9407-731E2C29149F}">
            <x14:dataBar minLength="0" maxLength="100" border="1" negativeBarBorderColorSameAsPositive="0">
              <x14:cfvo type="autoMin"/>
              <x14:cfvo type="autoMax"/>
              <x14:borderColor rgb="FFFFB628"/>
              <x14:negativeFillColor rgb="FFFF0000"/>
              <x14:negativeBorderColor rgb="FFFF0000"/>
              <x14:axisColor rgb="FF000000"/>
            </x14:dataBar>
          </x14:cfRule>
          <xm:sqref>V21:V36</xm:sqref>
        </x14:conditionalFormatting>
        <x14:conditionalFormatting xmlns:xm="http://schemas.microsoft.com/office/excel/2006/main">
          <x14:cfRule type="dataBar" id="{589B8D8C-D891-4DE2-9406-02BB42CE7CE8}">
            <x14:dataBar minLength="0" maxLength="100" border="1" negativeBarBorderColorSameAsPositive="0">
              <x14:cfvo type="autoMin"/>
              <x14:cfvo type="autoMax"/>
              <x14:borderColor rgb="FFFFB628"/>
              <x14:negativeFillColor rgb="FFFF0000"/>
              <x14:negativeBorderColor rgb="FFFF0000"/>
              <x14:axisColor rgb="FF000000"/>
            </x14:dataBar>
          </x14:cfRule>
          <xm:sqref>AP21:AP36</xm:sqref>
        </x14:conditionalFormatting>
        <x14:conditionalFormatting xmlns:xm="http://schemas.microsoft.com/office/excel/2006/main">
          <x14:cfRule type="dataBar" id="{0B0C4CDB-7CA7-4405-A3B6-07BF3BC1410B}">
            <x14:dataBar minLength="0" maxLength="100" border="1" negativeBarBorderColorSameAsPositive="0">
              <x14:cfvo type="autoMin"/>
              <x14:cfvo type="autoMax"/>
              <x14:borderColor rgb="FFFF555A"/>
              <x14:negativeFillColor rgb="FFFF0000"/>
              <x14:negativeBorderColor rgb="FFFF0000"/>
              <x14:axisColor rgb="FF000000"/>
            </x14:dataBar>
          </x14:cfRule>
          <xm:sqref>AH21:AH36</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1">
    <tabColor rgb="FF00B050"/>
  </sheetPr>
  <dimension ref="A1:AT28"/>
  <sheetViews>
    <sheetView tabSelected="1" zoomScale="110" zoomScaleNormal="110" workbookViewId="0">
      <pane xSplit="4" ySplit="3" topLeftCell="E4" activePane="bottomRight" state="frozen"/>
      <selection pane="topRight" activeCell="E1" sqref="E1"/>
      <selection pane="bottomLeft" activeCell="A4" sqref="A4"/>
      <selection pane="bottomRight" activeCell="H20" sqref="H20"/>
    </sheetView>
  </sheetViews>
  <sheetFormatPr baseColWidth="10" defaultColWidth="9.140625" defaultRowHeight="15" x14ac:dyDescent="0.25"/>
  <cols>
    <col min="1" max="1" width="4.7109375" bestFit="1" customWidth="1"/>
    <col min="2" max="2" width="8" bestFit="1" customWidth="1"/>
    <col min="3" max="3" width="6.140625" bestFit="1" customWidth="1"/>
    <col min="4" max="4" width="18.7109375" bestFit="1" customWidth="1"/>
    <col min="5" max="5" width="5.5703125" bestFit="1" customWidth="1"/>
    <col min="6" max="6" width="5" bestFit="1" customWidth="1"/>
    <col min="7" max="7" width="4.5703125" bestFit="1" customWidth="1"/>
    <col min="8" max="8" width="3.7109375" bestFit="1" customWidth="1"/>
    <col min="9" max="9" width="4.42578125" bestFit="1" customWidth="1"/>
    <col min="10" max="10" width="5.28515625" bestFit="1" customWidth="1"/>
    <col min="11" max="12" width="4.7109375" bestFit="1" customWidth="1"/>
    <col min="13" max="13" width="10.42578125" bestFit="1" customWidth="1"/>
    <col min="14" max="14" width="4.5703125" bestFit="1" customWidth="1"/>
    <col min="15" max="15" width="4.28515625" bestFit="1" customWidth="1"/>
    <col min="16" max="16" width="5" bestFit="1" customWidth="1"/>
    <col min="17" max="17" width="4.140625" bestFit="1" customWidth="1"/>
    <col min="18" max="19" width="5.7109375" bestFit="1" customWidth="1"/>
    <col min="20" max="22" width="10.42578125" bestFit="1" customWidth="1"/>
    <col min="23" max="23" width="7.5703125" bestFit="1" customWidth="1"/>
    <col min="24" max="30" width="5.5703125" bestFit="1" customWidth="1"/>
    <col min="31" max="31" width="7" bestFit="1" customWidth="1"/>
    <col min="32" max="32" width="8.5703125" bestFit="1" customWidth="1"/>
    <col min="33" max="35" width="7" bestFit="1" customWidth="1"/>
    <col min="36" max="36" width="8" bestFit="1" customWidth="1"/>
    <col min="37" max="37" width="8.140625" bestFit="1" customWidth="1"/>
    <col min="38" max="38" width="6.5703125" bestFit="1" customWidth="1"/>
    <col min="39" max="39" width="7.5703125" bestFit="1" customWidth="1"/>
    <col min="40" max="41" width="6.5703125" bestFit="1" customWidth="1"/>
    <col min="42" max="42" width="5.28515625" bestFit="1" customWidth="1"/>
    <col min="43" max="43" width="4.85546875" customWidth="1"/>
    <col min="44" max="44" width="3.42578125" bestFit="1" customWidth="1"/>
    <col min="45" max="45" width="3.5703125" bestFit="1" customWidth="1"/>
    <col min="46" max="46" width="7" bestFit="1" customWidth="1"/>
  </cols>
  <sheetData>
    <row r="1" spans="1:46" x14ac:dyDescent="0.25">
      <c r="D1" s="28">
        <v>42268</v>
      </c>
    </row>
    <row r="2" spans="1:46" x14ac:dyDescent="0.25">
      <c r="D2" s="28">
        <f ca="1">TODAY()</f>
        <v>43637</v>
      </c>
      <c r="I2" s="30">
        <f>AVERAGE(I4:I21)</f>
        <v>4.2666666666666666</v>
      </c>
      <c r="J2" s="30"/>
      <c r="N2" s="35">
        <f ca="1">AVERAGE(N4:N21)</f>
        <v>0.9043437398216122</v>
      </c>
      <c r="O2" s="30">
        <f>AVERAGE(O4:O21)</f>
        <v>5.7166666666666659</v>
      </c>
      <c r="Q2" s="30">
        <f>AVERAGE(Q4:Q21)</f>
        <v>5.166666666666667</v>
      </c>
      <c r="R2" s="111">
        <f>AVERAGE(R4:R21)</f>
        <v>0.85483083031564866</v>
      </c>
      <c r="S2" s="111">
        <f>AVERAGE(S4:S21)</f>
        <v>0.92696874457038925</v>
      </c>
      <c r="T2" s="36">
        <f>SUM(T4:T21)</f>
        <v>934470</v>
      </c>
      <c r="U2" s="36">
        <f>SUM(U4:U21)</f>
        <v>9810</v>
      </c>
      <c r="V2" s="36">
        <f>SUM(V4:V21)</f>
        <v>162424</v>
      </c>
      <c r="W2" s="37">
        <f>T2/V2</f>
        <v>5.753275378022952</v>
      </c>
      <c r="AD2" s="35">
        <f>AVERAGE(AD5:AD21)</f>
        <v>4.9411764705882355</v>
      </c>
      <c r="AE2" s="31">
        <f>AVERAGE(AE5:AE21)</f>
        <v>93.434117647058827</v>
      </c>
      <c r="AF2" s="31">
        <f>AVERAGE(AF5:AF21)</f>
        <v>2014.5555555555557</v>
      </c>
      <c r="AL2" s="30"/>
      <c r="AM2" s="30"/>
      <c r="AN2" s="30"/>
      <c r="AO2" s="30"/>
      <c r="AQ2" s="30"/>
      <c r="AR2" s="30"/>
      <c r="AS2" s="30"/>
    </row>
    <row r="3" spans="1:46" x14ac:dyDescent="0.25">
      <c r="A3" s="10" t="s">
        <v>1</v>
      </c>
      <c r="B3" s="10" t="s">
        <v>2</v>
      </c>
      <c r="C3" s="11" t="s">
        <v>449</v>
      </c>
      <c r="D3" s="12" t="s">
        <v>169</v>
      </c>
      <c r="E3" s="10" t="s">
        <v>4</v>
      </c>
      <c r="F3" s="10" t="s">
        <v>5</v>
      </c>
      <c r="G3" s="10" t="s">
        <v>6</v>
      </c>
      <c r="H3" s="10" t="s">
        <v>7</v>
      </c>
      <c r="I3" s="10" t="s">
        <v>8</v>
      </c>
      <c r="J3" s="10" t="s">
        <v>172</v>
      </c>
      <c r="K3" s="13" t="s">
        <v>49</v>
      </c>
      <c r="L3" s="13" t="s">
        <v>48</v>
      </c>
      <c r="M3" s="10" t="s">
        <v>179</v>
      </c>
      <c r="N3" s="10" t="s">
        <v>98</v>
      </c>
      <c r="O3" s="10" t="s">
        <v>9</v>
      </c>
      <c r="P3" s="10" t="s">
        <v>10</v>
      </c>
      <c r="Q3" s="10" t="s">
        <v>11</v>
      </c>
      <c r="R3" s="47" t="s">
        <v>96</v>
      </c>
      <c r="S3" s="47" t="s">
        <v>97</v>
      </c>
      <c r="T3" s="10" t="s">
        <v>12</v>
      </c>
      <c r="U3" s="10" t="s">
        <v>186</v>
      </c>
      <c r="V3" s="10" t="s">
        <v>13</v>
      </c>
      <c r="W3" s="10" t="s">
        <v>14</v>
      </c>
      <c r="X3" s="10" t="s">
        <v>15</v>
      </c>
      <c r="Y3" s="10" t="s">
        <v>16</v>
      </c>
      <c r="Z3" s="10" t="s">
        <v>17</v>
      </c>
      <c r="AA3" s="10" t="s">
        <v>18</v>
      </c>
      <c r="AB3" s="10" t="s">
        <v>19</v>
      </c>
      <c r="AC3" s="10" t="s">
        <v>20</v>
      </c>
      <c r="AD3" s="10" t="s">
        <v>6</v>
      </c>
      <c r="AE3" s="10" t="s">
        <v>320</v>
      </c>
      <c r="AF3" s="10" t="s">
        <v>270</v>
      </c>
      <c r="AG3" s="14" t="s">
        <v>25</v>
      </c>
      <c r="AH3" s="14" t="s">
        <v>26</v>
      </c>
      <c r="AI3" s="14" t="s">
        <v>86</v>
      </c>
      <c r="AJ3" s="14" t="s">
        <v>173</v>
      </c>
      <c r="AK3" s="14" t="s">
        <v>174</v>
      </c>
      <c r="AL3" s="14" t="s">
        <v>21</v>
      </c>
      <c r="AM3" s="14" t="s">
        <v>22</v>
      </c>
      <c r="AN3" s="14" t="s">
        <v>23</v>
      </c>
      <c r="AO3" s="14" t="s">
        <v>24</v>
      </c>
      <c r="AP3" s="10" t="s">
        <v>178</v>
      </c>
      <c r="AQ3" s="10" t="s">
        <v>180</v>
      </c>
      <c r="AR3" s="10" t="s">
        <v>176</v>
      </c>
      <c r="AS3" s="10" t="s">
        <v>177</v>
      </c>
      <c r="AT3" s="32" t="s">
        <v>265</v>
      </c>
    </row>
    <row r="4" spans="1:46" x14ac:dyDescent="0.25">
      <c r="A4" s="15" t="s">
        <v>28</v>
      </c>
      <c r="B4" s="23" t="s">
        <v>27</v>
      </c>
      <c r="C4" s="116">
        <f ca="1">((34*112)-(E4*112)-(F4))/112</f>
        <v>11.571428571428571</v>
      </c>
      <c r="D4" s="202" t="s">
        <v>437</v>
      </c>
      <c r="E4" s="1">
        <v>22</v>
      </c>
      <c r="F4" s="2">
        <f ca="1">$D$2-$D$1-1097-112-112</f>
        <v>48</v>
      </c>
      <c r="G4" s="3"/>
      <c r="H4" s="4">
        <v>4</v>
      </c>
      <c r="I4" s="5">
        <v>4.5999999999999996</v>
      </c>
      <c r="J4" s="21">
        <f>LOG(I4)*4/3</f>
        <v>0.8836771089087655</v>
      </c>
      <c r="K4" s="6">
        <f>(H4)*(H4)*(I4)</f>
        <v>73.599999999999994</v>
      </c>
      <c r="L4" s="6">
        <f>(H4+1)*(H4+1)*I4</f>
        <v>114.99999999999999</v>
      </c>
      <c r="M4" s="125">
        <v>43415</v>
      </c>
      <c r="N4" s="126">
        <f t="shared" ref="N4:N9" ca="1" si="0">IF((TODAY()-M4)&gt;335,1,((TODAY()-M4)^0.64)/(336^0.64))</f>
        <v>0.76702366970655766</v>
      </c>
      <c r="O4" s="24">
        <v>6.7</v>
      </c>
      <c r="P4" s="19">
        <f>O4*10+19</f>
        <v>86</v>
      </c>
      <c r="Q4" s="25">
        <v>3</v>
      </c>
      <c r="R4" s="110">
        <f>(Q4/7)^0.5</f>
        <v>0.65465367070797709</v>
      </c>
      <c r="S4" s="110">
        <f>IF(Q4=7,1,((Q4+0.99)/7)^0.5)</f>
        <v>0.75498344352707503</v>
      </c>
      <c r="T4" s="27">
        <v>57080</v>
      </c>
      <c r="U4" s="27">
        <f>T4-AT4</f>
        <v>-2430</v>
      </c>
      <c r="V4" s="7">
        <v>27520</v>
      </c>
      <c r="W4" s="8">
        <f>T4/V4</f>
        <v>2.0741279069767442</v>
      </c>
      <c r="X4" s="20">
        <v>15</v>
      </c>
      <c r="Y4" s="21">
        <f>10+3/7</f>
        <v>10.428571428571429</v>
      </c>
      <c r="Z4" s="20">
        <v>0</v>
      </c>
      <c r="AA4" s="21">
        <v>0</v>
      </c>
      <c r="AB4" s="20">
        <v>0</v>
      </c>
      <c r="AC4" s="21">
        <v>1</v>
      </c>
      <c r="AD4" s="20">
        <v>1</v>
      </c>
      <c r="AE4" s="9">
        <f>PLANNING!V3</f>
        <v>91.5</v>
      </c>
      <c r="AF4" s="9">
        <v>1752</v>
      </c>
      <c r="AG4" s="22">
        <f t="shared" ref="AG4" ca="1" si="1">(AD4+1+(LOG(I4)*4/3)+N4)*(Q4/7)^0.5</f>
        <v>2.3899446653769916</v>
      </c>
      <c r="AH4" s="22">
        <f t="shared" ref="AH4" ca="1" si="2">(AD4+1+N4+(LOG(I4)*4/3))*(IF(Q4=7, (Q4/7)^0.5, ((Q4+1)/7)^0.5))</f>
        <v>2.7596703918074321</v>
      </c>
      <c r="AI4" s="22">
        <f t="shared" ref="AI4" ca="1" si="3">(Z4+N4+(LOG(I4)*4/3))</f>
        <v>1.6507007786153232</v>
      </c>
      <c r="AJ4" s="115">
        <f t="shared" ref="AJ4" ca="1" si="4">(Z4+N4+(LOG(I4)*4/3))*(Q4/7)^0.5</f>
        <v>1.0806373239610372</v>
      </c>
      <c r="AK4" s="115">
        <f t="shared" ref="AK4" ca="1" si="5">(Z4+N4+(LOG(I4)*4/3))*(IF(Q4=7, (Q4/7)^0.5, ((Q4+1)/7)^0.5))</f>
        <v>1.2478124997705233</v>
      </c>
      <c r="AL4" s="8">
        <f t="shared" ref="AL4" ca="1" si="6">(((Y4+LOG(I4)*4/3+N4)+(AB4+LOG(I4)*4/3+N4)*2)/8)*(Q4/7)^0.5</f>
        <v>1.2586268172297161</v>
      </c>
      <c r="AM4" s="8">
        <f t="shared" ref="AM4" ca="1" si="7">(AD4+LOG(I4)*4/3+N4)*0.7+(AC4+LOG(I4)*4/3+N4)*0.3</f>
        <v>2.6507007786153229</v>
      </c>
      <c r="AN4" s="8">
        <f t="shared" ref="AN4" ca="1" si="8">(0.5*(AC4+LOG(I4)*4/3+N4)+ 0.3*(AD4+LOG(I4)*4/3+N4))/10</f>
        <v>0.21205606228922588</v>
      </c>
      <c r="AO4" s="8">
        <f t="shared" ref="AO4" ca="1" si="9">(0.4*(Y4+LOG(I4)*4/3+N4)+0.3*(AD4+LOG(I4)*4/3+N4))/10</f>
        <v>0.56269191164592969</v>
      </c>
      <c r="AP4" s="124">
        <f>IF(AR4=4,IF(AS4=0,0.137+0.0697,0.137+0.02),IF(AR4=3,IF(AS4=0,0.0958+0.0697,0.0958+0.02),IF(AR4=2,IF(AS4=0,0.0415+0.0697,0.0415+0.02),IF(AR4=1,IF(AS4=0,0.0294+0.0697,0.0294+0.02),IF(AR4=0,IF(AS4=0,0.0063+0.0697,0.0063+0.02))))))</f>
        <v>0.1158</v>
      </c>
      <c r="AQ4" s="19">
        <v>1</v>
      </c>
      <c r="AR4" s="19">
        <v>3</v>
      </c>
      <c r="AS4" s="19">
        <v>2</v>
      </c>
      <c r="AT4" s="27">
        <v>59510</v>
      </c>
    </row>
    <row r="5" spans="1:46" x14ac:dyDescent="0.25">
      <c r="A5" s="15" t="s">
        <v>436</v>
      </c>
      <c r="B5" s="15" t="s">
        <v>27</v>
      </c>
      <c r="C5" s="116">
        <f t="shared" ref="C5:C21" ca="1" si="10">((34*112)-(E5*112)-(F5))/112</f>
        <v>11.348214285714286</v>
      </c>
      <c r="D5" s="203" t="s">
        <v>415</v>
      </c>
      <c r="E5" s="16">
        <v>22</v>
      </c>
      <c r="F5" s="2">
        <f ca="1">$D$2-$D$1-880+32-112-112-112-112</f>
        <v>73</v>
      </c>
      <c r="G5" s="17"/>
      <c r="H5" s="187">
        <v>5</v>
      </c>
      <c r="I5" s="26">
        <v>1.4</v>
      </c>
      <c r="J5" s="21">
        <f t="shared" ref="J5:J9" si="11">LOG(I5)*4/3</f>
        <v>0.19483738090431735</v>
      </c>
      <c r="K5" s="6">
        <f t="shared" ref="K5:K9" si="12">(H5)*(H5)*(I5)</f>
        <v>35</v>
      </c>
      <c r="L5" s="6">
        <f t="shared" ref="L5:L9" si="13">(H5+1)*(H5+1)*I5</f>
        <v>50.4</v>
      </c>
      <c r="M5" s="125">
        <v>43190</v>
      </c>
      <c r="N5" s="126">
        <f t="shared" ca="1" si="0"/>
        <v>1</v>
      </c>
      <c r="O5" s="18">
        <v>5.0999999999999996</v>
      </c>
      <c r="P5" s="19">
        <f t="shared" ref="P5:P9" si="14">O5*10+19</f>
        <v>70</v>
      </c>
      <c r="Q5" s="25">
        <v>6</v>
      </c>
      <c r="R5" s="110">
        <f t="shared" ref="R5:R9" si="15">(Q5/7)^0.5</f>
        <v>0.92582009977255142</v>
      </c>
      <c r="S5" s="110">
        <f t="shared" ref="S5:S9" si="16">IF(Q5=7,1,((Q5+0.99)/7)^0.5)</f>
        <v>0.99928545900129484</v>
      </c>
      <c r="T5" s="27">
        <v>3170</v>
      </c>
      <c r="U5" s="27">
        <f t="shared" ref="U5:U9" si="17">T5-AT5</f>
        <v>-80</v>
      </c>
      <c r="V5" s="27">
        <v>1170</v>
      </c>
      <c r="W5" s="8">
        <f t="shared" ref="W5:W9" si="18">T5/V5</f>
        <v>2.7094017094017095</v>
      </c>
      <c r="X5" s="20">
        <v>6</v>
      </c>
      <c r="Y5" s="21">
        <v>4</v>
      </c>
      <c r="Z5" s="20">
        <v>0</v>
      </c>
      <c r="AA5" s="21">
        <v>3</v>
      </c>
      <c r="AB5" s="20">
        <v>0</v>
      </c>
      <c r="AC5" s="21">
        <v>1</v>
      </c>
      <c r="AD5" s="20">
        <v>1</v>
      </c>
      <c r="AE5" s="9">
        <f>7.5+6+1.5+1.5</f>
        <v>16.5</v>
      </c>
      <c r="AF5" s="9"/>
      <c r="AG5" s="22">
        <f ca="1">(AD5+1+(LOG(I5)*4/3)+N5)*(Q5/7)^0.5</f>
        <v>2.9578446627459121</v>
      </c>
      <c r="AH5" s="22">
        <f ca="1">(AD5+1+N5+(LOG(I5)*4/3))*(IF(Q5=7, (Q5/7)^0.5, ((Q5+1)/7)^0.5))</f>
        <v>3.1948373809043176</v>
      </c>
      <c r="AI5" s="22">
        <f ca="1">(Z5+N5+(LOG(I5)*4/3))</f>
        <v>1.1948373809043173</v>
      </c>
      <c r="AJ5" s="115">
        <f ca="1">(Z5+N5+(LOG(I5)*4/3))*(Q5/7)^0.5</f>
        <v>1.106204463200809</v>
      </c>
      <c r="AK5" s="115">
        <f ca="1">(Z5+N5+(LOG(I5)*4/3))*(IF(Q5=7, (Q5/7)^0.5, ((Q5+1)/7)^0.5))</f>
        <v>1.1948373809043173</v>
      </c>
      <c r="AL5" s="8">
        <f ca="1">(((Y5+LOG(I5)*4/3+N5)+(AB5+LOG(I5)*4/3+N5)*2)/8)*(Q5/7)^0.5</f>
        <v>0.87773672358657917</v>
      </c>
      <c r="AM5" s="8">
        <f ca="1">(AD5+LOG(I5)*4/3+N5)*0.7+(AC5+LOG(I5)*4/3+N5)*0.3</f>
        <v>2.1948373809043176</v>
      </c>
      <c r="AN5" s="8">
        <f t="shared" ref="AN5" ca="1" si="19">(0.5*(AC5+LOG(I5)*4/3+N5)+ 0.3*(AD5+LOG(I5)*4/3+N5))/10</f>
        <v>0.17558699047234541</v>
      </c>
      <c r="AO5" s="8">
        <f t="shared" ref="AO5" ca="1" si="20">(0.4*(Y5+LOG(I5)*4/3+N5)+0.3*(AD5+LOG(I5)*4/3+N5))/10</f>
        <v>0.27363861666330225</v>
      </c>
      <c r="AP5" s="124">
        <f t="shared" ref="AP5:AP9" si="21">IF(AR5=4,IF(AS5=0,0.137+0.0697,0.137+0.02),IF(AR5=3,IF(AS5=0,0.0958+0.0697,0.0958+0.02),IF(AR5=2,IF(AS5=0,0.0415+0.0697,0.0415+0.02),IF(AR5=1,IF(AS5=0,0.0294+0.0697,0.0294+0.02),IF(AR5=0,IF(AS5=0,0.0063+0.0697,0.0063+0.02))))))</f>
        <v>2.63E-2</v>
      </c>
      <c r="AQ5" s="19">
        <v>3</v>
      </c>
      <c r="AR5" s="19">
        <v>0</v>
      </c>
      <c r="AS5" s="19">
        <v>2</v>
      </c>
      <c r="AT5" s="27">
        <v>3250</v>
      </c>
    </row>
    <row r="6" spans="1:46" x14ac:dyDescent="0.25">
      <c r="A6" s="15" t="s">
        <v>31</v>
      </c>
      <c r="B6" s="23" t="s">
        <v>318</v>
      </c>
      <c r="C6" s="116">
        <f t="shared" ca="1" si="10"/>
        <v>11.598214285714286</v>
      </c>
      <c r="D6" s="202" t="s">
        <v>426</v>
      </c>
      <c r="E6" s="1">
        <v>22</v>
      </c>
      <c r="F6" s="2">
        <f ca="1">$D$2-$D$1-1100-112-112</f>
        <v>45</v>
      </c>
      <c r="G6" s="3"/>
      <c r="H6" s="187">
        <v>5</v>
      </c>
      <c r="I6" s="5">
        <v>2.6</v>
      </c>
      <c r="J6" s="21">
        <f t="shared" ref="J6" si="22">LOG(I6)*4/3</f>
        <v>0.55329779729442397</v>
      </c>
      <c r="K6" s="6">
        <f t="shared" ref="K6" si="23">(H6)*(H6)*(I6)</f>
        <v>65</v>
      </c>
      <c r="L6" s="6">
        <f t="shared" ref="L6" si="24">(H6+1)*(H6+1)*I6</f>
        <v>93.600000000000009</v>
      </c>
      <c r="M6" s="125">
        <v>43395</v>
      </c>
      <c r="N6" s="126">
        <f t="shared" ca="1" si="0"/>
        <v>0.81055912016406673</v>
      </c>
      <c r="O6" s="24">
        <v>6.1</v>
      </c>
      <c r="P6" s="19">
        <f t="shared" si="14"/>
        <v>80</v>
      </c>
      <c r="Q6" s="25">
        <v>4</v>
      </c>
      <c r="R6" s="110">
        <f t="shared" ref="R6" si="25">(Q6/7)^0.5</f>
        <v>0.7559289460184544</v>
      </c>
      <c r="S6" s="110">
        <f t="shared" ref="S6" si="26">IF(Q6=7,1,((Q6+0.99)/7)^0.5)</f>
        <v>0.84430867747355465</v>
      </c>
      <c r="T6" s="27">
        <v>71960</v>
      </c>
      <c r="U6" s="27">
        <f t="shared" si="17"/>
        <v>1030</v>
      </c>
      <c r="V6" s="7">
        <v>18250</v>
      </c>
      <c r="W6" s="8">
        <f t="shared" ref="W6" si="27">T6/V6</f>
        <v>3.943013698630137</v>
      </c>
      <c r="X6" s="20">
        <v>0</v>
      </c>
      <c r="Y6" s="21">
        <f>14+9/16</f>
        <v>14.5625</v>
      </c>
      <c r="Z6" s="20">
        <v>5</v>
      </c>
      <c r="AA6" s="21">
        <f>5+2/5</f>
        <v>5.4</v>
      </c>
      <c r="AB6" s="20">
        <v>5</v>
      </c>
      <c r="AC6" s="21">
        <v>2</v>
      </c>
      <c r="AD6" s="20">
        <v>1</v>
      </c>
      <c r="AE6" s="9">
        <f>PLANNING!V4</f>
        <v>110</v>
      </c>
      <c r="AF6" s="9">
        <v>1966</v>
      </c>
      <c r="AG6" s="22">
        <f t="shared" ref="AG6" ca="1" si="28">(AD6+1+(LOG(I6)*4/3)+N6)*(Q6/7)^0.5</f>
        <v>2.5428368141712836</v>
      </c>
      <c r="AH6" s="22">
        <f t="shared" ref="AH6" ca="1" si="29">(AD6+1+N6+(LOG(I6)*4/3))*(IF(Q6=7, (Q6/7)^0.5, ((Q6+1)/7)^0.5))</f>
        <v>2.842977986087996</v>
      </c>
      <c r="AI6" s="22">
        <f t="shared" ref="AI6" ca="1" si="30">(Z6+N6+(LOG(I6)*4/3))</f>
        <v>6.3638569174584907</v>
      </c>
      <c r="AJ6" s="115">
        <f t="shared" ref="AJ6" ca="1" si="31">(Z6+N6+(LOG(I6)*4/3))*(Q6/7)^0.5</f>
        <v>4.8106236522266466</v>
      </c>
      <c r="AK6" s="115">
        <f t="shared" ref="AK6" ca="1" si="32">(Z6+N6+(LOG(I6)*4/3))*(IF(Q6=7, (Q6/7)^0.5, ((Q6+1)/7)^0.5))</f>
        <v>5.3784407502735458</v>
      </c>
      <c r="AL6" s="8">
        <f t="shared" ref="AL6" ca="1" si="33">(((Y6+LOG(I6)*4/3+N6)+(AB6+LOG(I6)*4/3+N6)*2)/8)*(Q6/7)^0.5</f>
        <v>2.7075551878726762</v>
      </c>
      <c r="AM6" s="8">
        <f t="shared" ref="AM6" ca="1" si="34">(AD6+LOG(I6)*4/3+N6)*0.7+(AC6+LOG(I6)*4/3+N6)*0.3</f>
        <v>2.6638569174584905</v>
      </c>
      <c r="AN6" s="8">
        <f t="shared" ref="AN6" ca="1" si="35">(0.5*(AC6+LOG(I6)*4/3+N6)+ 0.3*(AD6+LOG(I6)*4/3+N6))/10</f>
        <v>0.23910855339667925</v>
      </c>
      <c r="AO6" s="8">
        <f t="shared" ref="AO6" ca="1" si="36">(0.4*(Y6+LOG(I6)*4/3+N6)+0.3*(AD6+LOG(I6)*4/3+N6))/10</f>
        <v>0.70796998422209434</v>
      </c>
      <c r="AP6" s="124">
        <f t="shared" ref="AP6" si="37">IF(AR6=4,IF(AS6=0,0.137+0.0697,0.137+0.02),IF(AR6=3,IF(AS6=0,0.0958+0.0697,0.0958+0.02),IF(AR6=2,IF(AS6=0,0.0415+0.0697,0.0415+0.02),IF(AR6=1,IF(AS6=0,0.0294+0.0697,0.0294+0.02),IF(AR6=0,IF(AS6=0,0.0063+0.0697,0.0063+0.02))))))</f>
        <v>6.1499999999999999E-2</v>
      </c>
      <c r="AQ6" s="19">
        <v>1</v>
      </c>
      <c r="AR6" s="19">
        <v>2</v>
      </c>
      <c r="AS6" s="19">
        <v>1</v>
      </c>
      <c r="AT6" s="27">
        <v>70930</v>
      </c>
    </row>
    <row r="7" spans="1:46" x14ac:dyDescent="0.25">
      <c r="A7" s="15" t="s">
        <v>33</v>
      </c>
      <c r="B7" s="15" t="s">
        <v>318</v>
      </c>
      <c r="C7" s="116">
        <f t="shared" ca="1" si="10"/>
        <v>11.767857142857142</v>
      </c>
      <c r="D7" s="191" t="s">
        <v>430</v>
      </c>
      <c r="E7" s="16">
        <v>22</v>
      </c>
      <c r="F7" s="2">
        <f ca="1">$D$2-$D$1-1102-17-112-112</f>
        <v>26</v>
      </c>
      <c r="G7" s="17"/>
      <c r="H7" s="4">
        <v>4</v>
      </c>
      <c r="I7" s="26">
        <v>3.6</v>
      </c>
      <c r="J7" s="21">
        <f>LOG(I7)*4/3</f>
        <v>0.74173666768971636</v>
      </c>
      <c r="K7" s="6">
        <f>(H7)*(H7)*(I7)</f>
        <v>57.6</v>
      </c>
      <c r="L7" s="6">
        <f>(H7+1)*(H7+1)*I7</f>
        <v>90</v>
      </c>
      <c r="M7" s="125">
        <v>43410</v>
      </c>
      <c r="N7" s="126">
        <f t="shared" ca="1" si="0"/>
        <v>0.77803549598249677</v>
      </c>
      <c r="O7" s="18">
        <v>6.7</v>
      </c>
      <c r="P7" s="19">
        <f>O7*10+19</f>
        <v>86</v>
      </c>
      <c r="Q7" s="25">
        <v>5</v>
      </c>
      <c r="R7" s="110">
        <f>(Q7/7)^0.5</f>
        <v>0.84515425472851657</v>
      </c>
      <c r="S7" s="110">
        <f>IF(Q7=7,1,((Q7+0.99)/7)^0.5)</f>
        <v>0.92504826128926143</v>
      </c>
      <c r="T7" s="27">
        <v>83660</v>
      </c>
      <c r="U7" s="27">
        <f>T7-AT7</f>
        <v>810</v>
      </c>
      <c r="V7" s="27">
        <v>19870</v>
      </c>
      <c r="W7" s="8">
        <f>T7/V7</f>
        <v>4.2103673880221439</v>
      </c>
      <c r="X7" s="20">
        <v>0</v>
      </c>
      <c r="Y7" s="21">
        <f>14+8/16</f>
        <v>14.5</v>
      </c>
      <c r="Z7" s="20">
        <v>5</v>
      </c>
      <c r="AA7" s="21">
        <v>7</v>
      </c>
      <c r="AB7" s="20">
        <v>5</v>
      </c>
      <c r="AC7" s="21">
        <v>1</v>
      </c>
      <c r="AD7" s="20">
        <v>0</v>
      </c>
      <c r="AE7" s="9">
        <f>PLANNING!V6</f>
        <v>113.5</v>
      </c>
      <c r="AF7" s="9">
        <v>2023</v>
      </c>
      <c r="AG7" s="22">
        <f t="shared" ref="AG7" ca="1" si="38">(AD7+1+(LOG(I7)*4/3)+N7)*(Q7/7)^0.5</f>
        <v>2.1295961650740511</v>
      </c>
      <c r="AH7" s="22">
        <f t="shared" ref="AH7" ca="1" si="39">(AD7+1+N7+(LOG(I7)*4/3))*(IF(Q7=7, (Q7/7)^0.5, ((Q7+1)/7)^0.5))</f>
        <v>2.3328557159751062</v>
      </c>
      <c r="AI7" s="22">
        <f t="shared" ref="AI7" ca="1" si="40">(Z7+N7+(LOG(I7)*4/3))</f>
        <v>6.5197721636722132</v>
      </c>
      <c r="AJ7" s="115">
        <f t="shared" ref="AJ7" ca="1" si="41">(Z7+N7+(LOG(I7)*4/3))*(Q7/7)^0.5</f>
        <v>5.5102131839881174</v>
      </c>
      <c r="AK7" s="115">
        <f t="shared" ref="AK7" ca="1" si="42">(Z7+N7+(LOG(I7)*4/3))*(IF(Q7=7, (Q7/7)^0.5, ((Q7+1)/7)^0.5))</f>
        <v>6.0361361150653119</v>
      </c>
      <c r="AL7" s="8">
        <f t="shared" ref="AL7" ca="1" si="43">(((Y7+LOG(I7)*4/3+N7)+(AB7+LOG(I7)*4/3+N7)*2)/8)*(Q7/7)^0.5</f>
        <v>3.0699506214856571</v>
      </c>
      <c r="AM7" s="8">
        <f t="shared" ref="AM7" ca="1" si="44">(AD7+LOG(I7)*4/3+N7)*0.7+(AC7+LOG(I7)*4/3+N7)*0.3</f>
        <v>1.8197721636722131</v>
      </c>
      <c r="AN7" s="8">
        <f t="shared" ref="AN7" ca="1" si="45">(0.5*(AC7+LOG(I7)*4/3+N7)+ 0.3*(AD7+LOG(I7)*4/3+N7))/10</f>
        <v>0.17158177309377706</v>
      </c>
      <c r="AO7" s="8">
        <f t="shared" ref="AO7" ca="1" si="46">(0.4*(Y7+LOG(I7)*4/3+N7)+0.3*(AD7+LOG(I7)*4/3+N7))/10</f>
        <v>0.68638405145705483</v>
      </c>
      <c r="AP7" s="124">
        <f>IF(AR7=4,IF(AS7=0,0.137+0.0697,0.137+0.02),IF(AR7=3,IF(AS7=0,0.0958+0.0697,0.0958+0.02),IF(AR7=2,IF(AS7=0,0.0415+0.0697,0.0415+0.02),IF(AR7=1,IF(AS7=0,0.0294+0.0697,0.0294+0.02),IF(AR7=0,IF(AS7=0,0.0063+0.0697,0.0063+0.02))))))</f>
        <v>6.1499999999999999E-2</v>
      </c>
      <c r="AQ7" s="19">
        <v>3</v>
      </c>
      <c r="AR7" s="19">
        <v>2</v>
      </c>
      <c r="AS7" s="19">
        <v>2</v>
      </c>
      <c r="AT7" s="27">
        <v>82850</v>
      </c>
    </row>
    <row r="8" spans="1:46" x14ac:dyDescent="0.25">
      <c r="A8" s="15" t="s">
        <v>38</v>
      </c>
      <c r="B8" s="15" t="s">
        <v>318</v>
      </c>
      <c r="C8" s="116">
        <f t="shared" ca="1" si="10"/>
        <v>11.321428571428571</v>
      </c>
      <c r="D8" s="191" t="s">
        <v>425</v>
      </c>
      <c r="E8" s="16">
        <v>22</v>
      </c>
      <c r="F8" s="2">
        <f ca="1">$D$2-$D$1-1069-112-112</f>
        <v>76</v>
      </c>
      <c r="G8" s="17"/>
      <c r="H8" s="4">
        <v>1</v>
      </c>
      <c r="I8" s="26">
        <v>3.8</v>
      </c>
      <c r="J8" s="21">
        <f>LOG(I8)*4/3</f>
        <v>0.77304479548908012</v>
      </c>
      <c r="K8" s="6">
        <f>(H8)*(H8)*(I8)</f>
        <v>3.8</v>
      </c>
      <c r="L8" s="6">
        <f>(H8+1)*(H8+1)*I8</f>
        <v>15.2</v>
      </c>
      <c r="M8" s="125">
        <v>43383</v>
      </c>
      <c r="N8" s="126">
        <f t="shared" ca="1" si="0"/>
        <v>0.83605806590558429</v>
      </c>
      <c r="O8" s="18">
        <v>6</v>
      </c>
      <c r="P8" s="19">
        <f>O8*10+19</f>
        <v>79</v>
      </c>
      <c r="Q8" s="25">
        <v>5</v>
      </c>
      <c r="R8" s="110">
        <f>(Q8/7)^0.5</f>
        <v>0.84515425472851657</v>
      </c>
      <c r="S8" s="110">
        <f>IF(Q8=7,1,((Q8+0.99)/7)^0.5)</f>
        <v>0.92504826128926143</v>
      </c>
      <c r="T8" s="27">
        <v>73230</v>
      </c>
      <c r="U8" s="27">
        <f>T8-AT8</f>
        <v>10840</v>
      </c>
      <c r="V8" s="27">
        <v>5710</v>
      </c>
      <c r="W8" s="8">
        <f>T8/V8</f>
        <v>12.824868651488616</v>
      </c>
      <c r="X8" s="20">
        <v>0</v>
      </c>
      <c r="Y8" s="21">
        <f>12+5/11</f>
        <v>12.454545454545455</v>
      </c>
      <c r="Z8" s="20">
        <v>3</v>
      </c>
      <c r="AA8" s="21">
        <f>7+0.1+0.1</f>
        <v>7.1999999999999993</v>
      </c>
      <c r="AB8" s="20">
        <v>10</v>
      </c>
      <c r="AC8" s="21">
        <v>3</v>
      </c>
      <c r="AD8" s="20">
        <v>2</v>
      </c>
      <c r="AE8" s="9">
        <f>PLANNING!V5</f>
        <v>106.5</v>
      </c>
      <c r="AF8" s="9">
        <v>1910</v>
      </c>
      <c r="AG8" s="22">
        <f ca="1">(AD8+1+(LOG(I8)*4/3)+N8)*(Q8/7)^0.5</f>
        <v>3.8954028937890803</v>
      </c>
      <c r="AH8" s="22">
        <f ca="1">(AD8+1+N8+(LOG(I8)*4/3))*(IF(Q8=7, (Q8/7)^0.5, ((Q8+1)/7)^0.5))</f>
        <v>4.2672000709983609</v>
      </c>
      <c r="AI8" s="22">
        <f ca="1">(Z8+N8+(LOG(I8)*4/3))</f>
        <v>4.609102861394665</v>
      </c>
      <c r="AJ8" s="115">
        <f ca="1">(Z8+N8+(LOG(I8)*4/3))*(Q8/7)^0.5</f>
        <v>3.8954028937890812</v>
      </c>
      <c r="AK8" s="115">
        <f ca="1">(Z8+N8+(LOG(I8)*4/3))*(IF(Q8=7, (Q8/7)^0.5, ((Q8+1)/7)^0.5))</f>
        <v>4.2672000709983609</v>
      </c>
      <c r="AL8" s="8">
        <f ca="1">(((Y8+LOG(I8)*4/3+N8)+(AB8+LOG(I8)*4/3+N8)*2)/8)*(Q8/7)^0.5</f>
        <v>3.9386146956249655</v>
      </c>
      <c r="AM8" s="8">
        <f ca="1">(AD8+LOG(I8)*4/3+N8)*0.7+(AC8+LOG(I8)*4/3+N8)*0.3</f>
        <v>3.9091028613946639</v>
      </c>
      <c r="AN8" s="8">
        <f ca="1">(0.5*(AC8+LOG(I8)*4/3+N8)+ 0.3*(AD8+LOG(I8)*4/3+N8))/10</f>
        <v>0.33872822891157311</v>
      </c>
      <c r="AO8" s="8">
        <f ca="1">(0.4*(Y8+LOG(I8)*4/3+N8)+0.3*(AD8+LOG(I8)*4/3+N8))/10</f>
        <v>0.6708190184794447</v>
      </c>
      <c r="AP8" s="124">
        <f>IF(AR8=4,IF(AS8=0,0.137+0.0697,0.137+0.02),IF(AR8=3,IF(AS8=0,0.0958+0.0697,0.0958+0.02),IF(AR8=2,IF(AS8=0,0.0415+0.0697,0.0415+0.02),IF(AR8=1,IF(AS8=0,0.0294+0.0697,0.0294+0.02),IF(AR8=0,IF(AS8=0,0.0063+0.0697,0.0063+0.02))))))</f>
        <v>0.1158</v>
      </c>
      <c r="AQ8" s="19">
        <v>0</v>
      </c>
      <c r="AR8" s="19">
        <v>3</v>
      </c>
      <c r="AS8" s="19">
        <v>2</v>
      </c>
      <c r="AT8" s="27">
        <v>62390</v>
      </c>
    </row>
    <row r="9" spans="1:46" x14ac:dyDescent="0.25">
      <c r="A9" s="15" t="s">
        <v>31</v>
      </c>
      <c r="B9" s="15" t="s">
        <v>318</v>
      </c>
      <c r="C9" s="116">
        <f t="shared" ca="1" si="10"/>
        <v>11.455357142857142</v>
      </c>
      <c r="D9" s="202" t="s">
        <v>434</v>
      </c>
      <c r="E9" s="1">
        <v>22</v>
      </c>
      <c r="F9" s="2">
        <f ca="1">$D$2-$D$1-880+55-112-112-14-21-112-112</f>
        <v>61</v>
      </c>
      <c r="G9" s="3"/>
      <c r="H9" s="4">
        <v>4</v>
      </c>
      <c r="I9" s="5">
        <v>4.4000000000000004</v>
      </c>
      <c r="J9" s="21">
        <f t="shared" si="11"/>
        <v>0.85793690198158323</v>
      </c>
      <c r="K9" s="6">
        <f t="shared" si="12"/>
        <v>70.400000000000006</v>
      </c>
      <c r="L9" s="6">
        <f t="shared" si="13"/>
        <v>110.00000000000001</v>
      </c>
      <c r="M9" s="125">
        <v>43419</v>
      </c>
      <c r="N9" s="126">
        <f t="shared" ca="1" si="0"/>
        <v>0.7581497888884271</v>
      </c>
      <c r="O9" s="24">
        <v>6.5</v>
      </c>
      <c r="P9" s="19">
        <f t="shared" si="14"/>
        <v>84</v>
      </c>
      <c r="Q9" s="25">
        <v>6</v>
      </c>
      <c r="R9" s="110">
        <f t="shared" si="15"/>
        <v>0.92582009977255142</v>
      </c>
      <c r="S9" s="110">
        <f t="shared" si="16"/>
        <v>0.99928545900129484</v>
      </c>
      <c r="T9" s="27">
        <v>80610</v>
      </c>
      <c r="U9" s="27">
        <f t="shared" si="17"/>
        <v>4190</v>
      </c>
      <c r="V9" s="7">
        <v>6250</v>
      </c>
      <c r="W9" s="8">
        <f t="shared" si="18"/>
        <v>12.897600000000001</v>
      </c>
      <c r="X9" s="20">
        <v>0</v>
      </c>
      <c r="Y9" s="21">
        <f>10+3/9</f>
        <v>10.333333333333334</v>
      </c>
      <c r="Z9" s="20">
        <v>11</v>
      </c>
      <c r="AA9" s="21">
        <v>4</v>
      </c>
      <c r="AB9" s="20">
        <v>9</v>
      </c>
      <c r="AC9" s="21">
        <v>4</v>
      </c>
      <c r="AD9" s="20">
        <v>1</v>
      </c>
      <c r="AE9" s="9">
        <f>PLANNING!V7</f>
        <v>111.5</v>
      </c>
      <c r="AF9" s="9">
        <v>2011</v>
      </c>
      <c r="AG9" s="22">
        <f ca="1">(AD9+1+(LOG(I9)*4/3)+N9)*(Q9/7)^0.5</f>
        <v>3.3478457409274682</v>
      </c>
      <c r="AH9" s="22">
        <f ca="1">(AD9+1+N9+(LOG(I9)*4/3))*(IF(Q9=7, (Q9/7)^0.5, ((Q9+1)/7)^0.5))</f>
        <v>3.6160866908700102</v>
      </c>
      <c r="AI9" s="22">
        <f ca="1">(Z9+N9+(LOG(I9)*4/3))</f>
        <v>12.616086690870011</v>
      </c>
      <c r="AJ9" s="115">
        <f ca="1">(Z9+N9+(LOG(I9)*4/3))*(Q9/7)^0.5</f>
        <v>11.680226638880432</v>
      </c>
      <c r="AK9" s="115">
        <f ca="1">(Z9+N9+(LOG(I9)*4/3))*(IF(Q9=7, (Q9/7)^0.5, ((Q9+1)/7)^0.5))</f>
        <v>12.616086690870011</v>
      </c>
      <c r="AL9" s="8">
        <f ca="1">(((Y9+LOG(I9)*4/3+N9)+(AB9+LOG(I9)*4/3+N9)*2)/8)*(Q9/7)^0.5</f>
        <v>3.8400232647128405</v>
      </c>
      <c r="AM9" s="8">
        <f ca="1">(AD9+LOG(I9)*4/3+N9)*0.7+(AC9+LOG(I9)*4/3+N9)*0.3</f>
        <v>3.5160866908700101</v>
      </c>
      <c r="AN9" s="8">
        <f ca="1">(0.5*(AC9+LOG(I9)*4/3+N9)+ 0.3*(AD9+LOG(I9)*4/3+N9))/10</f>
        <v>0.35928693526960082</v>
      </c>
      <c r="AO9" s="8">
        <f ca="1">(0.4*(Y9+LOG(I9)*4/3+N9)+0.3*(AD9+LOG(I9)*4/3+N9))/10</f>
        <v>0.55645940169423413</v>
      </c>
      <c r="AP9" s="124">
        <f t="shared" si="21"/>
        <v>6.1499999999999999E-2</v>
      </c>
      <c r="AQ9" s="19">
        <v>0</v>
      </c>
      <c r="AR9" s="19">
        <v>2</v>
      </c>
      <c r="AS9" s="19">
        <v>2</v>
      </c>
      <c r="AT9" s="27">
        <v>76420</v>
      </c>
    </row>
    <row r="10" spans="1:46" x14ac:dyDescent="0.25">
      <c r="A10" s="15" t="s">
        <v>273</v>
      </c>
      <c r="B10" s="15" t="s">
        <v>187</v>
      </c>
      <c r="C10" s="116">
        <f t="shared" ca="1" si="10"/>
        <v>11.669642857142858</v>
      </c>
      <c r="D10" s="204" t="s">
        <v>271</v>
      </c>
      <c r="E10" s="1">
        <v>22</v>
      </c>
      <c r="F10" s="2">
        <f ca="1">$D$2-$D$1-880-4-112-112-112-112</f>
        <v>37</v>
      </c>
      <c r="G10" s="3" t="s">
        <v>269</v>
      </c>
      <c r="H10" s="4">
        <v>3</v>
      </c>
      <c r="I10" s="5">
        <v>2.2000000000000002</v>
      </c>
      <c r="J10" s="21">
        <f>LOG(I10)*4/3</f>
        <v>0.45656357442960838</v>
      </c>
      <c r="K10" s="6">
        <f>(H10)*(H10)*(I10)</f>
        <v>19.8</v>
      </c>
      <c r="L10" s="6">
        <f>(H10+1)*(H10+1)*I10</f>
        <v>35.200000000000003</v>
      </c>
      <c r="M10" s="125">
        <v>43045</v>
      </c>
      <c r="N10" s="126">
        <f ca="1">IF((TODAY()-M10)&gt;335,1,((TODAY()-M10)^0.64)/(336^0.64))</f>
        <v>1</v>
      </c>
      <c r="O10" s="24">
        <v>5.0999999999999996</v>
      </c>
      <c r="P10" s="19">
        <f>O10*10+19</f>
        <v>70</v>
      </c>
      <c r="Q10" s="25">
        <v>5</v>
      </c>
      <c r="R10" s="110">
        <f>(Q10/7)^0.5</f>
        <v>0.84515425472851657</v>
      </c>
      <c r="S10" s="110">
        <f>IF(Q10=7,1,((Q10+0.99)/7)^0.5)</f>
        <v>0.92504826128926143</v>
      </c>
      <c r="T10" s="27">
        <v>3260</v>
      </c>
      <c r="U10" s="27">
        <f>T10-AT10</f>
        <v>180</v>
      </c>
      <c r="V10" s="7">
        <v>450</v>
      </c>
      <c r="W10" s="8">
        <f>T10/V10</f>
        <v>7.2444444444444445</v>
      </c>
      <c r="X10" s="20">
        <v>0</v>
      </c>
      <c r="Y10" s="21">
        <v>6</v>
      </c>
      <c r="Z10" s="20">
        <v>3</v>
      </c>
      <c r="AA10" s="21">
        <f>6.15</f>
        <v>6.15</v>
      </c>
      <c r="AB10" s="20">
        <v>3</v>
      </c>
      <c r="AC10" s="21">
        <f>3.73+1/15+1/15+1/15+1/15+1/15+1/15+1/15+1/15+1/15+1/15+1/15+1/15+1/15+1/15</f>
        <v>4.6633333333333322</v>
      </c>
      <c r="AD10" s="20">
        <v>3</v>
      </c>
      <c r="AE10" s="9">
        <f>10+12+3+2+7+1+0.5+4</f>
        <v>39.5</v>
      </c>
      <c r="AF10" s="9"/>
      <c r="AG10" s="22">
        <f ca="1">(AD10+1+(LOG(I10)*4/3)+N10)*(Q10/7)^0.5</f>
        <v>4.6116379211258263</v>
      </c>
      <c r="AH10" s="22">
        <f ca="1">(AD10+1+N10+(LOG(I10)*4/3))*(IF(Q10=7, (Q10/7)^0.5, ((Q10+1)/7)^0.5))</f>
        <v>5.0517962328936905</v>
      </c>
      <c r="AI10" s="22">
        <f ca="1">(Z10+N10+(LOG(I10)*4/3))</f>
        <v>4.4565635744296088</v>
      </c>
      <c r="AJ10" s="115">
        <f ca="1">(Z10+N10+(LOG(I10)*4/3))*(Q10/7)^0.5</f>
        <v>3.7664836663973098</v>
      </c>
      <c r="AK10" s="115">
        <f ca="1">(Z10+N10+(LOG(I10)*4/3))*(IF(Q10=7, (Q10/7)^0.5, ((Q10+1)/7)^0.5))</f>
        <v>4.1259761331211386</v>
      </c>
      <c r="AL10" s="8">
        <f ca="1">(((Y10+LOG(I10)*4/3+N10)+(AB10+LOG(I10)*4/3+N10)*2)/8)*(Q10/7)^0.5</f>
        <v>1.7293642204221849</v>
      </c>
      <c r="AM10" s="8">
        <f ca="1">(AD10+LOG(I10)*4/3+N10)*0.7+(AC10+LOG(I10)*4/3+N10)*0.3</f>
        <v>4.9555635744296085</v>
      </c>
      <c r="AN10" s="8">
        <f ca="1">(0.5*(AC10+LOG(I10)*4/3+N10)+ 0.3*(AD10+LOG(I10)*4/3+N10))/10</f>
        <v>0.43969175262103527</v>
      </c>
      <c r="AO10" s="8">
        <f ca="1">(0.4*(Y10+LOG(I10)*4/3+N10)+0.3*(AD10+LOG(I10)*4/3+N10))/10</f>
        <v>0.43195945021007259</v>
      </c>
      <c r="AP10" s="124">
        <f>IF(AR10=4,IF(AS10=0,0.137+0.0697,0.137+0.02),IF(AR10=3,IF(AS10=0,0.0958+0.0697,0.0958+0.02),IF(AR10=2,IF(AS10=0,0.0415+0.0697,0.0415+0.02),IF(AR10=1,IF(AS10=0,0.0294+0.0697,0.0294+0.02),IF(AR10=0,IF(AS10=0,0.0063+0.0697,0.0063+0.02))))))</f>
        <v>4.9399999999999999E-2</v>
      </c>
      <c r="AQ10" s="19">
        <v>3</v>
      </c>
      <c r="AR10" s="19">
        <v>1</v>
      </c>
      <c r="AS10" s="19">
        <v>2</v>
      </c>
      <c r="AT10" s="27">
        <v>3080</v>
      </c>
    </row>
    <row r="11" spans="1:46" x14ac:dyDescent="0.25">
      <c r="A11" s="15" t="s">
        <v>42</v>
      </c>
      <c r="B11" s="15" t="s">
        <v>448</v>
      </c>
      <c r="C11" s="116">
        <f t="shared" ca="1" si="10"/>
        <v>11.633928571428571</v>
      </c>
      <c r="D11" s="191" t="s">
        <v>326</v>
      </c>
      <c r="E11" s="1">
        <v>22</v>
      </c>
      <c r="F11" s="2">
        <f ca="1">$D$2-$D$1-880-112-112-112-112</f>
        <v>41</v>
      </c>
      <c r="G11" s="3" t="s">
        <v>269</v>
      </c>
      <c r="H11" s="187">
        <v>5</v>
      </c>
      <c r="I11" s="5">
        <v>4.0999999999999996</v>
      </c>
      <c r="J11" s="21">
        <f t="shared" ref="J11:J13" si="47">LOG(I11)*4/3</f>
        <v>0.81704514229298064</v>
      </c>
      <c r="K11" s="6">
        <f t="shared" ref="K11:K13" si="48">(H11)*(H11)*(I11)</f>
        <v>102.49999999999999</v>
      </c>
      <c r="L11" s="6">
        <f t="shared" ref="L11:L13" si="49">(H11+1)*(H11+1)*I11</f>
        <v>147.6</v>
      </c>
      <c r="M11" s="125">
        <v>43137</v>
      </c>
      <c r="N11" s="126">
        <f t="shared" ref="N11:N17" ca="1" si="50">IF((TODAY()-M11)&gt;335,1,((TODAY()-M11)^0.64)/(336^0.64))</f>
        <v>1</v>
      </c>
      <c r="O11" s="24">
        <v>5.8</v>
      </c>
      <c r="P11" s="19">
        <f t="shared" ref="P11:P13" si="51">O11*10+19</f>
        <v>77</v>
      </c>
      <c r="Q11" s="25">
        <v>7</v>
      </c>
      <c r="R11" s="110">
        <f t="shared" ref="R11:R13" si="52">(Q11/7)^0.5</f>
        <v>1</v>
      </c>
      <c r="S11" s="110">
        <f t="shared" ref="S11:S13" si="53">IF(Q11=7,1,((Q11+0.99)/7)^0.5)</f>
        <v>1</v>
      </c>
      <c r="T11" s="27">
        <v>99640</v>
      </c>
      <c r="U11" s="27">
        <f t="shared" ref="U11:U13" si="54">T11-AT11</f>
        <v>2650</v>
      </c>
      <c r="V11" s="7">
        <v>8650</v>
      </c>
      <c r="W11" s="8">
        <f t="shared" ref="W11:W13" si="55">T11/V11</f>
        <v>11.519075144508671</v>
      </c>
      <c r="X11" s="20">
        <v>0</v>
      </c>
      <c r="Y11" s="21">
        <f>11+6/9</f>
        <v>11.666666666666666</v>
      </c>
      <c r="Z11" s="20">
        <v>4</v>
      </c>
      <c r="AA11" s="21">
        <f>12+4/6</f>
        <v>12.666666666666666</v>
      </c>
      <c r="AB11" s="20">
        <f>4+0.25</f>
        <v>4.25</v>
      </c>
      <c r="AC11" s="21">
        <f>5.25+0.25+0.25+0.25+0.25+0.25+0.25+0.25</f>
        <v>7</v>
      </c>
      <c r="AD11" s="20">
        <v>3</v>
      </c>
      <c r="AE11" s="9">
        <f>PLANNING!V9</f>
        <v>121.5</v>
      </c>
      <c r="AF11" s="9">
        <v>2048</v>
      </c>
      <c r="AG11" s="22">
        <f t="shared" ref="AG11:AG13" ca="1" si="56">(AD11+1+(LOG(I11)*4/3)+N11)*(Q11/7)^0.5</f>
        <v>5.8170451422929803</v>
      </c>
      <c r="AH11" s="22">
        <f t="shared" ref="AH11:AH13" ca="1" si="57">(AD11+1+N11+(LOG(I11)*4/3))*(IF(Q11=7, (Q11/7)^0.5, ((Q11+1)/7)^0.5))</f>
        <v>5.8170451422929803</v>
      </c>
      <c r="AI11" s="22">
        <f t="shared" ref="AI11:AI13" ca="1" si="58">(Z11+N11+(LOG(I11)*4/3))</f>
        <v>5.8170451422929803</v>
      </c>
      <c r="AJ11" s="115">
        <f t="shared" ref="AJ11:AJ13" ca="1" si="59">(Z11+N11+(LOG(I11)*4/3))*(Q11/7)^0.5</f>
        <v>5.8170451422929803</v>
      </c>
      <c r="AK11" s="115">
        <f t="shared" ref="AK11:AK13" ca="1" si="60">(Z11+N11+(LOG(I11)*4/3))*(IF(Q11=7, (Q11/7)^0.5, ((Q11+1)/7)^0.5))</f>
        <v>5.8170451422929803</v>
      </c>
      <c r="AL11" s="8">
        <f t="shared" ref="AL11:AL13" ca="1" si="61">(((Y11+LOG(I11)*4/3+N11)+(AB11+LOG(I11)*4/3+N11)*2)/8)*(Q11/7)^0.5</f>
        <v>3.2022252616932008</v>
      </c>
      <c r="AM11" s="8">
        <f t="shared" ref="AM11:AM13" ca="1" si="62">(AD11+LOG(I11)*4/3+N11)*0.7+(AC11+LOG(I11)*4/3+N11)*0.3</f>
        <v>6.0170451422929805</v>
      </c>
      <c r="AN11" s="8">
        <f t="shared" ref="AN11:AN13" ca="1" si="63">(0.5*(AC11+LOG(I11)*4/3+N11)+ 0.3*(AD11+LOG(I11)*4/3+N11))/10</f>
        <v>0.5853636113834384</v>
      </c>
      <c r="AO11" s="8">
        <f t="shared" ref="AO11:AO13" ca="1" si="64">(0.4*(Y11+LOG(I11)*4/3+N11)+0.3*(AD11+LOG(I11)*4/3+N11))/10</f>
        <v>0.68385982662717537</v>
      </c>
      <c r="AP11" s="124">
        <f t="shared" ref="AP11:AP13" si="65">IF(AR11=4,IF(AS11=0,0.137+0.0697,0.137+0.02),IF(AR11=3,IF(AS11=0,0.0958+0.0697,0.0958+0.02),IF(AR11=2,IF(AS11=0,0.0415+0.0697,0.0415+0.02),IF(AR11=1,IF(AS11=0,0.0294+0.0697,0.0294+0.02),IF(AR11=0,IF(AS11=0,0.0063+0.0697,0.0063+0.02))))))</f>
        <v>6.1499999999999999E-2</v>
      </c>
      <c r="AQ11" s="19">
        <v>1</v>
      </c>
      <c r="AR11" s="19">
        <v>2</v>
      </c>
      <c r="AS11" s="19">
        <v>3</v>
      </c>
      <c r="AT11" s="27">
        <v>96990</v>
      </c>
    </row>
    <row r="12" spans="1:46" x14ac:dyDescent="0.25">
      <c r="A12" s="15" t="s">
        <v>32</v>
      </c>
      <c r="B12" s="15" t="s">
        <v>448</v>
      </c>
      <c r="C12" s="116">
        <f t="shared" ca="1" si="10"/>
        <v>11.982142857142858</v>
      </c>
      <c r="D12" s="191" t="s">
        <v>325</v>
      </c>
      <c r="E12" s="1">
        <v>22</v>
      </c>
      <c r="F12" s="2">
        <f ca="1">$D$2-$D$1-919-112-112-112-112</f>
        <v>2</v>
      </c>
      <c r="G12" s="3" t="s">
        <v>44</v>
      </c>
      <c r="H12" s="4">
        <v>3</v>
      </c>
      <c r="I12" s="5">
        <v>4.2</v>
      </c>
      <c r="J12" s="21">
        <f t="shared" si="47"/>
        <v>0.8309990538638673</v>
      </c>
      <c r="K12" s="6">
        <f t="shared" si="48"/>
        <v>37.800000000000004</v>
      </c>
      <c r="L12" s="6">
        <f t="shared" si="49"/>
        <v>67.2</v>
      </c>
      <c r="M12" s="125">
        <v>43122</v>
      </c>
      <c r="N12" s="126">
        <f t="shared" ca="1" si="50"/>
        <v>1</v>
      </c>
      <c r="O12" s="24">
        <v>5.7</v>
      </c>
      <c r="P12" s="19">
        <f t="shared" si="51"/>
        <v>76</v>
      </c>
      <c r="Q12" s="25">
        <v>5</v>
      </c>
      <c r="R12" s="110">
        <f t="shared" si="52"/>
        <v>0.84515425472851657</v>
      </c>
      <c r="S12" s="110">
        <f t="shared" si="53"/>
        <v>0.92504826128926143</v>
      </c>
      <c r="T12" s="27">
        <v>85150</v>
      </c>
      <c r="U12" s="27">
        <f t="shared" si="54"/>
        <v>-3350</v>
      </c>
      <c r="V12" s="7">
        <v>9290</v>
      </c>
      <c r="W12" s="8">
        <f t="shared" si="55"/>
        <v>9.1657696447793331</v>
      </c>
      <c r="X12" s="20">
        <v>0</v>
      </c>
      <c r="Y12" s="21">
        <f>10+5/7</f>
        <v>10.714285714285714</v>
      </c>
      <c r="Z12" s="20">
        <v>3</v>
      </c>
      <c r="AA12" s="21">
        <v>13</v>
      </c>
      <c r="AB12" s="20">
        <v>7</v>
      </c>
      <c r="AC12" s="21">
        <f>4.25+0.25+0.25+0.25+0.25+0.25+0.25+0.25+0.25+0.25+0.25+0.25</f>
        <v>7</v>
      </c>
      <c r="AD12" s="20">
        <v>3</v>
      </c>
      <c r="AE12" s="9">
        <f>PLANNING!V14</f>
        <v>115.5</v>
      </c>
      <c r="AF12" s="9">
        <v>2164</v>
      </c>
      <c r="AG12" s="22">
        <f t="shared" ca="1" si="56"/>
        <v>4.9280936596910019</v>
      </c>
      <c r="AH12" s="22">
        <f t="shared" ca="1" si="57"/>
        <v>5.398456125821899</v>
      </c>
      <c r="AI12" s="22">
        <f t="shared" ca="1" si="58"/>
        <v>4.8309990538638674</v>
      </c>
      <c r="AJ12" s="115">
        <f t="shared" ca="1" si="59"/>
        <v>4.0829394049624854</v>
      </c>
      <c r="AK12" s="115">
        <f t="shared" ca="1" si="60"/>
        <v>4.4726360260493472</v>
      </c>
      <c r="AL12" s="8">
        <f t="shared" ca="1" si="61"/>
        <v>3.1912267057919461</v>
      </c>
      <c r="AM12" s="8">
        <f t="shared" ca="1" si="62"/>
        <v>6.0309990538638676</v>
      </c>
      <c r="AN12" s="8">
        <f t="shared" ca="1" si="63"/>
        <v>0.58647992430910934</v>
      </c>
      <c r="AO12" s="8">
        <f t="shared" ca="1" si="64"/>
        <v>0.64674136234189927</v>
      </c>
      <c r="AP12" s="124">
        <f t="shared" si="65"/>
        <v>2.63E-2</v>
      </c>
      <c r="AQ12" s="19">
        <v>2</v>
      </c>
      <c r="AR12" s="19">
        <v>0</v>
      </c>
      <c r="AS12" s="19">
        <v>2</v>
      </c>
      <c r="AT12" s="27">
        <v>88500</v>
      </c>
    </row>
    <row r="13" spans="1:46" x14ac:dyDescent="0.25">
      <c r="A13" s="15" t="s">
        <v>40</v>
      </c>
      <c r="B13" s="15" t="s">
        <v>448</v>
      </c>
      <c r="C13" s="116">
        <f t="shared" ca="1" si="10"/>
        <v>11.633928571428571</v>
      </c>
      <c r="D13" s="191" t="s">
        <v>272</v>
      </c>
      <c r="E13" s="16">
        <v>22</v>
      </c>
      <c r="F13" s="2">
        <f ca="1">$D$2-$D$1-880-112-112-112-112</f>
        <v>41</v>
      </c>
      <c r="G13" s="17" t="s">
        <v>269</v>
      </c>
      <c r="H13" s="38">
        <v>6</v>
      </c>
      <c r="I13" s="26">
        <v>4.2</v>
      </c>
      <c r="J13" s="21">
        <f t="shared" si="47"/>
        <v>0.8309990538638673</v>
      </c>
      <c r="K13" s="6">
        <f t="shared" si="48"/>
        <v>151.20000000000002</v>
      </c>
      <c r="L13" s="6">
        <f t="shared" si="49"/>
        <v>205.8</v>
      </c>
      <c r="M13" s="125">
        <v>43051</v>
      </c>
      <c r="N13" s="126">
        <f t="shared" ca="1" si="50"/>
        <v>1</v>
      </c>
      <c r="O13" s="18">
        <v>5.0999999999999996</v>
      </c>
      <c r="P13" s="19">
        <f t="shared" si="51"/>
        <v>70</v>
      </c>
      <c r="Q13" s="25">
        <v>4</v>
      </c>
      <c r="R13" s="110">
        <f t="shared" si="52"/>
        <v>0.7559289460184544</v>
      </c>
      <c r="S13" s="110">
        <f t="shared" si="53"/>
        <v>0.84430867747355465</v>
      </c>
      <c r="T13" s="27">
        <v>57020</v>
      </c>
      <c r="U13" s="27">
        <f t="shared" si="54"/>
        <v>2540</v>
      </c>
      <c r="V13" s="27">
        <v>5690</v>
      </c>
      <c r="W13" s="8">
        <f t="shared" si="55"/>
        <v>10.021089630931458</v>
      </c>
      <c r="X13" s="20">
        <v>0</v>
      </c>
      <c r="Y13" s="21">
        <f>10+2/7</f>
        <v>10.285714285714286</v>
      </c>
      <c r="Z13" s="20">
        <v>3</v>
      </c>
      <c r="AA13" s="21">
        <v>12</v>
      </c>
      <c r="AB13" s="20">
        <f>5.4+0.2+0.2+0.2</f>
        <v>6.0000000000000009</v>
      </c>
      <c r="AC13" s="21">
        <f>3.34+0.34+0.33+0.33+0.33+0.33+0.33+0.33+0.33+0.26+0.25+0.25+0.25+0.25</f>
        <v>7.25</v>
      </c>
      <c r="AD13" s="20">
        <v>3</v>
      </c>
      <c r="AE13" s="9">
        <f>PLANNING!V10</f>
        <v>102.5</v>
      </c>
      <c r="AF13" s="9">
        <v>1961</v>
      </c>
      <c r="AG13" s="22">
        <f t="shared" ca="1" si="56"/>
        <v>4.4078209690219179</v>
      </c>
      <c r="AH13" s="22">
        <f t="shared" ca="1" si="57"/>
        <v>4.9280936596910019</v>
      </c>
      <c r="AI13" s="22">
        <f t="shared" ca="1" si="58"/>
        <v>4.8309990538638674</v>
      </c>
      <c r="AJ13" s="115">
        <f t="shared" ca="1" si="59"/>
        <v>3.6518920230034637</v>
      </c>
      <c r="AK13" s="115">
        <f t="shared" ca="1" si="60"/>
        <v>4.0829394049624854</v>
      </c>
      <c r="AL13" s="8">
        <f t="shared" ca="1" si="61"/>
        <v>2.624841508264089</v>
      </c>
      <c r="AM13" s="8">
        <f t="shared" ca="1" si="62"/>
        <v>6.1059990538638669</v>
      </c>
      <c r="AN13" s="8">
        <f t="shared" ca="1" si="63"/>
        <v>0.5989799243091094</v>
      </c>
      <c r="AO13" s="8">
        <f t="shared" ca="1" si="64"/>
        <v>0.62959850519904215</v>
      </c>
      <c r="AP13" s="124">
        <f t="shared" si="65"/>
        <v>6.1499999999999999E-2</v>
      </c>
      <c r="AQ13" s="19">
        <v>2</v>
      </c>
      <c r="AR13" s="19">
        <v>2</v>
      </c>
      <c r="AS13" s="19">
        <v>1</v>
      </c>
      <c r="AT13" s="27">
        <v>54480</v>
      </c>
    </row>
    <row r="14" spans="1:46" x14ac:dyDescent="0.25">
      <c r="A14" s="15" t="s">
        <v>30</v>
      </c>
      <c r="B14" s="15" t="s">
        <v>448</v>
      </c>
      <c r="C14" s="116">
        <f t="shared" ca="1" si="10"/>
        <v>11.669642857142858</v>
      </c>
      <c r="D14" s="191" t="s">
        <v>267</v>
      </c>
      <c r="E14" s="16">
        <v>22</v>
      </c>
      <c r="F14" s="2">
        <f ca="1">$D$2-$D$1-880-4-112-112-112-112</f>
        <v>37</v>
      </c>
      <c r="G14" s="17" t="s">
        <v>44</v>
      </c>
      <c r="H14" s="4">
        <v>1</v>
      </c>
      <c r="I14" s="26">
        <v>4.5999999999999996</v>
      </c>
      <c r="J14" s="21">
        <f>LOG(I14)*4/3</f>
        <v>0.8836771089087655</v>
      </c>
      <c r="K14" s="6">
        <f>(H14)*(H14)*(I14)</f>
        <v>4.5999999999999996</v>
      </c>
      <c r="L14" s="6">
        <f>(H14+1)*(H14+1)*I14</f>
        <v>18.399999999999999</v>
      </c>
      <c r="M14" s="125">
        <v>43046</v>
      </c>
      <c r="N14" s="126">
        <v>1.5</v>
      </c>
      <c r="O14" s="18">
        <v>6</v>
      </c>
      <c r="P14" s="19">
        <f>O14*10+19</f>
        <v>79</v>
      </c>
      <c r="Q14" s="19">
        <v>6</v>
      </c>
      <c r="R14" s="110">
        <f>(Q14/7)^0.5</f>
        <v>0.92582009977255142</v>
      </c>
      <c r="S14" s="110">
        <f>IF(Q14=7,1,((Q14+0.99)/7)^0.5)</f>
        <v>0.99928545900129484</v>
      </c>
      <c r="T14" s="27">
        <v>101280</v>
      </c>
      <c r="U14" s="27">
        <f>T14-AT14</f>
        <v>-2050</v>
      </c>
      <c r="V14" s="27">
        <v>13450</v>
      </c>
      <c r="W14" s="8">
        <f>T14/V14</f>
        <v>7.5301115241635692</v>
      </c>
      <c r="X14" s="20">
        <v>0</v>
      </c>
      <c r="Y14" s="21">
        <f>8+4/5</f>
        <v>8.8000000000000007</v>
      </c>
      <c r="Z14" s="20">
        <v>5.7</v>
      </c>
      <c r="AA14" s="21">
        <f>12+0.2+0.2+0.2+0.2+0.2+(7/7)+(1/8)</f>
        <v>14.124999999999996</v>
      </c>
      <c r="AB14" s="20">
        <v>6</v>
      </c>
      <c r="AC14" s="21">
        <f>4.25+0.34+0.33+0.33+0.25+0.25+0.25+0.25+0.25+0.25+0.25+0.25+0.25</f>
        <v>7.5</v>
      </c>
      <c r="AD14" s="20">
        <v>5</v>
      </c>
      <c r="AE14" s="9">
        <f>PLANNING!V13</f>
        <v>113</v>
      </c>
      <c r="AF14" s="9">
        <v>2073</v>
      </c>
      <c r="AG14" s="22">
        <f>(AD14+1+(LOG(I14)*4/3)+N14)*(Q14/7)^0.5</f>
        <v>7.761776777430768</v>
      </c>
      <c r="AH14" s="22">
        <f>(AD14+1+N14+(LOG(I14)*4/3))*(IF(Q14=7, (Q14/7)^0.5, ((Q14+1)/7)^0.5))</f>
        <v>8.3836771089087652</v>
      </c>
      <c r="AI14" s="22">
        <f>(Z14+N14+(LOG(I14)*4/3))</f>
        <v>8.0836771089087662</v>
      </c>
      <c r="AJ14" s="115">
        <f>(Z14+N14+(LOG(I14)*4/3))*(Q14/7)^0.5</f>
        <v>7.4840307474990038</v>
      </c>
      <c r="AK14" s="115">
        <f>(Z14+N14+(LOG(I14)*4/3))*(IF(Q14=7, (Q14/7)^0.5, ((Q14+1)/7)^0.5))</f>
        <v>8.0836771089087662</v>
      </c>
      <c r="AL14" s="8">
        <f>(((Y14+LOG(I14)*4/3+N14)+(AB14+LOG(I14)*4/3+N14)*2)/8)*(Q14/7)^0.5</f>
        <v>3.2347033264569309</v>
      </c>
      <c r="AM14" s="8">
        <f>(AD14+LOG(I14)*4/3+N14)*0.7+(AC14+LOG(I14)*4/3+N14)*0.3</f>
        <v>8.1336771089087634</v>
      </c>
      <c r="AN14" s="8">
        <f>(0.5*(AC14+LOG(I14)*4/3+N14)+ 0.3*(AD14+LOG(I14)*4/3+N14))/10</f>
        <v>0.7156941687127012</v>
      </c>
      <c r="AO14" s="8">
        <f>(0.4*(Y14+LOG(I14)*4/3+N14)+0.3*(AD14+LOG(I14)*4/3+N14))/10</f>
        <v>0.66885739762361363</v>
      </c>
      <c r="AP14" s="124">
        <f>IF(AR14=4,IF(AS14=0,0.137+0.0697,0.137+0.02),IF(AR14=3,IF(AS14=0,0.0958+0.0697,0.0958+0.02),IF(AR14=2,IF(AS14=0,0.0415+0.0697,0.0415+0.02),IF(AR14=1,IF(AS14=0,0.0294+0.0697,0.0294+0.02),IF(AR14=0,IF(AS14=0,0.0063+0.0697,0.0063+0.02))))))</f>
        <v>0.1158</v>
      </c>
      <c r="AQ14" s="19">
        <v>4</v>
      </c>
      <c r="AR14" s="19">
        <v>3</v>
      </c>
      <c r="AS14" s="19">
        <v>2</v>
      </c>
      <c r="AT14" s="27">
        <v>103330</v>
      </c>
    </row>
    <row r="15" spans="1:46" x14ac:dyDescent="0.25">
      <c r="A15" s="15" t="s">
        <v>35</v>
      </c>
      <c r="B15" s="15" t="s">
        <v>448</v>
      </c>
      <c r="C15" s="116">
        <f t="shared" ca="1" si="10"/>
        <v>11.669642857142858</v>
      </c>
      <c r="D15" s="191" t="s">
        <v>323</v>
      </c>
      <c r="E15" s="16">
        <v>22</v>
      </c>
      <c r="F15" s="2">
        <f ca="1">$D$2-$D$1-880-4-112-112-112-112</f>
        <v>37</v>
      </c>
      <c r="G15" s="17" t="s">
        <v>269</v>
      </c>
      <c r="H15" s="38">
        <v>6</v>
      </c>
      <c r="I15" s="26">
        <v>4</v>
      </c>
      <c r="J15" s="21">
        <f>LOG(I15)*4/3</f>
        <v>0.80274665510394982</v>
      </c>
      <c r="K15" s="6">
        <f>(H15)*(H15)*(I15)</f>
        <v>144</v>
      </c>
      <c r="L15" s="6">
        <f>(H15+1)*(H15+1)*I15</f>
        <v>196</v>
      </c>
      <c r="M15" s="125">
        <v>43054</v>
      </c>
      <c r="N15" s="126">
        <f ca="1">IF((TODAY()-M15)&gt;335,1,((TODAY()-M15)^0.64)/(336^0.64))</f>
        <v>1</v>
      </c>
      <c r="O15" s="18">
        <v>6</v>
      </c>
      <c r="P15" s="19">
        <f>O15*10+19</f>
        <v>79</v>
      </c>
      <c r="Q15" s="25">
        <v>5</v>
      </c>
      <c r="R15" s="110">
        <f>(Q15/7)^0.5</f>
        <v>0.84515425472851657</v>
      </c>
      <c r="S15" s="110">
        <f>IF(Q15=7,1,((Q15+0.99)/7)^0.5)</f>
        <v>0.92504826128926143</v>
      </c>
      <c r="T15" s="27">
        <v>77460</v>
      </c>
      <c r="U15" s="27">
        <f>T15-AT15</f>
        <v>2250</v>
      </c>
      <c r="V15" s="27">
        <v>9050</v>
      </c>
      <c r="W15" s="8">
        <f>T15/V15</f>
        <v>8.5591160220994471</v>
      </c>
      <c r="X15" s="20">
        <v>0</v>
      </c>
      <c r="Y15" s="21">
        <f>9+2/7</f>
        <v>9.2857142857142865</v>
      </c>
      <c r="Z15" s="20">
        <v>5</v>
      </c>
      <c r="AA15" s="21">
        <f>13+1.33/7</f>
        <v>13.19</v>
      </c>
      <c r="AB15" s="20">
        <f>4.5+0.25+0.25</f>
        <v>5</v>
      </c>
      <c r="AC15" s="21">
        <f>4.28+0.34+0.33+0.33+0.33*85/90+0.33+0.33+0.25+0.25+0.25+0.2+0.2+0.2+0.2</f>
        <v>7.8016666666666676</v>
      </c>
      <c r="AD15" s="20">
        <v>3</v>
      </c>
      <c r="AE15" s="9">
        <f>PLANNING!V15</f>
        <v>107.88</v>
      </c>
      <c r="AF15" s="9">
        <v>1975</v>
      </c>
      <c r="AG15" s="22">
        <f ca="1">(AD15+1+(LOG(I15)*4/3)+N15)*(Q15/7)^0.5</f>
        <v>4.9042160246727713</v>
      </c>
      <c r="AH15" s="22">
        <f ca="1">(AD15+1+N15+(LOG(I15)*4/3))*(IF(Q15=7, (Q15/7)^0.5, ((Q15+1)/7)^0.5))</f>
        <v>5.3722994871831782</v>
      </c>
      <c r="AI15" s="22">
        <f ca="1">(Z15+N15+(LOG(I15)*4/3))</f>
        <v>6.8027466551039497</v>
      </c>
      <c r="AJ15" s="115">
        <f ca="1">(Z15+N15+(LOG(I15)*4/3))*(Q15/7)^0.5</f>
        <v>5.7493702794012878</v>
      </c>
      <c r="AK15" s="115">
        <f ca="1">(Z15+N15+(LOG(I15)*4/3))*(IF(Q15=7, (Q15/7)^0.5, ((Q15+1)/7)^0.5))</f>
        <v>6.2981195869557292</v>
      </c>
      <c r="AL15" s="8">
        <f ca="1">(((Y15+LOG(I15)*4/3+N15)+(AB15+LOG(I15)*4/3+N15)*2)/8)*(Q15/7)^0.5</f>
        <v>2.6087750626657598</v>
      </c>
      <c r="AM15" s="8">
        <f ca="1">(AD15+LOG(I15)*4/3+N15)*0.7+(AC15+LOG(I15)*4/3+N15)*0.3</f>
        <v>6.2432466551039498</v>
      </c>
      <c r="AN15" s="8">
        <f ca="1">(0.5*(AC15+LOG(I15)*4/3+N15)+ 0.3*(AD15+LOG(I15)*4/3+N15))/10</f>
        <v>0.6243030657416494</v>
      </c>
      <c r="AO15" s="8">
        <f ca="1">(0.4*(Y15+LOG(I15)*4/3+N15)+0.3*(AD15+LOG(I15)*4/3+N15))/10</f>
        <v>0.58762083728584791</v>
      </c>
      <c r="AP15" s="124">
        <f>IF(AR15=4,IF(AS15=0,0.137+0.0697,0.137+0.02),IF(AR15=3,IF(AS15=0,0.0958+0.0697,0.0958+0.02),IF(AR15=2,IF(AS15=0,0.0415+0.0697,0.0415+0.02),IF(AR15=1,IF(AS15=0,0.0294+0.0697,0.0294+0.02),IF(AR15=0,IF(AS15=0,0.0063+0.0697,0.0063+0.02))))))</f>
        <v>6.1499999999999999E-2</v>
      </c>
      <c r="AQ15" s="19">
        <v>2</v>
      </c>
      <c r="AR15" s="19">
        <v>2</v>
      </c>
      <c r="AS15" s="19">
        <v>1</v>
      </c>
      <c r="AT15" s="27">
        <v>75210</v>
      </c>
    </row>
    <row r="16" spans="1:46" x14ac:dyDescent="0.25">
      <c r="A16" s="15" t="s">
        <v>39</v>
      </c>
      <c r="B16" s="15" t="s">
        <v>93</v>
      </c>
      <c r="C16" s="116">
        <f t="shared" ca="1" si="10"/>
        <v>3.9464285714285716</v>
      </c>
      <c r="D16" s="203" t="s">
        <v>446</v>
      </c>
      <c r="E16" s="16">
        <v>30</v>
      </c>
      <c r="F16" s="2">
        <f ca="1">$D$2-$D$1-880+25-112-112-60-112-112</f>
        <v>6</v>
      </c>
      <c r="G16" s="17" t="s">
        <v>175</v>
      </c>
      <c r="H16" s="4">
        <v>1</v>
      </c>
      <c r="I16" s="26">
        <v>7</v>
      </c>
      <c r="J16" s="21">
        <f t="shared" ref="J16:J21" si="66">LOG(I16)*4/3</f>
        <v>1.1267973866856758</v>
      </c>
      <c r="K16" s="6">
        <f t="shared" ref="K16:K17" si="67">(H16)*(H16)*(I16)</f>
        <v>7</v>
      </c>
      <c r="L16" s="6">
        <f t="shared" ref="L16:L17" si="68">(H16+1)*(H16+1)*I16</f>
        <v>28</v>
      </c>
      <c r="M16" s="125">
        <v>43409</v>
      </c>
      <c r="N16" s="126">
        <f t="shared" ca="1" si="50"/>
        <v>0.78022734029733887</v>
      </c>
      <c r="O16" s="18">
        <v>5.8</v>
      </c>
      <c r="P16" s="19">
        <f t="shared" ref="P16:P21" si="69">O16*10+19</f>
        <v>77</v>
      </c>
      <c r="Q16" s="25">
        <v>5</v>
      </c>
      <c r="R16" s="110">
        <f t="shared" ref="R16:R21" si="70">(Q16/7)^0.5</f>
        <v>0.84515425472851657</v>
      </c>
      <c r="S16" s="110">
        <f t="shared" ref="S16:S21" si="71">IF(Q16=7,1,((Q16+0.99)/7)^0.5)</f>
        <v>0.92504826128926143</v>
      </c>
      <c r="T16" s="27">
        <v>65380</v>
      </c>
      <c r="U16" s="27">
        <f t="shared" ref="U16:U21" si="72">T16-AT16</f>
        <v>-5290</v>
      </c>
      <c r="V16" s="27">
        <v>17100</v>
      </c>
      <c r="W16" s="8">
        <f t="shared" ref="W16:W21" si="73">T16/V16</f>
        <v>3.8233918128654971</v>
      </c>
      <c r="X16" s="20">
        <v>0</v>
      </c>
      <c r="Y16" s="21">
        <v>9</v>
      </c>
      <c r="Z16" s="20">
        <v>13</v>
      </c>
      <c r="AA16" s="21">
        <v>6</v>
      </c>
      <c r="AB16" s="20">
        <v>7</v>
      </c>
      <c r="AC16" s="21">
        <v>7</v>
      </c>
      <c r="AD16" s="20">
        <v>17</v>
      </c>
      <c r="AE16" s="9">
        <f>30+58+8.5+14+16+25</f>
        <v>151.5</v>
      </c>
      <c r="AF16" s="9"/>
      <c r="AG16" s="22">
        <f t="shared" ref="AG16:AG17" ca="1" si="74">(AD16+1+(LOG(I16)*4/3)+N16)*(Q16/7)^0.5</f>
        <v>16.824506646995484</v>
      </c>
      <c r="AH16" s="22">
        <f t="shared" ref="AH16:AH17" ca="1" si="75">(AD16+1+N16+(LOG(I16)*4/3))*(IF(Q16=7, (Q16/7)^0.5, ((Q16+1)/7)^0.5))</f>
        <v>18.430323618910066</v>
      </c>
      <c r="AI16" s="22">
        <f t="shared" ref="AI16:AI17" ca="1" si="76">(Z16+N16+(LOG(I16)*4/3))</f>
        <v>14.907024726983014</v>
      </c>
      <c r="AJ16" s="115">
        <f t="shared" ref="AJ16:AJ17" ca="1" si="77">(Z16+N16+(LOG(I16)*4/3))*(Q16/7)^0.5</f>
        <v>12.598735373352898</v>
      </c>
      <c r="AK16" s="115">
        <f t="shared" ref="AK16:AK17" ca="1" si="78">(Z16+N16+(LOG(I16)*4/3))*(IF(Q16=7, (Q16/7)^0.5, ((Q16+1)/7)^0.5))</f>
        <v>13.801223120047306</v>
      </c>
      <c r="AL16" s="8">
        <f t="shared" ref="AL16:AL17" ca="1" si="79">(((Y16+LOG(I16)*4/3+N16)+(AB16+LOG(I16)*4/3+N16)*2)/8)*(Q16/7)^0.5</f>
        <v>3.0342172555503035</v>
      </c>
      <c r="AM16" s="8">
        <f t="shared" ref="AM16:AM17" ca="1" si="80">(AD16+LOG(I16)*4/3+N16)*0.7+(AC16+LOG(I16)*4/3+N16)*0.3</f>
        <v>15.907024726983014</v>
      </c>
      <c r="AN16" s="8">
        <f t="shared" ref="AN16:AN17" ca="1" si="81">(0.5*(AC16+LOG(I16)*4/3+N16)+ 0.3*(AD16+LOG(I16)*4/3+N16))/10</f>
        <v>1.0125619781586412</v>
      </c>
      <c r="AO16" s="8">
        <f t="shared" ref="AO16:AO17" ca="1" si="82">(0.4*(Y16+LOG(I16)*4/3+N16)+0.3*(AD16+LOG(I16)*4/3+N16))/10</f>
        <v>1.0034917308888112</v>
      </c>
      <c r="AP16" s="124">
        <f t="shared" ref="AP16:AP17" si="83">IF(AR16=4,IF(AS16=0,0.137+0.0697,0.137+0.02),IF(AR16=3,IF(AS16=0,0.0958+0.0697,0.0958+0.02),IF(AR16=2,IF(AS16=0,0.0415+0.0697,0.0415+0.02),IF(AR16=1,IF(AS16=0,0.0294+0.0697,0.0294+0.02),IF(AR16=0,IF(AS16=0,0.0063+0.0697,0.0063+0.02))))))</f>
        <v>6.1499999999999999E-2</v>
      </c>
      <c r="AQ16" s="19">
        <v>1</v>
      </c>
      <c r="AR16" s="19">
        <v>2</v>
      </c>
      <c r="AS16" s="19">
        <v>2</v>
      </c>
      <c r="AT16" s="27">
        <v>70670</v>
      </c>
    </row>
    <row r="17" spans="1:46" x14ac:dyDescent="0.25">
      <c r="A17" s="15" t="s">
        <v>317</v>
      </c>
      <c r="B17" s="23" t="s">
        <v>93</v>
      </c>
      <c r="C17" s="116">
        <f t="shared" ca="1" si="10"/>
        <v>2.9017857142857144</v>
      </c>
      <c r="D17" s="204" t="s">
        <v>432</v>
      </c>
      <c r="E17" s="1">
        <v>31</v>
      </c>
      <c r="F17" s="2">
        <f ca="1">$D$2-$D$1-880+25-112-112-55-112-112</f>
        <v>11</v>
      </c>
      <c r="G17" s="3" t="s">
        <v>269</v>
      </c>
      <c r="H17" s="187">
        <v>5</v>
      </c>
      <c r="I17" s="5">
        <v>4.8</v>
      </c>
      <c r="J17" s="21">
        <f t="shared" si="66"/>
        <v>0.90832164983411623</v>
      </c>
      <c r="K17" s="6">
        <f t="shared" si="67"/>
        <v>120</v>
      </c>
      <c r="L17" s="6">
        <f t="shared" si="68"/>
        <v>172.79999999999998</v>
      </c>
      <c r="M17" s="125">
        <v>43415</v>
      </c>
      <c r="N17" s="126">
        <f t="shared" ca="1" si="50"/>
        <v>0.76702366970655766</v>
      </c>
      <c r="O17" s="24">
        <v>5.6</v>
      </c>
      <c r="P17" s="19">
        <f t="shared" si="69"/>
        <v>75</v>
      </c>
      <c r="Q17" s="25">
        <v>5</v>
      </c>
      <c r="R17" s="110">
        <f t="shared" si="70"/>
        <v>0.84515425472851657</v>
      </c>
      <c r="S17" s="110">
        <f t="shared" si="71"/>
        <v>0.92504826128926143</v>
      </c>
      <c r="T17" s="27">
        <v>11730</v>
      </c>
      <c r="U17" s="27">
        <f t="shared" si="72"/>
        <v>680</v>
      </c>
      <c r="V17" s="7">
        <v>5892</v>
      </c>
      <c r="W17" s="8">
        <f t="shared" si="73"/>
        <v>1.9908350305498981</v>
      </c>
      <c r="X17" s="20">
        <v>0</v>
      </c>
      <c r="Y17" s="21">
        <v>5</v>
      </c>
      <c r="Z17" s="20">
        <v>11</v>
      </c>
      <c r="AA17" s="21">
        <v>2</v>
      </c>
      <c r="AB17" s="20">
        <v>4</v>
      </c>
      <c r="AC17" s="21">
        <v>5</v>
      </c>
      <c r="AD17" s="20">
        <v>12</v>
      </c>
      <c r="AE17" s="9">
        <f>10+40+4+8+12</f>
        <v>74</v>
      </c>
      <c r="AF17" s="9"/>
      <c r="AG17" s="22">
        <f t="shared" ca="1" si="74"/>
        <v>12.402930536420021</v>
      </c>
      <c r="AH17" s="22">
        <f t="shared" ca="1" si="75"/>
        <v>13.586729667933792</v>
      </c>
      <c r="AI17" s="22">
        <f t="shared" ca="1" si="76"/>
        <v>12.675345319540673</v>
      </c>
      <c r="AJ17" s="115">
        <f t="shared" ca="1" si="77"/>
        <v>10.712622026962988</v>
      </c>
      <c r="AK17" s="115">
        <f t="shared" ca="1" si="78"/>
        <v>11.735089468388688</v>
      </c>
      <c r="AL17" s="8">
        <f t="shared" ca="1" si="79"/>
        <v>1.9043476232898293</v>
      </c>
      <c r="AM17" s="8">
        <f t="shared" ca="1" si="80"/>
        <v>11.575345319540673</v>
      </c>
      <c r="AN17" s="8">
        <f t="shared" ca="1" si="81"/>
        <v>0.74402762556325386</v>
      </c>
      <c r="AO17" s="8">
        <f t="shared" ca="1" si="82"/>
        <v>0.67727417236784715</v>
      </c>
      <c r="AP17" s="124">
        <f t="shared" si="83"/>
        <v>4.9399999999999999E-2</v>
      </c>
      <c r="AQ17" s="19">
        <v>2</v>
      </c>
      <c r="AR17" s="19">
        <v>1</v>
      </c>
      <c r="AS17" s="19">
        <v>1</v>
      </c>
      <c r="AT17" s="27">
        <v>11050</v>
      </c>
    </row>
    <row r="18" spans="1:46" x14ac:dyDescent="0.25">
      <c r="A18" s="15" t="s">
        <v>266</v>
      </c>
      <c r="B18" s="15" t="s">
        <v>93</v>
      </c>
      <c r="C18" s="116">
        <f t="shared" ca="1" si="10"/>
        <v>11.303571428571429</v>
      </c>
      <c r="D18" s="203" t="s">
        <v>268</v>
      </c>
      <c r="E18" s="16">
        <v>22</v>
      </c>
      <c r="F18" s="2">
        <f ca="1">$D$2-$D$1-880+37-112-112-112-112</f>
        <v>78</v>
      </c>
      <c r="G18" s="17" t="s">
        <v>269</v>
      </c>
      <c r="H18" s="4">
        <v>3</v>
      </c>
      <c r="I18" s="26">
        <v>2.5</v>
      </c>
      <c r="J18" s="21">
        <f>LOG(I18)*4/3</f>
        <v>0.53058667822938343</v>
      </c>
      <c r="K18" s="6">
        <f>(H18)*(H18)*(I18)</f>
        <v>22.5</v>
      </c>
      <c r="L18" s="6">
        <f>(H18+1)*(H18+1)*I18</f>
        <v>40</v>
      </c>
      <c r="M18" s="125">
        <v>43045</v>
      </c>
      <c r="N18" s="126">
        <f ca="1">IF((TODAY()-M18)&gt;335,1,((TODAY()-M18)^0.64)/(336^0.64))</f>
        <v>1</v>
      </c>
      <c r="O18" s="18">
        <v>5.0999999999999996</v>
      </c>
      <c r="P18" s="19">
        <f>O18*10+19</f>
        <v>70</v>
      </c>
      <c r="Q18" s="19">
        <v>5</v>
      </c>
      <c r="R18" s="110">
        <f>(Q18/7)^0.5</f>
        <v>0.84515425472851657</v>
      </c>
      <c r="S18" s="110">
        <f>IF(Q18=7,1,((Q18+0.99)/7)^0.5)</f>
        <v>0.92504826128926143</v>
      </c>
      <c r="T18" s="27">
        <v>3860</v>
      </c>
      <c r="U18" s="27">
        <f>T18-AT18</f>
        <v>10</v>
      </c>
      <c r="V18" s="27">
        <v>450</v>
      </c>
      <c r="W18" s="8">
        <f>T18/V18</f>
        <v>8.5777777777777775</v>
      </c>
      <c r="X18" s="20">
        <v>0</v>
      </c>
      <c r="Y18" s="21">
        <v>4</v>
      </c>
      <c r="Z18" s="20">
        <v>6</v>
      </c>
      <c r="AA18" s="21">
        <v>6</v>
      </c>
      <c r="AB18" s="20">
        <f>3.25+0.25+0.25+0.25+0.25</f>
        <v>4.25</v>
      </c>
      <c r="AC18" s="21">
        <f>4.22+0.33+0.33+1/17+1/17+1/17*79/90+0.33*11/90+1/17+1/17+1/17+1/17+1/17+1/17+1/17+1/17+1/17</f>
        <v>5.6190261437908475</v>
      </c>
      <c r="AD18" s="20">
        <v>3</v>
      </c>
      <c r="AE18" s="9">
        <f>6+12+8.5+6+9+1</f>
        <v>42.5</v>
      </c>
      <c r="AF18" s="9"/>
      <c r="AG18" s="22">
        <f ca="1">(AD18+1+(LOG(I18)*4/3)+N18)*(Q18/7)^0.5</f>
        <v>4.6741988622504165</v>
      </c>
      <c r="AH18" s="22">
        <f ca="1">(AD18+1+N18+(LOG(I18)*4/3))*(IF(Q18=7, (Q18/7)^0.5, ((Q18+1)/7)^0.5))</f>
        <v>5.1203283102390715</v>
      </c>
      <c r="AI18" s="22">
        <f ca="1">(Z18+N18+(LOG(I18)*4/3))</f>
        <v>7.5305866782293833</v>
      </c>
      <c r="AJ18" s="115">
        <f ca="1">(Z18+N18+(LOG(I18)*4/3))*(Q18/7)^0.5</f>
        <v>6.3645073717074494</v>
      </c>
      <c r="AK18" s="115">
        <f ca="1">(Z18+N18+(LOG(I18)*4/3))*(IF(Q18=7, (Q18/7)^0.5, ((Q18+1)/7)^0.5))</f>
        <v>6.9719685097841744</v>
      </c>
      <c r="AL18" s="8">
        <f ca="1">(((Y18+LOG(I18)*4/3+N18)+(AB18+LOG(I18)*4/3+N18)*2)/8)*(Q18/7)^0.5</f>
        <v>1.8056467142644386</v>
      </c>
      <c r="AM18" s="8">
        <f ca="1">(AD18+LOG(I18)*4/3+N18)*0.7+(AC18+LOG(I18)*4/3+N18)*0.3</f>
        <v>5.3162945213666379</v>
      </c>
      <c r="AN18" s="8">
        <f ca="1">(0.5*(AC18+LOG(I18)*4/3+N18)+ 0.3*(AD18+LOG(I18)*4/3+N18))/10</f>
        <v>0.49339824144789307</v>
      </c>
      <c r="AO18" s="8">
        <f ca="1">(0.4*(Y18+LOG(I18)*4/3+N18)+0.3*(AD18+LOG(I18)*4/3+N18))/10</f>
        <v>0.35714106747605684</v>
      </c>
      <c r="AP18" s="124">
        <f>IF(AR18=4,IF(AS18=0,0.137+0.0697,0.137+0.02),IF(AR18=3,IF(AS18=0,0.0958+0.0697,0.0958+0.02),IF(AR18=2,IF(AS18=0,0.0415+0.0697,0.0415+0.02),IF(AR18=1,IF(AS18=0,0.0294+0.0697,0.0294+0.02),IF(AR18=0,IF(AS18=0,0.0063+0.0697,0.0063+0.02))))))</f>
        <v>0.1158</v>
      </c>
      <c r="AQ18" s="19">
        <v>2</v>
      </c>
      <c r="AR18" s="19">
        <v>3</v>
      </c>
      <c r="AS18" s="19">
        <v>2</v>
      </c>
      <c r="AT18" s="27">
        <v>3850</v>
      </c>
    </row>
    <row r="19" spans="1:46" x14ac:dyDescent="0.25">
      <c r="A19" s="15" t="s">
        <v>417</v>
      </c>
      <c r="B19" s="15" t="s">
        <v>43</v>
      </c>
      <c r="C19" s="116">
        <f t="shared" ca="1" si="10"/>
        <v>2.9732142857142856</v>
      </c>
      <c r="D19" s="203" t="s">
        <v>439</v>
      </c>
      <c r="E19" s="16">
        <v>31</v>
      </c>
      <c r="F19" s="2">
        <f ca="1">$D$2-$D$1-880+25-112-3-112-60-112-112</f>
        <v>3</v>
      </c>
      <c r="G19" s="17" t="s">
        <v>44</v>
      </c>
      <c r="H19" s="4">
        <v>2</v>
      </c>
      <c r="I19" s="26">
        <v>6.6</v>
      </c>
      <c r="J19" s="21">
        <f>LOG(I19)*4/3</f>
        <v>1.0927252473891582</v>
      </c>
      <c r="K19" s="6">
        <f>(H19)*(H19)*(I19)</f>
        <v>26.4</v>
      </c>
      <c r="L19" s="6">
        <f>(H19+1)*(H19+1)*I19</f>
        <v>59.4</v>
      </c>
      <c r="M19" s="125">
        <v>43420</v>
      </c>
      <c r="N19" s="126">
        <f ca="1">IF((TODAY()-M19)&gt;335,1,((TODAY()-M19)^0.64)/(336^0.64))</f>
        <v>0.75592218642406095</v>
      </c>
      <c r="O19" s="18">
        <v>5.4</v>
      </c>
      <c r="P19" s="19">
        <f>O19*10+19</f>
        <v>73</v>
      </c>
      <c r="Q19" s="25">
        <v>4</v>
      </c>
      <c r="R19" s="110">
        <f>(Q19/7)^0.5</f>
        <v>0.7559289460184544</v>
      </c>
      <c r="S19" s="110">
        <f>IF(Q19=7,1,((Q19+0.99)/7)^0.5)</f>
        <v>0.84430867747355465</v>
      </c>
      <c r="T19" s="27">
        <v>7740</v>
      </c>
      <c r="U19" s="27">
        <f>T19-AT19</f>
        <v>-2770</v>
      </c>
      <c r="V19" s="27">
        <v>3072</v>
      </c>
      <c r="W19" s="8">
        <f>T19/V19</f>
        <v>2.51953125</v>
      </c>
      <c r="X19" s="20">
        <v>0</v>
      </c>
      <c r="Y19" s="21">
        <v>5</v>
      </c>
      <c r="Z19" s="20">
        <v>2</v>
      </c>
      <c r="AA19" s="21">
        <v>4</v>
      </c>
      <c r="AB19" s="20">
        <v>7</v>
      </c>
      <c r="AC19" s="21">
        <v>10</v>
      </c>
      <c r="AD19" s="20">
        <v>14</v>
      </c>
      <c r="AE19" s="9">
        <f>10+3.5+14+33+16</f>
        <v>76.5</v>
      </c>
      <c r="AF19" s="9"/>
      <c r="AG19" s="22">
        <f ca="1">(AD19+1+(LOG(I19)*4/3)+N19)*(Q19/7)^0.5</f>
        <v>12.736380296478963</v>
      </c>
      <c r="AH19" s="22">
        <f ca="1">(AD19+1+N19+(LOG(I19)*4/3))*(IF(Q19=7, (Q19/7)^0.5, ((Q19+1)/7)^0.5))</f>
        <v>14.239706065107946</v>
      </c>
      <c r="AI19" s="22">
        <f ca="1">(Z19+N19+(LOG(I19)*4/3))</f>
        <v>3.8486474338132193</v>
      </c>
      <c r="AJ19" s="115">
        <f ca="1">(Z19+N19+(LOG(I19)*4/3))*(Q19/7)^0.5</f>
        <v>2.9093039982390563</v>
      </c>
      <c r="AK19" s="115">
        <f ca="1">(Z19+N19+(LOG(I19)*4/3))*(IF(Q19=7, (Q19/7)^0.5, ((Q19+1)/7)^0.5))</f>
        <v>3.252700753637229</v>
      </c>
      <c r="AL19" s="8">
        <f ca="1">(((Y19+LOG(I19)*4/3+N19)+(AB19+LOG(I19)*4/3+N19)*2)/8)*(Q19/7)^0.5</f>
        <v>2.3193735366196342</v>
      </c>
      <c r="AM19" s="8">
        <f ca="1">(AD19+LOG(I19)*4/3+N19)*0.7+(AC19+LOG(I19)*4/3+N19)*0.3</f>
        <v>14.648647433813219</v>
      </c>
      <c r="AN19" s="8">
        <f ca="1">(0.5*(AC19+LOG(I19)*4/3+N19)+ 0.3*(AD19+LOG(I19)*4/3+N19))/10</f>
        <v>1.0678917947050575</v>
      </c>
      <c r="AO19" s="8">
        <f ca="1">(0.4*(Y19+LOG(I19)*4/3+N19)+0.3*(AD19+LOG(I19)*4/3+N19))/10</f>
        <v>0.74940532036692531</v>
      </c>
      <c r="AP19" s="124">
        <f>IF(AR19=4,IF(AS19=0,0.137+0.0697,0.137+0.02),IF(AR19=3,IF(AS19=0,0.0958+0.0697,0.0958+0.02),IF(AR19=2,IF(AS19=0,0.0415+0.0697,0.0415+0.02),IF(AR19=1,IF(AS19=0,0.0294+0.0697,0.0294+0.02),IF(AR19=0,IF(AS19=0,0.0063+0.0697,0.0063+0.02))))))</f>
        <v>4.9399999999999999E-2</v>
      </c>
      <c r="AQ19" s="19">
        <v>2</v>
      </c>
      <c r="AR19" s="19">
        <v>1</v>
      </c>
      <c r="AS19" s="19">
        <v>1</v>
      </c>
      <c r="AT19" s="27">
        <v>10510</v>
      </c>
    </row>
    <row r="20" spans="1:46" x14ac:dyDescent="0.25">
      <c r="A20" s="15" t="s">
        <v>424</v>
      </c>
      <c r="B20" s="15" t="s">
        <v>43</v>
      </c>
      <c r="C20" s="116">
        <f t="shared" ca="1" si="10"/>
        <v>2.6339285714285716</v>
      </c>
      <c r="D20" s="203" t="s">
        <v>433</v>
      </c>
      <c r="E20" s="16">
        <v>31</v>
      </c>
      <c r="F20" s="2">
        <f ca="1">$D$2-$D$1-880+56-112-112+41-112+15-112-112</f>
        <v>41</v>
      </c>
      <c r="G20" s="17" t="s">
        <v>269</v>
      </c>
      <c r="H20" s="4">
        <v>4</v>
      </c>
      <c r="I20" s="26">
        <v>6.3</v>
      </c>
      <c r="J20" s="21">
        <f>LOG(I20)*4/3</f>
        <v>1.0657873992714422</v>
      </c>
      <c r="K20" s="6">
        <f>(H20)*(H20)*(I20)</f>
        <v>100.8</v>
      </c>
      <c r="L20" s="6">
        <f>(H20+1)*(H20+1)*I20</f>
        <v>157.5</v>
      </c>
      <c r="M20" s="125">
        <v>43417</v>
      </c>
      <c r="N20" s="126">
        <f ca="1">IF((TODAY()-M20)&gt;335,1,((TODAY()-M20)^0.64)/(336^0.64))</f>
        <v>0.76259398985696591</v>
      </c>
      <c r="O20" s="18">
        <v>5.3</v>
      </c>
      <c r="P20" s="19">
        <f>O20*10+19</f>
        <v>72</v>
      </c>
      <c r="Q20" s="19">
        <v>7</v>
      </c>
      <c r="R20" s="110">
        <f>(Q20/7)^0.5</f>
        <v>1</v>
      </c>
      <c r="S20" s="110">
        <f>IF(Q20=7,1,((Q20+0.99)/7)^0.5)</f>
        <v>1</v>
      </c>
      <c r="T20" s="27">
        <v>12750</v>
      </c>
      <c r="U20" s="27">
        <f>T20-AT20</f>
        <v>40</v>
      </c>
      <c r="V20" s="27">
        <v>2124</v>
      </c>
      <c r="W20" s="8">
        <f>T20/V20</f>
        <v>6.0028248587570623</v>
      </c>
      <c r="X20" s="20">
        <v>0</v>
      </c>
      <c r="Y20" s="21">
        <v>6</v>
      </c>
      <c r="Z20" s="20">
        <v>2</v>
      </c>
      <c r="AA20" s="21">
        <v>6</v>
      </c>
      <c r="AB20" s="20">
        <v>9</v>
      </c>
      <c r="AC20" s="21">
        <v>9</v>
      </c>
      <c r="AD20" s="20">
        <v>13</v>
      </c>
      <c r="AE20" s="9">
        <f>14+8.5+23+27+14</f>
        <v>86.5</v>
      </c>
      <c r="AF20" s="9"/>
      <c r="AG20" s="22">
        <f ca="1">(AD20+1+(LOG(I20)*4/3)+N20)*(Q20/7)^0.5</f>
        <v>15.828381389128408</v>
      </c>
      <c r="AH20" s="22">
        <f ca="1">(AD20+1+N20+(LOG(I20)*4/3))*(IF(Q20=7, (Q20/7)^0.5, ((Q20+1)/7)^0.5))</f>
        <v>15.828381389128408</v>
      </c>
      <c r="AI20" s="22">
        <f ca="1">(Z20+N20+(LOG(I20)*4/3))</f>
        <v>3.828381389128408</v>
      </c>
      <c r="AJ20" s="115">
        <f ca="1">(Z20+N20+(LOG(I20)*4/3))*(Q20/7)^0.5</f>
        <v>3.828381389128408</v>
      </c>
      <c r="AK20" s="115">
        <f ca="1">(Z20+N20+(LOG(I20)*4/3))*(IF(Q20=7, (Q20/7)^0.5, ((Q20+1)/7)^0.5))</f>
        <v>3.828381389128408</v>
      </c>
      <c r="AL20" s="8">
        <f ca="1">(((Y20+LOG(I20)*4/3+N20)+(AB20+LOG(I20)*4/3+N20)*2)/8)*(Q20/7)^0.5</f>
        <v>3.6856430209231528</v>
      </c>
      <c r="AM20" s="8">
        <f ca="1">(AD20+LOG(I20)*4/3+N20)*0.7+(AC20+LOG(I20)*4/3+N20)*0.3</f>
        <v>13.628381389128409</v>
      </c>
      <c r="AN20" s="8">
        <f ca="1">(0.5*(AC20+LOG(I20)*4/3+N20)+ 0.3*(AD20+LOG(I20)*4/3+N20))/10</f>
        <v>0.98627051113027275</v>
      </c>
      <c r="AO20" s="8">
        <f ca="1">(0.4*(Y20+LOG(I20)*4/3+N20)+0.3*(AD20+LOG(I20)*4/3+N20))/10</f>
        <v>0.75798669723898848</v>
      </c>
      <c r="AP20" s="124">
        <f>IF(AR20=4,IF(AS20=0,0.137+0.0697,0.137+0.02),IF(AR20=3,IF(AS20=0,0.0958+0.0697,0.0958+0.02),IF(AR20=2,IF(AS20=0,0.0415+0.0697,0.0415+0.02),IF(AR20=1,IF(AS20=0,0.0294+0.0697,0.0294+0.02),IF(AR20=0,IF(AS20=0,0.0063+0.0697,0.0063+0.02))))))</f>
        <v>0.1158</v>
      </c>
      <c r="AQ20" s="19">
        <v>2</v>
      </c>
      <c r="AR20" s="19">
        <v>3</v>
      </c>
      <c r="AS20" s="19">
        <v>2</v>
      </c>
      <c r="AT20" s="27">
        <v>12710</v>
      </c>
    </row>
    <row r="21" spans="1:46" x14ac:dyDescent="0.25">
      <c r="A21" s="15" t="s">
        <v>429</v>
      </c>
      <c r="B21" s="15" t="s">
        <v>43</v>
      </c>
      <c r="C21" s="116">
        <f t="shared" ca="1" si="10"/>
        <v>3.8571428571428572</v>
      </c>
      <c r="D21" s="203" t="s">
        <v>447</v>
      </c>
      <c r="E21" s="16">
        <v>30</v>
      </c>
      <c r="F21" s="2">
        <f ca="1">$D$2-$D$1-1100+25-112-166</f>
        <v>16</v>
      </c>
      <c r="G21" s="17" t="s">
        <v>0</v>
      </c>
      <c r="H21" s="4">
        <v>3</v>
      </c>
      <c r="I21" s="26">
        <v>5.9</v>
      </c>
      <c r="J21" s="21">
        <f t="shared" si="66"/>
        <v>1.0278026821895256</v>
      </c>
      <c r="K21" s="6">
        <f t="shared" ref="K21" si="84">(H21)*(H21)*(I21)</f>
        <v>53.1</v>
      </c>
      <c r="L21" s="6">
        <f t="shared" ref="L21" si="85">(H21+1)*(H21+1)*I21</f>
        <v>94.4</v>
      </c>
      <c r="M21" s="125">
        <v>43417</v>
      </c>
      <c r="N21" s="126">
        <f ca="1">IF((TODAY()-M21)&gt;335,1,((TODAY()-M21)^0.64)/(336^0.64))</f>
        <v>0.76259398985696591</v>
      </c>
      <c r="O21" s="18">
        <v>4.9000000000000004</v>
      </c>
      <c r="P21" s="19">
        <f t="shared" si="69"/>
        <v>68</v>
      </c>
      <c r="Q21" s="25">
        <v>6</v>
      </c>
      <c r="R21" s="110">
        <f t="shared" si="70"/>
        <v>0.92582009977255142</v>
      </c>
      <c r="S21" s="110">
        <f t="shared" si="71"/>
        <v>0.99928545900129484</v>
      </c>
      <c r="T21" s="27">
        <v>39490</v>
      </c>
      <c r="U21" s="27">
        <f t="shared" si="72"/>
        <v>560</v>
      </c>
      <c r="V21" s="27">
        <v>8436</v>
      </c>
      <c r="W21" s="8">
        <f t="shared" si="73"/>
        <v>4.6811284969179709</v>
      </c>
      <c r="X21" s="20">
        <v>0</v>
      </c>
      <c r="Y21" s="21">
        <v>5</v>
      </c>
      <c r="Z21" s="20">
        <v>6</v>
      </c>
      <c r="AA21" s="21">
        <v>5</v>
      </c>
      <c r="AB21" s="20">
        <v>9</v>
      </c>
      <c r="AC21" s="21">
        <v>12</v>
      </c>
      <c r="AD21" s="20">
        <v>0</v>
      </c>
      <c r="AE21" s="9">
        <f>10+12+5.5+23+49</f>
        <v>99.5</v>
      </c>
      <c r="AF21" s="9"/>
      <c r="AG21" s="22">
        <f t="shared" ref="AG21" ca="1" si="86">(AD21+1+(LOG(I21)*4/3)+N21)*(Q21/7)^0.5</f>
        <v>2.5834053253190783</v>
      </c>
      <c r="AH21" s="22">
        <f t="shared" ref="AH21" ca="1" si="87">(AD21+1+N21+(LOG(I21)*4/3))*(IF(Q21=7, (Q21/7)^0.5, ((Q21+1)/7)^0.5))</f>
        <v>2.7903966720464917</v>
      </c>
      <c r="AI21" s="22">
        <f t="shared" ref="AI21" ca="1" si="88">(Z21+N21+(LOG(I21)*4/3))</f>
        <v>7.7903966720464917</v>
      </c>
      <c r="AJ21" s="115">
        <f t="shared" ref="AJ21" ca="1" si="89">(Z21+N21+(LOG(I21)*4/3))*(Q21/7)^0.5</f>
        <v>7.2125058241818358</v>
      </c>
      <c r="AK21" s="115">
        <f t="shared" ref="AK21" ca="1" si="90">(Z21+N21+(LOG(I21)*4/3))*(IF(Q21=7, (Q21/7)^0.5, ((Q21+1)/7)^0.5))</f>
        <v>7.7903966720464917</v>
      </c>
      <c r="AL21" s="8">
        <f t="shared" ref="AL21" ca="1" si="91">(((Y21+LOG(I21)*4/3+N21)+(AB21+LOG(I21)*4/3+N21)*2)/8)*(Q21/7)^0.5</f>
        <v>3.2833272464260328</v>
      </c>
      <c r="AM21" s="8">
        <f t="shared" ref="AM21" ca="1" si="92">(AD21+LOG(I21)*4/3+N21)*0.7+(AC21+LOG(I21)*4/3+N21)*0.3</f>
        <v>5.3903966720464913</v>
      </c>
      <c r="AN21" s="8">
        <f t="shared" ref="AN21" ca="1" si="93">(0.5*(AC21+LOG(I21)*4/3+N21)+ 0.3*(AD21+LOG(I21)*4/3+N21))/10</f>
        <v>0.74323173376371932</v>
      </c>
      <c r="AO21" s="8">
        <f t="shared" ref="AO21" ca="1" si="94">(0.4*(Y21+LOG(I21)*4/3+N21)+0.3*(AD21+LOG(I21)*4/3+N21))/10</f>
        <v>0.32532776704325445</v>
      </c>
      <c r="AP21" s="124">
        <f t="shared" ref="AP21" si="95">IF(AR21=4,IF(AS21=0,0.137+0.0697,0.137+0.02),IF(AR21=3,IF(AS21=0,0.0958+0.0697,0.0958+0.02),IF(AR21=2,IF(AS21=0,0.0415+0.0697,0.0415+0.02),IF(AR21=1,IF(AS21=0,0.0294+0.0697,0.0294+0.02),IF(AR21=0,IF(AS21=0,0.0063+0.0697,0.0063+0.02))))))</f>
        <v>0.1158</v>
      </c>
      <c r="AQ21" s="19">
        <v>3</v>
      </c>
      <c r="AR21" s="19">
        <v>3</v>
      </c>
      <c r="AS21" s="19">
        <v>2</v>
      </c>
      <c r="AT21" s="27">
        <v>38930</v>
      </c>
    </row>
    <row r="22" spans="1:46" x14ac:dyDescent="0.25">
      <c r="V22" s="66"/>
    </row>
    <row r="24" spans="1:46" x14ac:dyDescent="0.25">
      <c r="T24" s="66"/>
      <c r="V24" s="66"/>
    </row>
    <row r="25" spans="1:46" x14ac:dyDescent="0.25">
      <c r="AF25" s="66"/>
    </row>
    <row r="28" spans="1:46" x14ac:dyDescent="0.25">
      <c r="T28" s="66"/>
      <c r="V28" s="66"/>
    </row>
  </sheetData>
  <sortState ref="A5:AT21">
    <sortCondition descending="1" ref="AF5:AF21"/>
  </sortState>
  <conditionalFormatting sqref="U2">
    <cfRule type="dataBar" priority="519">
      <dataBar>
        <cfvo type="min"/>
        <cfvo type="max"/>
        <color rgb="FF63C384"/>
      </dataBar>
      <extLst>
        <ext xmlns:x14="http://schemas.microsoft.com/office/spreadsheetml/2009/9/main" uri="{B025F937-C7B1-47D3-B67F-A62EFF666E3E}">
          <x14:id>{1A3317A4-2E15-4A61-81B2-0B5998394877}</x14:id>
        </ext>
      </extLst>
    </cfRule>
  </conditionalFormatting>
  <conditionalFormatting sqref="I4:I21">
    <cfRule type="cellIs" dxfId="7" priority="148" operator="lessThan">
      <formula>6</formula>
    </cfRule>
  </conditionalFormatting>
  <conditionalFormatting sqref="W6">
    <cfRule type="dataBar" priority="35">
      <dataBar>
        <cfvo type="min"/>
        <cfvo type="max"/>
        <color rgb="FFFFB628"/>
      </dataBar>
      <extLst>
        <ext xmlns:x14="http://schemas.microsoft.com/office/spreadsheetml/2009/9/main" uri="{B025F937-C7B1-47D3-B67F-A62EFF666E3E}">
          <x14:id>{61B66F88-D82F-4C7B-B844-D73BEB5FAE97}</x14:id>
        </ext>
      </extLst>
    </cfRule>
  </conditionalFormatting>
  <conditionalFormatting sqref="AF6">
    <cfRule type="dataBar" priority="38">
      <dataBar>
        <cfvo type="min"/>
        <cfvo type="max"/>
        <color rgb="FF638EC6"/>
      </dataBar>
      <extLst>
        <ext xmlns:x14="http://schemas.microsoft.com/office/spreadsheetml/2009/9/main" uri="{B025F937-C7B1-47D3-B67F-A62EFF666E3E}">
          <x14:id>{C47240AB-C06C-4E01-8AC1-FE97A718F197}</x14:id>
        </ext>
      </extLst>
    </cfRule>
  </conditionalFormatting>
  <conditionalFormatting sqref="AP21">
    <cfRule type="colorScale" priority="22">
      <colorScale>
        <cfvo type="min"/>
        <cfvo type="percentile" val="50"/>
        <cfvo type="max"/>
        <color rgb="FF63BE7B"/>
        <color rgb="FFFFEB84"/>
        <color rgb="FFF8696B"/>
      </colorScale>
    </cfRule>
  </conditionalFormatting>
  <conditionalFormatting sqref="AP4:AP20">
    <cfRule type="colorScale" priority="5494">
      <colorScale>
        <cfvo type="min"/>
        <cfvo type="percentile" val="50"/>
        <cfvo type="max"/>
        <color rgb="FF63BE7B"/>
        <color rgb="FFFFEB84"/>
        <color rgb="FFF8696B"/>
      </colorScale>
    </cfRule>
  </conditionalFormatting>
  <conditionalFormatting sqref="W7:W21 W4:W5">
    <cfRule type="dataBar" priority="5496">
      <dataBar>
        <cfvo type="min"/>
        <cfvo type="max"/>
        <color rgb="FFFFB628"/>
      </dataBar>
      <extLst>
        <ext xmlns:x14="http://schemas.microsoft.com/office/spreadsheetml/2009/9/main" uri="{B025F937-C7B1-47D3-B67F-A62EFF666E3E}">
          <x14:id>{F0566193-AC02-4D5F-9039-FDC364A68C94}</x14:id>
        </ext>
      </extLst>
    </cfRule>
  </conditionalFormatting>
  <conditionalFormatting sqref="AF7:AF21 AF4:AF5">
    <cfRule type="dataBar" priority="5499">
      <dataBar>
        <cfvo type="min"/>
        <cfvo type="max"/>
        <color rgb="FF638EC6"/>
      </dataBar>
      <extLst>
        <ext xmlns:x14="http://schemas.microsoft.com/office/spreadsheetml/2009/9/main" uri="{B025F937-C7B1-47D3-B67F-A62EFF666E3E}">
          <x14:id>{39454924-5FFD-4BA1-95CE-A7F67257BF61}</x14:id>
        </ext>
      </extLst>
    </cfRule>
  </conditionalFormatting>
  <conditionalFormatting sqref="C4:C21">
    <cfRule type="colorScale" priority="5504">
      <colorScale>
        <cfvo type="min"/>
        <cfvo type="max"/>
        <color rgb="FFFFEF9C"/>
        <color rgb="FF63BE7B"/>
      </colorScale>
    </cfRule>
  </conditionalFormatting>
  <conditionalFormatting sqref="T4:T21">
    <cfRule type="dataBar" priority="5508">
      <dataBar>
        <cfvo type="min"/>
        <cfvo type="max"/>
        <color rgb="FF63C384"/>
      </dataBar>
      <extLst>
        <ext xmlns:x14="http://schemas.microsoft.com/office/spreadsheetml/2009/9/main" uri="{B025F937-C7B1-47D3-B67F-A62EFF666E3E}">
          <x14:id>{B13E782C-D89A-4C61-96EC-C08A047138FE}</x14:id>
        </ext>
      </extLst>
    </cfRule>
  </conditionalFormatting>
  <conditionalFormatting sqref="U4:U21">
    <cfRule type="dataBar" priority="5510">
      <dataBar>
        <cfvo type="min"/>
        <cfvo type="max"/>
        <color rgb="FF63C384"/>
      </dataBar>
      <extLst>
        <ext xmlns:x14="http://schemas.microsoft.com/office/spreadsheetml/2009/9/main" uri="{B025F937-C7B1-47D3-B67F-A62EFF666E3E}">
          <x14:id>{8A6F6FBC-D49C-4DBA-A001-836503F14D7E}</x14:id>
        </ext>
      </extLst>
    </cfRule>
  </conditionalFormatting>
  <conditionalFormatting sqref="V4:V21">
    <cfRule type="dataBar" priority="5512">
      <dataBar>
        <cfvo type="min"/>
        <cfvo type="max"/>
        <color rgb="FFFF555A"/>
      </dataBar>
      <extLst>
        <ext xmlns:x14="http://schemas.microsoft.com/office/spreadsheetml/2009/9/main" uri="{B025F937-C7B1-47D3-B67F-A62EFF666E3E}">
          <x14:id>{8A701A28-BEE7-4685-A106-1E21A5D50016}</x14:id>
        </ext>
      </extLst>
    </cfRule>
  </conditionalFormatting>
  <conditionalFormatting sqref="AE4:AE21">
    <cfRule type="dataBar" priority="5514">
      <dataBar>
        <cfvo type="min"/>
        <cfvo type="max"/>
        <color rgb="FFFFB628"/>
      </dataBar>
      <extLst>
        <ext xmlns:x14="http://schemas.microsoft.com/office/spreadsheetml/2009/9/main" uri="{B025F937-C7B1-47D3-B67F-A62EFF666E3E}">
          <x14:id>{4A4E0EAD-1591-4283-BC72-31C016420761}</x14:id>
        </ext>
      </extLst>
    </cfRule>
  </conditionalFormatting>
  <conditionalFormatting sqref="AG4:AH21">
    <cfRule type="colorScale" priority="5516">
      <colorScale>
        <cfvo type="min"/>
        <cfvo type="percentile" val="50"/>
        <cfvo type="max"/>
        <color rgb="FFF8696B"/>
        <color rgb="FFFFEB84"/>
        <color rgb="FF63BE7B"/>
      </colorScale>
    </cfRule>
  </conditionalFormatting>
  <conditionalFormatting sqref="AI4:AK21">
    <cfRule type="colorScale" priority="5518">
      <colorScale>
        <cfvo type="min"/>
        <cfvo type="percentile" val="50"/>
        <cfvo type="max"/>
        <color rgb="FFF8696B"/>
        <color rgb="FFFFEB84"/>
        <color rgb="FF63BE7B"/>
      </colorScale>
    </cfRule>
  </conditionalFormatting>
  <conditionalFormatting sqref="AL4:AL21">
    <cfRule type="colorScale" priority="5520">
      <colorScale>
        <cfvo type="min"/>
        <cfvo type="percentile" val="50"/>
        <cfvo type="max"/>
        <color rgb="FFF8696B"/>
        <color rgb="FFFFEB84"/>
        <color rgb="FF63BE7B"/>
      </colorScale>
    </cfRule>
  </conditionalFormatting>
  <conditionalFormatting sqref="AM4:AM21">
    <cfRule type="colorScale" priority="5522">
      <colorScale>
        <cfvo type="min"/>
        <cfvo type="percentile" val="50"/>
        <cfvo type="max"/>
        <color rgb="FFF8696B"/>
        <color rgb="FFFFEB84"/>
        <color rgb="FF63BE7B"/>
      </colorScale>
    </cfRule>
  </conditionalFormatting>
  <conditionalFormatting sqref="AN4:AO21">
    <cfRule type="colorScale" priority="5524">
      <colorScale>
        <cfvo type="min"/>
        <cfvo type="percentile" val="50"/>
        <cfvo type="max"/>
        <color rgb="FFF8696B"/>
        <color rgb="FFFFEB84"/>
        <color rgb="FF63BE7B"/>
      </colorScale>
    </cfRule>
  </conditionalFormatting>
  <conditionalFormatting sqref="X4:AD21">
    <cfRule type="colorScale" priority="5528">
      <colorScale>
        <cfvo type="min"/>
        <cfvo type="max"/>
        <color rgb="FFFCFCFF"/>
        <color rgb="FFF8696B"/>
      </colorScale>
    </cfRule>
  </conditionalFormatting>
  <conditionalFormatting sqref="N4:N21">
    <cfRule type="colorScale" priority="5529">
      <colorScale>
        <cfvo type="min"/>
        <cfvo type="max"/>
        <color rgb="FFFFEF9C"/>
        <color rgb="FF63BE7B"/>
      </colorScale>
    </cfRule>
  </conditionalFormatting>
  <conditionalFormatting sqref="P4:P21">
    <cfRule type="colorScale" priority="5530">
      <colorScale>
        <cfvo type="min"/>
        <cfvo type="max"/>
        <color rgb="FFF8696B"/>
        <color rgb="FFFCFCFF"/>
      </colorScale>
    </cfRule>
  </conditionalFormatting>
  <conditionalFormatting sqref="R4:S21">
    <cfRule type="colorScale" priority="5531">
      <colorScale>
        <cfvo type="min"/>
        <cfvo type="max"/>
        <color rgb="FFFFEF9C"/>
        <color rgb="FF63BE7B"/>
      </colorScale>
    </cfRule>
  </conditionalFormatting>
  <conditionalFormatting sqref="J4:J21">
    <cfRule type="colorScale" priority="2">
      <colorScale>
        <cfvo type="min"/>
        <cfvo type="max"/>
        <color rgb="FFFCFCFF"/>
        <color rgb="FF63BE7B"/>
      </colorScale>
    </cfRule>
  </conditionalFormatting>
  <conditionalFormatting sqref="AT4:AT21">
    <cfRule type="dataBar" priority="1">
      <dataBar>
        <cfvo type="min"/>
        <cfvo type="max"/>
        <color rgb="FF63C384"/>
      </dataBar>
      <extLst>
        <ext xmlns:x14="http://schemas.microsoft.com/office/spreadsheetml/2009/9/main" uri="{B025F937-C7B1-47D3-B67F-A62EFF666E3E}">
          <x14:id>{4817DBCB-A351-402E-9B49-DC2AEBA1BDA7}</x14:id>
        </ext>
      </extLst>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1A3317A4-2E15-4A61-81B2-0B5998394877}">
            <x14:dataBar minLength="0" maxLength="100" border="1" negativeBarBorderColorSameAsPositive="0">
              <x14:cfvo type="autoMin"/>
              <x14:cfvo type="autoMax"/>
              <x14:borderColor rgb="FF63C384"/>
              <x14:negativeFillColor rgb="FFFF0000"/>
              <x14:negativeBorderColor rgb="FFFF0000"/>
              <x14:axisColor rgb="FF000000"/>
            </x14:dataBar>
          </x14:cfRule>
          <xm:sqref>U2</xm:sqref>
        </x14:conditionalFormatting>
        <x14:conditionalFormatting xmlns:xm="http://schemas.microsoft.com/office/excel/2006/main">
          <x14:cfRule type="dataBar" id="{61B66F88-D82F-4C7B-B844-D73BEB5FAE97}">
            <x14:dataBar minLength="0" maxLength="100" border="1" negativeBarBorderColorSameAsPositive="0">
              <x14:cfvo type="autoMin"/>
              <x14:cfvo type="autoMax"/>
              <x14:borderColor rgb="FFFFB628"/>
              <x14:negativeFillColor rgb="FFFF0000"/>
              <x14:negativeBorderColor rgb="FFFF0000"/>
              <x14:axisColor rgb="FF000000"/>
            </x14:dataBar>
          </x14:cfRule>
          <xm:sqref>W6</xm:sqref>
        </x14:conditionalFormatting>
        <x14:conditionalFormatting xmlns:xm="http://schemas.microsoft.com/office/excel/2006/main">
          <x14:cfRule type="dataBar" id="{C47240AB-C06C-4E01-8AC1-FE97A718F197}">
            <x14:dataBar minLength="0" maxLength="100" border="1" negativeBarBorderColorSameAsPositive="0">
              <x14:cfvo type="autoMin"/>
              <x14:cfvo type="autoMax"/>
              <x14:borderColor rgb="FF638EC6"/>
              <x14:negativeFillColor rgb="FFFF0000"/>
              <x14:negativeBorderColor rgb="FFFF0000"/>
              <x14:axisColor rgb="FF000000"/>
            </x14:dataBar>
          </x14:cfRule>
          <xm:sqref>AF6</xm:sqref>
        </x14:conditionalFormatting>
        <x14:conditionalFormatting xmlns:xm="http://schemas.microsoft.com/office/excel/2006/main">
          <x14:cfRule type="dataBar" id="{F0566193-AC02-4D5F-9039-FDC364A68C94}">
            <x14:dataBar minLength="0" maxLength="100" border="1" negativeBarBorderColorSameAsPositive="0">
              <x14:cfvo type="autoMin"/>
              <x14:cfvo type="autoMax"/>
              <x14:borderColor rgb="FFFFB628"/>
              <x14:negativeFillColor rgb="FFFF0000"/>
              <x14:negativeBorderColor rgb="FFFF0000"/>
              <x14:axisColor rgb="FF000000"/>
            </x14:dataBar>
          </x14:cfRule>
          <xm:sqref>W7:W21 W4:W5</xm:sqref>
        </x14:conditionalFormatting>
        <x14:conditionalFormatting xmlns:xm="http://schemas.microsoft.com/office/excel/2006/main">
          <x14:cfRule type="dataBar" id="{39454924-5FFD-4BA1-95CE-A7F67257BF61}">
            <x14:dataBar minLength="0" maxLength="100" border="1" negativeBarBorderColorSameAsPositive="0">
              <x14:cfvo type="autoMin"/>
              <x14:cfvo type="autoMax"/>
              <x14:borderColor rgb="FF638EC6"/>
              <x14:negativeFillColor rgb="FFFF0000"/>
              <x14:negativeBorderColor rgb="FFFF0000"/>
              <x14:axisColor rgb="FF000000"/>
            </x14:dataBar>
          </x14:cfRule>
          <xm:sqref>AF7:AF21 AF4:AF5</xm:sqref>
        </x14:conditionalFormatting>
        <x14:conditionalFormatting xmlns:xm="http://schemas.microsoft.com/office/excel/2006/main">
          <x14:cfRule type="dataBar" id="{B13E782C-D89A-4C61-96EC-C08A047138FE}">
            <x14:dataBar minLength="0" maxLength="100" border="1" negativeBarBorderColorSameAsPositive="0">
              <x14:cfvo type="autoMin"/>
              <x14:cfvo type="autoMax"/>
              <x14:borderColor rgb="FF63C384"/>
              <x14:negativeFillColor rgb="FFFF0000"/>
              <x14:negativeBorderColor rgb="FFFF0000"/>
              <x14:axisColor rgb="FF000000"/>
            </x14:dataBar>
          </x14:cfRule>
          <xm:sqref>T4:T21</xm:sqref>
        </x14:conditionalFormatting>
        <x14:conditionalFormatting xmlns:xm="http://schemas.microsoft.com/office/excel/2006/main">
          <x14:cfRule type="dataBar" id="{8A6F6FBC-D49C-4DBA-A001-836503F14D7E}">
            <x14:dataBar minLength="0" maxLength="100" border="1" negativeBarBorderColorSameAsPositive="0">
              <x14:cfvo type="autoMin"/>
              <x14:cfvo type="autoMax"/>
              <x14:borderColor rgb="FF63C384"/>
              <x14:negativeFillColor rgb="FFFF0000"/>
              <x14:negativeBorderColor rgb="FFFF0000"/>
              <x14:axisColor rgb="FF000000"/>
            </x14:dataBar>
          </x14:cfRule>
          <xm:sqref>U4:U21</xm:sqref>
        </x14:conditionalFormatting>
        <x14:conditionalFormatting xmlns:xm="http://schemas.microsoft.com/office/excel/2006/main">
          <x14:cfRule type="dataBar" id="{8A701A28-BEE7-4685-A106-1E21A5D50016}">
            <x14:dataBar minLength="0" maxLength="100" border="1" negativeBarBorderColorSameAsPositive="0">
              <x14:cfvo type="autoMin"/>
              <x14:cfvo type="autoMax"/>
              <x14:borderColor rgb="FFFF555A"/>
              <x14:negativeFillColor rgb="FFFF0000"/>
              <x14:negativeBorderColor rgb="FFFF0000"/>
              <x14:axisColor rgb="FF000000"/>
            </x14:dataBar>
          </x14:cfRule>
          <xm:sqref>V4:V21</xm:sqref>
        </x14:conditionalFormatting>
        <x14:conditionalFormatting xmlns:xm="http://schemas.microsoft.com/office/excel/2006/main">
          <x14:cfRule type="dataBar" id="{4A4E0EAD-1591-4283-BC72-31C016420761}">
            <x14:dataBar minLength="0" maxLength="100" border="1" negativeBarBorderColorSameAsPositive="0">
              <x14:cfvo type="autoMin"/>
              <x14:cfvo type="autoMax"/>
              <x14:borderColor rgb="FFFFB628"/>
              <x14:negativeFillColor rgb="FFFF0000"/>
              <x14:negativeBorderColor rgb="FFFF0000"/>
              <x14:axisColor rgb="FF000000"/>
            </x14:dataBar>
          </x14:cfRule>
          <xm:sqref>AE4:AE21</xm:sqref>
        </x14:conditionalFormatting>
        <x14:conditionalFormatting xmlns:xm="http://schemas.microsoft.com/office/excel/2006/main">
          <x14:cfRule type="dataBar" id="{4817DBCB-A351-402E-9B49-DC2AEBA1BDA7}">
            <x14:dataBar minLength="0" maxLength="100" border="1" negativeBarBorderColorSameAsPositive="0">
              <x14:cfvo type="autoMin"/>
              <x14:cfvo type="autoMax"/>
              <x14:borderColor rgb="FF63C384"/>
              <x14:negativeFillColor rgb="FFFF0000"/>
              <x14:negativeBorderColor rgb="FFFF0000"/>
              <x14:axisColor rgb="FF000000"/>
            </x14:dataBar>
          </x14:cfRule>
          <xm:sqref>AT4:AT21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tint="0.39997558519241921"/>
  </sheetPr>
  <dimension ref="A1:S31"/>
  <sheetViews>
    <sheetView zoomScaleNormal="100" workbookViewId="0">
      <selection activeCell="L28" sqref="L28"/>
    </sheetView>
  </sheetViews>
  <sheetFormatPr baseColWidth="10" defaultColWidth="11.42578125" defaultRowHeight="15" x14ac:dyDescent="0.25"/>
  <cols>
    <col min="1" max="1" width="18.85546875" bestFit="1" customWidth="1"/>
    <col min="2" max="2" width="5.42578125" bestFit="1" customWidth="1"/>
    <col min="3" max="3" width="3" bestFit="1" customWidth="1"/>
    <col min="4" max="4" width="4.85546875" bestFit="1" customWidth="1"/>
    <col min="5" max="6" width="6" bestFit="1" customWidth="1"/>
    <col min="7" max="8" width="4.85546875" bestFit="1" customWidth="1"/>
    <col min="9" max="10" width="7.7109375" bestFit="1" customWidth="1"/>
    <col min="12" max="12" width="48.140625" bestFit="1" customWidth="1"/>
    <col min="14" max="14" width="7.7109375" bestFit="1" customWidth="1"/>
    <col min="15" max="15" width="22" bestFit="1" customWidth="1"/>
    <col min="16" max="17" width="6" bestFit="1" customWidth="1"/>
    <col min="18" max="18" width="8.7109375" customWidth="1"/>
    <col min="19" max="19" width="4.85546875" bestFit="1" customWidth="1"/>
  </cols>
  <sheetData>
    <row r="1" spans="1:19" x14ac:dyDescent="0.25">
      <c r="A1" s="28">
        <v>43062</v>
      </c>
      <c r="E1" s="171" t="s">
        <v>291</v>
      </c>
      <c r="F1" s="172" t="s">
        <v>292</v>
      </c>
      <c r="G1" s="173"/>
      <c r="H1" s="173"/>
      <c r="I1" s="174" t="s">
        <v>291</v>
      </c>
      <c r="J1" s="175" t="s">
        <v>292</v>
      </c>
      <c r="K1" s="86"/>
      <c r="P1" s="171" t="s">
        <v>291</v>
      </c>
      <c r="Q1" s="172" t="s">
        <v>292</v>
      </c>
      <c r="R1" s="171"/>
      <c r="S1" s="172"/>
    </row>
    <row r="2" spans="1:19" x14ac:dyDescent="0.25">
      <c r="A2" s="176" t="s">
        <v>3</v>
      </c>
      <c r="B2" s="176" t="s">
        <v>293</v>
      </c>
      <c r="C2" s="176" t="s">
        <v>294</v>
      </c>
      <c r="D2" s="176" t="s">
        <v>18</v>
      </c>
      <c r="E2" s="171" t="s">
        <v>8</v>
      </c>
      <c r="F2" s="172" t="s">
        <v>8</v>
      </c>
      <c r="G2" s="173" t="s">
        <v>7</v>
      </c>
      <c r="H2" s="173" t="s">
        <v>7</v>
      </c>
      <c r="I2" s="174" t="s">
        <v>295</v>
      </c>
      <c r="J2" s="175" t="s">
        <v>295</v>
      </c>
      <c r="K2" s="86"/>
      <c r="P2" s="171" t="s">
        <v>8</v>
      </c>
      <c r="Q2" s="172" t="s">
        <v>8</v>
      </c>
      <c r="R2" s="171" t="s">
        <v>7</v>
      </c>
      <c r="S2" s="172" t="s">
        <v>7</v>
      </c>
    </row>
    <row r="3" spans="1:19" x14ac:dyDescent="0.25">
      <c r="A3" s="177" t="str">
        <f>PLANTILLA!D4</f>
        <v>Cosme Fonteboa</v>
      </c>
      <c r="B3" s="178">
        <f>PLANTILLA!E4</f>
        <v>22</v>
      </c>
      <c r="C3" s="178">
        <f>PLANTILLA!H4</f>
        <v>4</v>
      </c>
      <c r="D3" s="179">
        <f>PLANTILLA!I4</f>
        <v>4.5999999999999996</v>
      </c>
      <c r="E3" s="180">
        <f>D3</f>
        <v>4.5999999999999996</v>
      </c>
      <c r="F3" s="180">
        <f>E3+0.1</f>
        <v>4.6999999999999993</v>
      </c>
      <c r="G3" s="180">
        <f>C3</f>
        <v>4</v>
      </c>
      <c r="H3" s="180">
        <f>G3+0.99</f>
        <v>4.99</v>
      </c>
      <c r="I3" s="181">
        <f>G3*G3*E3</f>
        <v>73.599999999999994</v>
      </c>
      <c r="J3" s="181">
        <f>H3*H3*F3</f>
        <v>117.03046999999999</v>
      </c>
      <c r="K3" s="182"/>
      <c r="N3" s="49" t="s">
        <v>295</v>
      </c>
      <c r="O3" t="str">
        <f>A12</f>
        <v>Valeri Gomis</v>
      </c>
      <c r="P3" s="183">
        <f>E12</f>
        <v>4.2</v>
      </c>
      <c r="Q3" s="183">
        <f t="shared" ref="Q3:S3" si="0">F12</f>
        <v>4.3</v>
      </c>
      <c r="R3" s="183">
        <f t="shared" si="0"/>
        <v>6</v>
      </c>
      <c r="S3" s="183">
        <f t="shared" si="0"/>
        <v>6.99</v>
      </c>
    </row>
    <row r="4" spans="1:19" x14ac:dyDescent="0.25">
      <c r="A4" s="177" t="str">
        <f>PLANTILLA!D5</f>
        <v>Nicolae Hornet</v>
      </c>
      <c r="B4" s="178">
        <f>PLANTILLA!E5</f>
        <v>22</v>
      </c>
      <c r="C4" s="178">
        <f>PLANTILLA!H5</f>
        <v>5</v>
      </c>
      <c r="D4" s="179">
        <f>PLANTILLA!I5</f>
        <v>1.4</v>
      </c>
      <c r="E4" s="180">
        <f t="shared" ref="E4:E20" si="1">D4</f>
        <v>1.4</v>
      </c>
      <c r="F4" s="180">
        <f t="shared" ref="F4:F20" si="2">E4+0.1</f>
        <v>1.5</v>
      </c>
      <c r="G4" s="180">
        <f t="shared" ref="G4:G20" si="3">C4</f>
        <v>5</v>
      </c>
      <c r="H4" s="180">
        <f t="shared" ref="H4:H20" si="4">G4+0.99</f>
        <v>5.99</v>
      </c>
      <c r="I4" s="181">
        <f t="shared" ref="I4:I20" si="5">G4*G4*E4</f>
        <v>35</v>
      </c>
      <c r="J4" s="181">
        <f t="shared" ref="J4:J20" si="6">H4*H4*F4</f>
        <v>53.820150000000012</v>
      </c>
      <c r="K4" s="182"/>
      <c r="O4" t="str">
        <f>A5</f>
        <v>Miguel Fernández</v>
      </c>
      <c r="P4" s="183">
        <f>E5</f>
        <v>2.6</v>
      </c>
      <c r="Q4" s="183">
        <f t="shared" ref="Q4:S4" si="7">F5</f>
        <v>2.7</v>
      </c>
      <c r="R4" s="183">
        <f t="shared" si="7"/>
        <v>5</v>
      </c>
      <c r="S4" s="183">
        <f t="shared" si="7"/>
        <v>5.99</v>
      </c>
    </row>
    <row r="5" spans="1:19" x14ac:dyDescent="0.25">
      <c r="A5" s="177" t="str">
        <f>PLANTILLA!D6</f>
        <v>Miguel Fernández</v>
      </c>
      <c r="B5" s="178">
        <f>PLANTILLA!E6</f>
        <v>22</v>
      </c>
      <c r="C5" s="178">
        <f>PLANTILLA!H6</f>
        <v>5</v>
      </c>
      <c r="D5" s="179">
        <f>PLANTILLA!I6</f>
        <v>2.6</v>
      </c>
      <c r="E5" s="180">
        <f t="shared" si="1"/>
        <v>2.6</v>
      </c>
      <c r="F5" s="180">
        <f t="shared" si="2"/>
        <v>2.7</v>
      </c>
      <c r="G5" s="180">
        <f t="shared" si="3"/>
        <v>5</v>
      </c>
      <c r="H5" s="180">
        <f t="shared" si="4"/>
        <v>5.99</v>
      </c>
      <c r="I5" s="181">
        <f t="shared" si="5"/>
        <v>65</v>
      </c>
      <c r="J5" s="181">
        <f t="shared" si="6"/>
        <v>96.876270000000019</v>
      </c>
      <c r="K5" s="182"/>
      <c r="L5" s="134"/>
      <c r="O5" t="str">
        <f>A3</f>
        <v>Cosme Fonteboa</v>
      </c>
      <c r="P5" s="183">
        <f>E3</f>
        <v>4.5999999999999996</v>
      </c>
      <c r="Q5" s="183">
        <f t="shared" ref="Q5:S5" si="8">F3</f>
        <v>4.6999999999999993</v>
      </c>
      <c r="R5" s="183">
        <f t="shared" si="8"/>
        <v>4</v>
      </c>
      <c r="S5" s="183">
        <f t="shared" si="8"/>
        <v>4.99</v>
      </c>
    </row>
    <row r="6" spans="1:19" x14ac:dyDescent="0.25">
      <c r="A6" s="177" t="str">
        <f>PLANTILLA!D7</f>
        <v>Iván Real Figueroa</v>
      </c>
      <c r="B6" s="178">
        <f>PLANTILLA!E7</f>
        <v>22</v>
      </c>
      <c r="C6" s="178">
        <f>PLANTILLA!H7</f>
        <v>4</v>
      </c>
      <c r="D6" s="179">
        <f>PLANTILLA!I7</f>
        <v>3.6</v>
      </c>
      <c r="E6" s="180">
        <f t="shared" si="1"/>
        <v>3.6</v>
      </c>
      <c r="F6" s="180">
        <f t="shared" si="2"/>
        <v>3.7</v>
      </c>
      <c r="G6" s="180">
        <f t="shared" si="3"/>
        <v>4</v>
      </c>
      <c r="H6" s="180">
        <f t="shared" si="4"/>
        <v>4.99</v>
      </c>
      <c r="I6" s="181">
        <f t="shared" si="5"/>
        <v>57.6</v>
      </c>
      <c r="J6" s="181">
        <f t="shared" si="6"/>
        <v>92.130370000000013</v>
      </c>
      <c r="K6" s="182"/>
      <c r="O6" t="str">
        <f>A7</f>
        <v>Berto Abandero</v>
      </c>
      <c r="P6" s="183">
        <f>E7</f>
        <v>3.8</v>
      </c>
      <c r="Q6" s="183">
        <f t="shared" ref="Q6:S6" si="9">F7</f>
        <v>3.9</v>
      </c>
      <c r="R6" s="183">
        <f t="shared" si="9"/>
        <v>1</v>
      </c>
      <c r="S6" s="183">
        <f t="shared" si="9"/>
        <v>1.99</v>
      </c>
    </row>
    <row r="7" spans="1:19" x14ac:dyDescent="0.25">
      <c r="A7" s="177" t="str">
        <f>PLANTILLA!D8</f>
        <v>Berto Abandero</v>
      </c>
      <c r="B7" s="178">
        <f>PLANTILLA!E8</f>
        <v>22</v>
      </c>
      <c r="C7" s="178">
        <f>PLANTILLA!H8</f>
        <v>1</v>
      </c>
      <c r="D7" s="179">
        <f>PLANTILLA!I8</f>
        <v>3.8</v>
      </c>
      <c r="E7" s="180">
        <f t="shared" si="1"/>
        <v>3.8</v>
      </c>
      <c r="F7" s="180">
        <f t="shared" si="2"/>
        <v>3.9</v>
      </c>
      <c r="G7" s="180">
        <f t="shared" si="3"/>
        <v>1</v>
      </c>
      <c r="H7" s="180">
        <f t="shared" si="4"/>
        <v>1.99</v>
      </c>
      <c r="I7" s="181">
        <f t="shared" si="5"/>
        <v>3.8</v>
      </c>
      <c r="J7" s="181">
        <f t="shared" si="6"/>
        <v>15.44439</v>
      </c>
      <c r="K7" s="182"/>
      <c r="O7" t="str">
        <f>A6</f>
        <v>Iván Real Figueroa</v>
      </c>
      <c r="P7" s="183">
        <f>E6</f>
        <v>3.6</v>
      </c>
      <c r="Q7" s="183">
        <f t="shared" ref="Q7:S7" si="10">F6</f>
        <v>3.7</v>
      </c>
      <c r="R7" s="183">
        <f t="shared" si="10"/>
        <v>4</v>
      </c>
      <c r="S7" s="183">
        <f t="shared" si="10"/>
        <v>4.99</v>
      </c>
    </row>
    <row r="8" spans="1:19" x14ac:dyDescent="0.25">
      <c r="A8" s="177" t="str">
        <f>PLANTILLA!D9</f>
        <v>Guillermo Pedrajas</v>
      </c>
      <c r="B8" s="178">
        <f>PLANTILLA!E9</f>
        <v>22</v>
      </c>
      <c r="C8" s="178">
        <f>PLANTILLA!H9</f>
        <v>4</v>
      </c>
      <c r="D8" s="179">
        <f>PLANTILLA!I9</f>
        <v>4.4000000000000004</v>
      </c>
      <c r="E8" s="180">
        <f t="shared" si="1"/>
        <v>4.4000000000000004</v>
      </c>
      <c r="F8" s="180">
        <f t="shared" si="2"/>
        <v>4.5</v>
      </c>
      <c r="G8" s="180">
        <f t="shared" si="3"/>
        <v>4</v>
      </c>
      <c r="H8" s="180">
        <f t="shared" si="4"/>
        <v>4.99</v>
      </c>
      <c r="I8" s="181">
        <f t="shared" si="5"/>
        <v>70.400000000000006</v>
      </c>
      <c r="J8" s="181">
        <f t="shared" si="6"/>
        <v>112.05045000000001</v>
      </c>
      <c r="K8" s="182"/>
      <c r="O8" t="str">
        <f>A10</f>
        <v>Francesc Añigas</v>
      </c>
      <c r="P8" s="183">
        <f>E10</f>
        <v>4.0999999999999996</v>
      </c>
      <c r="Q8" s="183">
        <f t="shared" ref="Q8:S8" si="11">F10</f>
        <v>4.1999999999999993</v>
      </c>
      <c r="R8" s="183">
        <f t="shared" si="11"/>
        <v>5</v>
      </c>
      <c r="S8" s="183">
        <f t="shared" si="11"/>
        <v>5.99</v>
      </c>
    </row>
    <row r="9" spans="1:19" x14ac:dyDescent="0.25">
      <c r="A9" s="177" t="str">
        <f>PLANTILLA!D10</f>
        <v>Eckardt Hägerling</v>
      </c>
      <c r="B9" s="178">
        <f>PLANTILLA!E10</f>
        <v>22</v>
      </c>
      <c r="C9" s="178">
        <f>PLANTILLA!H10</f>
        <v>3</v>
      </c>
      <c r="D9" s="179">
        <f>PLANTILLA!I10</f>
        <v>2.2000000000000002</v>
      </c>
      <c r="E9" s="180">
        <f t="shared" si="1"/>
        <v>2.2000000000000002</v>
      </c>
      <c r="F9" s="180">
        <f t="shared" si="2"/>
        <v>2.3000000000000003</v>
      </c>
      <c r="G9" s="180">
        <f t="shared" si="3"/>
        <v>3</v>
      </c>
      <c r="H9" s="180">
        <f t="shared" si="4"/>
        <v>3.99</v>
      </c>
      <c r="I9" s="181">
        <f t="shared" si="5"/>
        <v>19.8</v>
      </c>
      <c r="J9" s="181">
        <f t="shared" si="6"/>
        <v>36.616230000000009</v>
      </c>
      <c r="K9" s="182"/>
      <c r="O9" t="str">
        <f>A15</f>
        <v>David Garcia-Spiess</v>
      </c>
      <c r="P9" s="183">
        <f>E15</f>
        <v>7</v>
      </c>
      <c r="Q9" s="183">
        <f t="shared" ref="Q9:S9" si="12">F15</f>
        <v>7.1</v>
      </c>
      <c r="R9" s="183">
        <f t="shared" si="12"/>
        <v>1</v>
      </c>
      <c r="S9" s="183">
        <f t="shared" si="12"/>
        <v>1.99</v>
      </c>
    </row>
    <row r="10" spans="1:19" x14ac:dyDescent="0.25">
      <c r="A10" s="177" t="str">
        <f>PLANTILLA!D11</f>
        <v>Francesc Añigas</v>
      </c>
      <c r="B10" s="178">
        <f>PLANTILLA!E11</f>
        <v>22</v>
      </c>
      <c r="C10" s="178">
        <f>PLANTILLA!H11</f>
        <v>5</v>
      </c>
      <c r="D10" s="179">
        <f>PLANTILLA!I11</f>
        <v>4.0999999999999996</v>
      </c>
      <c r="E10" s="180">
        <f t="shared" si="1"/>
        <v>4.0999999999999996</v>
      </c>
      <c r="F10" s="180">
        <f t="shared" si="2"/>
        <v>4.1999999999999993</v>
      </c>
      <c r="G10" s="180">
        <f t="shared" si="3"/>
        <v>5</v>
      </c>
      <c r="H10" s="180">
        <f t="shared" si="4"/>
        <v>5.99</v>
      </c>
      <c r="I10" s="181">
        <f t="shared" si="5"/>
        <v>102.49999999999999</v>
      </c>
      <c r="J10" s="181">
        <f t="shared" si="6"/>
        <v>150.69641999999999</v>
      </c>
      <c r="K10" s="182"/>
      <c r="O10" t="str">
        <f>A14</f>
        <v>J. G. Peñuela</v>
      </c>
      <c r="P10" s="183">
        <f>E14</f>
        <v>4</v>
      </c>
      <c r="Q10" s="183">
        <f t="shared" ref="Q10:S10" si="13">F14</f>
        <v>4.0999999999999996</v>
      </c>
      <c r="R10" s="183">
        <f t="shared" si="13"/>
        <v>6</v>
      </c>
      <c r="S10" s="183">
        <f t="shared" si="13"/>
        <v>6.99</v>
      </c>
    </row>
    <row r="11" spans="1:19" x14ac:dyDescent="0.25">
      <c r="A11" s="177" t="str">
        <f>PLANTILLA!D12</f>
        <v>Will Duffill</v>
      </c>
      <c r="B11" s="178">
        <f>PLANTILLA!E12</f>
        <v>22</v>
      </c>
      <c r="C11" s="178">
        <f>PLANTILLA!H12</f>
        <v>3</v>
      </c>
      <c r="D11" s="179">
        <f>PLANTILLA!I12</f>
        <v>4.2</v>
      </c>
      <c r="E11" s="180">
        <f t="shared" si="1"/>
        <v>4.2</v>
      </c>
      <c r="F11" s="180">
        <f t="shared" si="2"/>
        <v>4.3</v>
      </c>
      <c r="G11" s="180">
        <f t="shared" si="3"/>
        <v>3</v>
      </c>
      <c r="H11" s="180">
        <f t="shared" si="4"/>
        <v>3.99</v>
      </c>
      <c r="I11" s="181">
        <f t="shared" si="5"/>
        <v>37.800000000000004</v>
      </c>
      <c r="J11" s="181">
        <f t="shared" si="6"/>
        <v>68.456429999999997</v>
      </c>
      <c r="K11" s="182"/>
      <c r="O11" t="str">
        <f>A13</f>
        <v>Enrique Cubas</v>
      </c>
      <c r="P11" s="183">
        <f>E13</f>
        <v>4.5999999999999996</v>
      </c>
      <c r="Q11" s="183">
        <f t="shared" ref="Q11:S11" si="14">F13</f>
        <v>4.6999999999999993</v>
      </c>
      <c r="R11" s="183">
        <f t="shared" si="14"/>
        <v>1</v>
      </c>
      <c r="S11" s="183">
        <f t="shared" si="14"/>
        <v>1.99</v>
      </c>
    </row>
    <row r="12" spans="1:19" x14ac:dyDescent="0.25">
      <c r="A12" s="177" t="str">
        <f>PLANTILLA!D13</f>
        <v>Valeri Gomis</v>
      </c>
      <c r="B12" s="178">
        <f>PLANTILLA!E13</f>
        <v>22</v>
      </c>
      <c r="C12" s="178">
        <f>PLANTILLA!H13</f>
        <v>6</v>
      </c>
      <c r="D12" s="179">
        <f>PLANTILLA!I13</f>
        <v>4.2</v>
      </c>
      <c r="E12" s="180">
        <f t="shared" si="1"/>
        <v>4.2</v>
      </c>
      <c r="F12" s="180">
        <f t="shared" si="2"/>
        <v>4.3</v>
      </c>
      <c r="G12" s="180">
        <f t="shared" si="3"/>
        <v>6</v>
      </c>
      <c r="H12" s="180">
        <f t="shared" si="4"/>
        <v>6.99</v>
      </c>
      <c r="I12" s="181">
        <f t="shared" si="5"/>
        <v>151.20000000000002</v>
      </c>
      <c r="J12" s="181">
        <f t="shared" si="6"/>
        <v>210.09843000000001</v>
      </c>
      <c r="K12" s="182"/>
      <c r="O12" t="str">
        <f>A20</f>
        <v>Leo Hilpinen</v>
      </c>
      <c r="P12" s="183">
        <f>E20</f>
        <v>5.9</v>
      </c>
      <c r="Q12" s="183">
        <f t="shared" ref="Q12:S12" si="15">F20</f>
        <v>6</v>
      </c>
      <c r="R12" s="183">
        <f t="shared" si="15"/>
        <v>3</v>
      </c>
      <c r="S12" s="183">
        <f t="shared" si="15"/>
        <v>3.99</v>
      </c>
    </row>
    <row r="13" spans="1:19" x14ac:dyDescent="0.25">
      <c r="A13" s="177" t="str">
        <f>PLANTILLA!D14</f>
        <v>Enrique Cubas</v>
      </c>
      <c r="B13" s="178">
        <f>PLANTILLA!E14</f>
        <v>22</v>
      </c>
      <c r="C13" s="178">
        <f>PLANTILLA!H14</f>
        <v>1</v>
      </c>
      <c r="D13" s="179">
        <f>PLANTILLA!I14</f>
        <v>4.5999999999999996</v>
      </c>
      <c r="E13" s="180">
        <f t="shared" si="1"/>
        <v>4.5999999999999996</v>
      </c>
      <c r="F13" s="180">
        <f t="shared" si="2"/>
        <v>4.6999999999999993</v>
      </c>
      <c r="G13" s="180">
        <f t="shared" si="3"/>
        <v>1</v>
      </c>
      <c r="H13" s="180">
        <f t="shared" si="4"/>
        <v>1.99</v>
      </c>
      <c r="I13" s="181">
        <f t="shared" si="5"/>
        <v>4.5999999999999996</v>
      </c>
      <c r="J13" s="181">
        <f t="shared" si="6"/>
        <v>18.612469999999998</v>
      </c>
      <c r="K13" s="182"/>
      <c r="O13" t="str">
        <f>A19</f>
        <v>Emilio Rojas</v>
      </c>
      <c r="P13" s="183">
        <f>E19</f>
        <v>6.3</v>
      </c>
      <c r="Q13" s="183">
        <f t="shared" ref="Q13:S13" si="16">F19</f>
        <v>6.3999999999999995</v>
      </c>
      <c r="R13" s="183">
        <f t="shared" si="16"/>
        <v>4</v>
      </c>
      <c r="S13" s="183">
        <f t="shared" si="16"/>
        <v>4.99</v>
      </c>
    </row>
    <row r="14" spans="1:19" x14ac:dyDescent="0.25">
      <c r="A14" s="177" t="str">
        <f>PLANTILLA!D15</f>
        <v>J. G. Peñuela</v>
      </c>
      <c r="B14" s="178">
        <f>PLANTILLA!E15</f>
        <v>22</v>
      </c>
      <c r="C14" s="178">
        <f>PLANTILLA!H15</f>
        <v>6</v>
      </c>
      <c r="D14" s="179">
        <f>PLANTILLA!I15</f>
        <v>4</v>
      </c>
      <c r="E14" s="180">
        <f t="shared" si="1"/>
        <v>4</v>
      </c>
      <c r="F14" s="180">
        <f t="shared" si="2"/>
        <v>4.0999999999999996</v>
      </c>
      <c r="G14" s="180">
        <f t="shared" si="3"/>
        <v>6</v>
      </c>
      <c r="H14" s="180">
        <f t="shared" si="4"/>
        <v>6.99</v>
      </c>
      <c r="I14" s="181">
        <f t="shared" si="5"/>
        <v>144</v>
      </c>
      <c r="J14" s="181">
        <f t="shared" si="6"/>
        <v>200.32640999999998</v>
      </c>
      <c r="K14" s="182"/>
      <c r="P14" s="35">
        <f>SUM(P4:P13)/10</f>
        <v>4.6499999999999995</v>
      </c>
      <c r="Q14" s="35">
        <f>SUM(Q4:Q13)/10</f>
        <v>4.7499999999999991</v>
      </c>
      <c r="R14" s="35"/>
      <c r="S14" s="35"/>
    </row>
    <row r="15" spans="1:19" x14ac:dyDescent="0.25">
      <c r="A15" s="177" t="str">
        <f>PLANTILLA!D16</f>
        <v>David Garcia-Spiess</v>
      </c>
      <c r="B15" s="178">
        <f>PLANTILLA!E16</f>
        <v>30</v>
      </c>
      <c r="C15" s="178">
        <f>PLANTILLA!H16</f>
        <v>1</v>
      </c>
      <c r="D15" s="179">
        <f>PLANTILLA!I16</f>
        <v>7</v>
      </c>
      <c r="E15" s="180">
        <f t="shared" si="1"/>
        <v>7</v>
      </c>
      <c r="F15" s="180">
        <f t="shared" si="2"/>
        <v>7.1</v>
      </c>
      <c r="G15" s="180">
        <f t="shared" si="3"/>
        <v>1</v>
      </c>
      <c r="H15" s="180">
        <f t="shared" si="4"/>
        <v>1.99</v>
      </c>
      <c r="I15" s="181">
        <f t="shared" si="5"/>
        <v>7</v>
      </c>
      <c r="J15" s="181">
        <f t="shared" si="6"/>
        <v>28.116710000000001</v>
      </c>
      <c r="K15" s="182"/>
    </row>
    <row r="16" spans="1:19" x14ac:dyDescent="0.25">
      <c r="A16" s="177" t="str">
        <f>PLANTILLA!D17</f>
        <v>Fabien Fabre</v>
      </c>
      <c r="B16" s="178">
        <f>PLANTILLA!E17</f>
        <v>31</v>
      </c>
      <c r="C16" s="178">
        <f>PLANTILLA!H17</f>
        <v>5</v>
      </c>
      <c r="D16" s="179">
        <f>PLANTILLA!I17</f>
        <v>4.8</v>
      </c>
      <c r="E16" s="180">
        <f t="shared" si="1"/>
        <v>4.8</v>
      </c>
      <c r="F16" s="180">
        <f t="shared" si="2"/>
        <v>4.8999999999999995</v>
      </c>
      <c r="G16" s="180">
        <f t="shared" si="3"/>
        <v>5</v>
      </c>
      <c r="H16" s="180">
        <f t="shared" si="4"/>
        <v>5.99</v>
      </c>
      <c r="I16" s="181">
        <f t="shared" si="5"/>
        <v>120</v>
      </c>
      <c r="J16" s="181">
        <f t="shared" si="6"/>
        <v>175.81249</v>
      </c>
      <c r="K16" s="182"/>
      <c r="L16" s="68" t="s">
        <v>296</v>
      </c>
      <c r="O16" t="s">
        <v>297</v>
      </c>
      <c r="P16" s="30">
        <f>SUM(P3:P13)</f>
        <v>50.699999999999996</v>
      </c>
      <c r="Q16" s="30">
        <f>SUM(Q3:Q13)</f>
        <v>51.800000000000004</v>
      </c>
      <c r="R16" s="30"/>
    </row>
    <row r="17" spans="1:18" x14ac:dyDescent="0.25">
      <c r="A17" s="177" t="str">
        <f>PLANTILLA!D18</f>
        <v>Fernando Gazón</v>
      </c>
      <c r="B17" s="178">
        <f>PLANTILLA!E18</f>
        <v>22</v>
      </c>
      <c r="C17" s="178">
        <f>PLANTILLA!H18</f>
        <v>3</v>
      </c>
      <c r="D17" s="179">
        <f>PLANTILLA!I18</f>
        <v>2.5</v>
      </c>
      <c r="E17" s="180">
        <f t="shared" si="1"/>
        <v>2.5</v>
      </c>
      <c r="F17" s="180">
        <f t="shared" si="2"/>
        <v>2.6</v>
      </c>
      <c r="G17" s="180">
        <f t="shared" si="3"/>
        <v>3</v>
      </c>
      <c r="H17" s="180">
        <f t="shared" si="4"/>
        <v>3.99</v>
      </c>
      <c r="I17" s="181">
        <f t="shared" si="5"/>
        <v>22.5</v>
      </c>
      <c r="J17" s="181">
        <f t="shared" si="6"/>
        <v>41.392260000000007</v>
      </c>
      <c r="K17" s="182"/>
      <c r="O17" t="s">
        <v>298</v>
      </c>
      <c r="P17" s="35">
        <f>P16/17</f>
        <v>2.9823529411764702</v>
      </c>
      <c r="Q17" s="35">
        <f>Q16/17</f>
        <v>3.047058823529412</v>
      </c>
      <c r="R17" s="35"/>
    </row>
    <row r="18" spans="1:18" x14ac:dyDescent="0.25">
      <c r="A18" s="177" t="str">
        <f>PLANTILLA!D19</f>
        <v>Miklós Gábriel</v>
      </c>
      <c r="B18" s="178">
        <f>PLANTILLA!E19</f>
        <v>31</v>
      </c>
      <c r="C18" s="178">
        <f>PLANTILLA!H19</f>
        <v>2</v>
      </c>
      <c r="D18" s="179">
        <f>PLANTILLA!I19</f>
        <v>6.6</v>
      </c>
      <c r="E18" s="180">
        <f t="shared" si="1"/>
        <v>6.6</v>
      </c>
      <c r="F18" s="180">
        <f t="shared" si="2"/>
        <v>6.6999999999999993</v>
      </c>
      <c r="G18" s="180">
        <f t="shared" si="3"/>
        <v>2</v>
      </c>
      <c r="H18" s="180">
        <f t="shared" si="4"/>
        <v>2.99</v>
      </c>
      <c r="I18" s="181">
        <f t="shared" si="5"/>
        <v>26.4</v>
      </c>
      <c r="J18" s="181">
        <f t="shared" si="6"/>
        <v>59.898670000000003</v>
      </c>
      <c r="K18" s="182"/>
      <c r="L18" s="68" t="s">
        <v>299</v>
      </c>
      <c r="O18" t="s">
        <v>300</v>
      </c>
      <c r="P18" s="30">
        <f>R3^2</f>
        <v>36</v>
      </c>
      <c r="Q18" s="30">
        <f>S3^2</f>
        <v>48.860100000000003</v>
      </c>
      <c r="R18" s="30"/>
    </row>
    <row r="19" spans="1:18" x14ac:dyDescent="0.25">
      <c r="A19" s="177" t="str">
        <f>PLANTILLA!D20</f>
        <v>Emilio Rojas</v>
      </c>
      <c r="B19" s="178">
        <f>PLANTILLA!E20</f>
        <v>31</v>
      </c>
      <c r="C19" s="178">
        <f>PLANTILLA!H20</f>
        <v>4</v>
      </c>
      <c r="D19" s="179">
        <f>PLANTILLA!I20</f>
        <v>6.3</v>
      </c>
      <c r="E19" s="180">
        <f t="shared" si="1"/>
        <v>6.3</v>
      </c>
      <c r="F19" s="180">
        <f t="shared" si="2"/>
        <v>6.3999999999999995</v>
      </c>
      <c r="G19" s="180">
        <f t="shared" si="3"/>
        <v>4</v>
      </c>
      <c r="H19" s="180">
        <f t="shared" si="4"/>
        <v>4.99</v>
      </c>
      <c r="I19" s="181">
        <f t="shared" si="5"/>
        <v>100.8</v>
      </c>
      <c r="J19" s="181">
        <f t="shared" si="6"/>
        <v>159.36063999999999</v>
      </c>
      <c r="K19" s="182"/>
      <c r="L19" s="68" t="s">
        <v>301</v>
      </c>
      <c r="O19" t="s">
        <v>302</v>
      </c>
      <c r="P19" s="30">
        <f>P18*P3</f>
        <v>151.20000000000002</v>
      </c>
      <c r="Q19" s="30">
        <f>Q18*Q3</f>
        <v>210.09843000000001</v>
      </c>
      <c r="R19" s="30"/>
    </row>
    <row r="20" spans="1:18" x14ac:dyDescent="0.25">
      <c r="A20" s="177" t="str">
        <f>PLANTILLA!D21</f>
        <v>Leo Hilpinen</v>
      </c>
      <c r="B20" s="178">
        <f>PLANTILLA!E21</f>
        <v>30</v>
      </c>
      <c r="C20" s="178">
        <f>PLANTILLA!H21</f>
        <v>3</v>
      </c>
      <c r="D20" s="179">
        <f>PLANTILLA!I21</f>
        <v>5.9</v>
      </c>
      <c r="E20" s="180">
        <f t="shared" si="1"/>
        <v>5.9</v>
      </c>
      <c r="F20" s="180">
        <f t="shared" si="2"/>
        <v>6</v>
      </c>
      <c r="G20" s="180">
        <f t="shared" si="3"/>
        <v>3</v>
      </c>
      <c r="H20" s="180">
        <f t="shared" si="4"/>
        <v>3.99</v>
      </c>
      <c r="I20" s="181">
        <f t="shared" si="5"/>
        <v>53.1</v>
      </c>
      <c r="J20" s="181">
        <f t="shared" si="6"/>
        <v>95.520600000000002</v>
      </c>
      <c r="K20" s="182"/>
      <c r="L20" s="68" t="s">
        <v>303</v>
      </c>
      <c r="O20" t="s">
        <v>304</v>
      </c>
      <c r="P20" s="35">
        <f>(P19^(2/3))/30</f>
        <v>0.94604821957262919</v>
      </c>
      <c r="Q20" s="35">
        <f>(Q19^(2/3))/30</f>
        <v>1.1780415722385855</v>
      </c>
      <c r="R20" s="35"/>
    </row>
    <row r="21" spans="1:18" x14ac:dyDescent="0.25">
      <c r="A21" s="177"/>
      <c r="B21" s="178"/>
      <c r="C21" s="178"/>
      <c r="D21" s="179"/>
      <c r="E21" s="180"/>
      <c r="F21" s="180"/>
      <c r="G21" s="180"/>
      <c r="H21" s="180"/>
      <c r="I21" s="181"/>
      <c r="J21" s="181"/>
      <c r="K21" s="182"/>
      <c r="L21" s="68" t="s">
        <v>305</v>
      </c>
      <c r="O21" s="107" t="s">
        <v>167</v>
      </c>
      <c r="P21" s="135">
        <f>P17+P20</f>
        <v>3.9284011607490994</v>
      </c>
      <c r="Q21" s="135">
        <f>Q17+Q20</f>
        <v>4.2251003957679973</v>
      </c>
    </row>
    <row r="22" spans="1:18" x14ac:dyDescent="0.25">
      <c r="A22" s="177"/>
      <c r="B22" s="178"/>
      <c r="C22" s="178"/>
      <c r="D22" s="179"/>
      <c r="E22" s="180"/>
      <c r="F22" s="180"/>
      <c r="G22" s="180"/>
      <c r="H22" s="180"/>
      <c r="I22" s="181"/>
      <c r="J22" s="181"/>
      <c r="K22" s="182"/>
      <c r="L22" t="s">
        <v>306</v>
      </c>
    </row>
    <row r="23" spans="1:18" x14ac:dyDescent="0.25">
      <c r="A23" s="177"/>
      <c r="B23" s="178"/>
      <c r="C23" s="178"/>
      <c r="D23" s="179"/>
      <c r="E23" s="180"/>
      <c r="F23" s="180"/>
      <c r="G23" s="180"/>
      <c r="H23" s="180"/>
      <c r="I23" s="181"/>
      <c r="J23" s="181"/>
      <c r="K23" s="182"/>
      <c r="O23" s="28"/>
    </row>
    <row r="24" spans="1:18" x14ac:dyDescent="0.25">
      <c r="A24" s="177"/>
      <c r="B24" s="178"/>
      <c r="C24" s="178"/>
      <c r="D24" s="179"/>
      <c r="E24" s="180"/>
      <c r="F24" s="180"/>
      <c r="G24" s="180"/>
      <c r="H24" s="180"/>
      <c r="I24" s="181"/>
      <c r="J24" s="181"/>
    </row>
    <row r="25" spans="1:18" x14ac:dyDescent="0.25">
      <c r="A25" s="177"/>
      <c r="B25" s="178"/>
      <c r="C25" s="178"/>
      <c r="D25" s="179"/>
      <c r="E25" s="180"/>
      <c r="F25" s="180"/>
      <c r="G25" s="180"/>
      <c r="H25" s="180"/>
      <c r="I25" s="181"/>
      <c r="J25" s="181"/>
    </row>
    <row r="26" spans="1:18" x14ac:dyDescent="0.25">
      <c r="A26" s="177"/>
      <c r="B26" s="178"/>
      <c r="C26" s="178"/>
      <c r="D26" s="179"/>
      <c r="E26" s="180"/>
      <c r="F26" s="180"/>
      <c r="G26" s="180"/>
      <c r="H26" s="180"/>
      <c r="I26" s="181"/>
      <c r="J26" s="181"/>
    </row>
    <row r="27" spans="1:18" x14ac:dyDescent="0.25">
      <c r="A27" s="177"/>
      <c r="B27" s="178"/>
      <c r="C27" s="178"/>
      <c r="D27" s="179"/>
      <c r="E27" s="180"/>
      <c r="F27" s="180"/>
      <c r="G27" s="180"/>
      <c r="H27" s="180"/>
      <c r="I27" s="181"/>
      <c r="J27" s="181"/>
    </row>
    <row r="28" spans="1:18" x14ac:dyDescent="0.25">
      <c r="A28" s="177"/>
      <c r="B28" s="178"/>
      <c r="C28" s="178"/>
      <c r="D28" s="179"/>
      <c r="E28" s="180"/>
      <c r="F28" s="180"/>
      <c r="G28" s="180"/>
      <c r="H28" s="180"/>
      <c r="I28" s="181"/>
      <c r="J28" s="181"/>
    </row>
    <row r="29" spans="1:18" x14ac:dyDescent="0.25">
      <c r="A29" s="177"/>
      <c r="B29" s="178"/>
      <c r="C29" s="178"/>
      <c r="D29" s="179"/>
      <c r="E29" s="180"/>
      <c r="F29" s="180"/>
      <c r="G29" s="180"/>
      <c r="H29" s="180"/>
      <c r="I29" s="181"/>
      <c r="J29" s="181"/>
    </row>
    <row r="30" spans="1:18" x14ac:dyDescent="0.25">
      <c r="A30" s="177"/>
      <c r="B30" s="178"/>
      <c r="C30" s="178"/>
      <c r="D30" s="179"/>
      <c r="E30" s="180"/>
      <c r="F30" s="180"/>
      <c r="G30" s="180"/>
      <c r="H30" s="180"/>
      <c r="I30" s="181"/>
      <c r="J30" s="181"/>
    </row>
    <row r="31" spans="1:18" x14ac:dyDescent="0.25">
      <c r="A31" s="177"/>
      <c r="B31" s="178"/>
      <c r="C31" s="178"/>
      <c r="D31" s="179"/>
      <c r="E31" s="180"/>
      <c r="F31" s="180"/>
      <c r="G31" s="180"/>
      <c r="H31" s="180"/>
      <c r="I31" s="181"/>
      <c r="J31" s="181"/>
    </row>
  </sheetData>
  <conditionalFormatting sqref="I3:J31">
    <cfRule type="cellIs" dxfId="6" priority="1" operator="between">
      <formula>70</formula>
      <formula>100</formula>
    </cfRule>
    <cfRule type="cellIs" dxfId="5" priority="2" operator="greaterThan">
      <formula>100</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3">
    <tabColor rgb="FF00B0F0"/>
  </sheetPr>
  <dimension ref="A1:CE29"/>
  <sheetViews>
    <sheetView workbookViewId="0">
      <pane xSplit="9" ySplit="2" topLeftCell="BE3" activePane="bottomRight" state="frozen"/>
      <selection pane="topRight" activeCell="J1" sqref="J1"/>
      <selection pane="bottomLeft" activeCell="A3" sqref="A3"/>
      <selection pane="bottomRight" activeCell="CC18" sqref="CC18"/>
    </sheetView>
  </sheetViews>
  <sheetFormatPr baseColWidth="10" defaultColWidth="11.42578125" defaultRowHeight="15" x14ac:dyDescent="0.25"/>
  <cols>
    <col min="1" max="1" width="19.7109375" bestFit="1" customWidth="1"/>
    <col min="2" max="2" width="5.42578125" bestFit="1" customWidth="1"/>
    <col min="3" max="3" width="5.5703125" bestFit="1" customWidth="1"/>
    <col min="4" max="4" width="5.42578125" style="62" bestFit="1" customWidth="1"/>
    <col min="5" max="5" width="13" bestFit="1" customWidth="1"/>
    <col min="6" max="6" width="4.5703125" bestFit="1" customWidth="1"/>
    <col min="7" max="7" width="5.42578125" bestFit="1" customWidth="1"/>
    <col min="8" max="8" width="5.7109375" bestFit="1" customWidth="1"/>
    <col min="9" max="9" width="7.42578125" bestFit="1" customWidth="1"/>
    <col min="10" max="10" width="4.5703125" bestFit="1" customWidth="1"/>
    <col min="11" max="17" width="5.5703125" bestFit="1" customWidth="1"/>
    <col min="18" max="18" width="4.85546875" bestFit="1" customWidth="1"/>
    <col min="19" max="20" width="6.140625" bestFit="1" customWidth="1"/>
    <col min="21" max="22" width="7.85546875" bestFit="1" customWidth="1"/>
    <col min="23" max="23" width="7.7109375" bestFit="1" customWidth="1"/>
    <col min="24" max="24" width="7.85546875" bestFit="1" customWidth="1"/>
    <col min="25" max="25" width="7.42578125" bestFit="1" customWidth="1"/>
    <col min="26" max="26" width="10" bestFit="1" customWidth="1"/>
    <col min="27" max="27" width="7.85546875" bestFit="1" customWidth="1"/>
    <col min="28" max="28" width="7.42578125" bestFit="1" customWidth="1"/>
    <col min="29" max="29" width="5.140625" bestFit="1" customWidth="1"/>
    <col min="30" max="30" width="7.42578125" bestFit="1" customWidth="1"/>
    <col min="31" max="31" width="7.85546875" bestFit="1" customWidth="1"/>
    <col min="32" max="32" width="7.42578125" bestFit="1" customWidth="1"/>
    <col min="33" max="33" width="5.140625" bestFit="1" customWidth="1"/>
    <col min="34" max="34" width="9.7109375" bestFit="1" customWidth="1"/>
    <col min="35" max="35" width="7.85546875" bestFit="1" customWidth="1"/>
    <col min="36" max="36" width="5.140625" bestFit="1" customWidth="1"/>
    <col min="37" max="37" width="6.42578125" bestFit="1" customWidth="1"/>
    <col min="38" max="38" width="7.42578125" bestFit="1" customWidth="1"/>
    <col min="39" max="41" width="7.85546875" bestFit="1" customWidth="1"/>
    <col min="42" max="42" width="7.42578125" bestFit="1" customWidth="1"/>
    <col min="43" max="43" width="7.85546875" bestFit="1" customWidth="1"/>
    <col min="44" max="44" width="7.42578125" bestFit="1" customWidth="1"/>
    <col min="45" max="45" width="5.5703125" bestFit="1" customWidth="1"/>
    <col min="46" max="46" width="6.42578125" bestFit="1" customWidth="1"/>
    <col min="47" max="47" width="6.85546875" bestFit="1" customWidth="1"/>
    <col min="48" max="48" width="6.42578125" bestFit="1" customWidth="1"/>
    <col min="49" max="49" width="7.42578125" bestFit="1" customWidth="1"/>
    <col min="50" max="50" width="7.85546875" bestFit="1" customWidth="1"/>
    <col min="51" max="51" width="7.42578125" bestFit="1" customWidth="1"/>
    <col min="52" max="52" width="5.5703125" bestFit="1" customWidth="1"/>
    <col min="53" max="53" width="6.42578125" bestFit="1" customWidth="1"/>
    <col min="54" max="54" width="6.85546875" bestFit="1" customWidth="1"/>
    <col min="55" max="55" width="6.42578125" bestFit="1" customWidth="1"/>
    <col min="56" max="56" width="7.42578125" bestFit="1" customWidth="1"/>
    <col min="57" max="57" width="7.85546875" bestFit="1" customWidth="1"/>
    <col min="58" max="58" width="5.5703125" bestFit="1" customWidth="1"/>
    <col min="59" max="59" width="6.42578125" bestFit="1" customWidth="1"/>
    <col min="60" max="60" width="6.85546875" bestFit="1" customWidth="1"/>
    <col min="61" max="61" width="7.42578125" bestFit="1" customWidth="1"/>
    <col min="62" max="62" width="7.85546875" bestFit="1" customWidth="1"/>
    <col min="63" max="63" width="5.140625" bestFit="1" customWidth="1"/>
    <col min="64" max="64" width="6.42578125" bestFit="1" customWidth="1"/>
    <col min="65" max="65" width="6.85546875" bestFit="1" customWidth="1"/>
    <col min="66" max="66" width="7.42578125" bestFit="1" customWidth="1"/>
    <col min="67" max="67" width="7.85546875" bestFit="1" customWidth="1"/>
    <col min="68" max="68" width="5.140625" bestFit="1" customWidth="1"/>
    <col min="69" max="69" width="6.42578125" bestFit="1" customWidth="1"/>
    <col min="70" max="70" width="6.85546875" bestFit="1" customWidth="1"/>
    <col min="71" max="71" width="7.42578125" bestFit="1" customWidth="1"/>
    <col min="72" max="72" width="7.85546875" bestFit="1" customWidth="1"/>
    <col min="73" max="73" width="6" customWidth="1"/>
    <col min="74" max="74" width="6.42578125" bestFit="1" customWidth="1"/>
    <col min="75" max="75" width="6.85546875" bestFit="1" customWidth="1"/>
    <col min="76" max="76" width="5.140625" bestFit="1" customWidth="1"/>
    <col min="77" max="77" width="6.42578125" bestFit="1" customWidth="1"/>
    <col min="78" max="78" width="6.85546875" bestFit="1" customWidth="1"/>
    <col min="79" max="80" width="6.42578125" bestFit="1" customWidth="1"/>
    <col min="81" max="81" width="6.85546875" bestFit="1" customWidth="1"/>
    <col min="82" max="82" width="6.42578125" bestFit="1" customWidth="1"/>
    <col min="83" max="83" width="5.140625" bestFit="1" customWidth="1"/>
  </cols>
  <sheetData>
    <row r="1" spans="1:83" x14ac:dyDescent="0.25">
      <c r="A1" s="28"/>
      <c r="W1" t="s">
        <v>70</v>
      </c>
      <c r="Z1" t="s">
        <v>71</v>
      </c>
      <c r="AD1" t="s">
        <v>72</v>
      </c>
      <c r="AH1" t="s">
        <v>73</v>
      </c>
      <c r="AL1" t="s">
        <v>74</v>
      </c>
      <c r="AP1" t="s">
        <v>75</v>
      </c>
      <c r="AW1" t="s">
        <v>76</v>
      </c>
      <c r="BD1" t="s">
        <v>47</v>
      </c>
      <c r="BI1" t="s">
        <v>77</v>
      </c>
      <c r="BN1" t="s">
        <v>78</v>
      </c>
      <c r="BS1" t="s">
        <v>79</v>
      </c>
      <c r="BX1" t="s">
        <v>80</v>
      </c>
      <c r="CB1" t="s">
        <v>43</v>
      </c>
    </row>
    <row r="2" spans="1:83" x14ac:dyDescent="0.25">
      <c r="A2" s="39" t="s">
        <v>3</v>
      </c>
      <c r="B2" s="39" t="s">
        <v>81</v>
      </c>
      <c r="C2" s="39" t="s">
        <v>5</v>
      </c>
      <c r="D2" s="104" t="s">
        <v>82</v>
      </c>
      <c r="E2" s="39" t="s">
        <v>83</v>
      </c>
      <c r="F2" s="47" t="s">
        <v>84</v>
      </c>
      <c r="G2" s="47" t="s">
        <v>96</v>
      </c>
      <c r="H2" s="47" t="s">
        <v>97</v>
      </c>
      <c r="I2" s="48" t="s">
        <v>98</v>
      </c>
      <c r="J2" s="40" t="s">
        <v>85</v>
      </c>
      <c r="K2" s="40" t="s">
        <v>27</v>
      </c>
      <c r="L2" s="40" t="s">
        <v>29</v>
      </c>
      <c r="M2" s="40" t="s">
        <v>86</v>
      </c>
      <c r="N2" s="40" t="s">
        <v>69</v>
      </c>
      <c r="O2" s="40" t="s">
        <v>87</v>
      </c>
      <c r="P2" s="40" t="s">
        <v>88</v>
      </c>
      <c r="Q2" s="40" t="s">
        <v>46</v>
      </c>
      <c r="R2" s="41" t="s">
        <v>21</v>
      </c>
      <c r="S2" s="41" t="s">
        <v>89</v>
      </c>
      <c r="T2" s="41" t="s">
        <v>90</v>
      </c>
      <c r="U2" s="41" t="s">
        <v>25</v>
      </c>
      <c r="V2" s="41" t="s">
        <v>26</v>
      </c>
      <c r="W2" s="42" t="s">
        <v>91</v>
      </c>
      <c r="X2" s="42" t="s">
        <v>92</v>
      </c>
      <c r="Y2" s="42" t="s">
        <v>91</v>
      </c>
      <c r="Z2" s="43" t="s">
        <v>91</v>
      </c>
      <c r="AA2" s="43" t="s">
        <v>92</v>
      </c>
      <c r="AB2" s="43" t="s">
        <v>91</v>
      </c>
      <c r="AC2" s="43" t="s">
        <v>93</v>
      </c>
      <c r="AD2" s="43" t="s">
        <v>91</v>
      </c>
      <c r="AE2" s="43" t="s">
        <v>92</v>
      </c>
      <c r="AF2" s="43" t="s">
        <v>91</v>
      </c>
      <c r="AG2" s="43" t="s">
        <v>93</v>
      </c>
      <c r="AH2" s="42" t="s">
        <v>91</v>
      </c>
      <c r="AI2" s="42" t="s">
        <v>92</v>
      </c>
      <c r="AJ2" s="42" t="s">
        <v>93</v>
      </c>
      <c r="AK2" s="42" t="s">
        <v>94</v>
      </c>
      <c r="AL2" s="42" t="s">
        <v>91</v>
      </c>
      <c r="AM2" s="42" t="s">
        <v>92</v>
      </c>
      <c r="AN2" s="42" t="s">
        <v>93</v>
      </c>
      <c r="AO2" s="42" t="s">
        <v>94</v>
      </c>
      <c r="AP2" s="42" t="s">
        <v>91</v>
      </c>
      <c r="AQ2" s="42" t="s">
        <v>92</v>
      </c>
      <c r="AR2" s="42" t="s">
        <v>91</v>
      </c>
      <c r="AS2" s="42" t="s">
        <v>93</v>
      </c>
      <c r="AT2" s="42" t="s">
        <v>94</v>
      </c>
      <c r="AU2" s="42" t="s">
        <v>95</v>
      </c>
      <c r="AV2" s="42" t="s">
        <v>94</v>
      </c>
      <c r="AW2" s="42" t="s">
        <v>91</v>
      </c>
      <c r="AX2" s="42" t="s">
        <v>92</v>
      </c>
      <c r="AY2" s="42" t="s">
        <v>91</v>
      </c>
      <c r="AZ2" s="42" t="s">
        <v>93</v>
      </c>
      <c r="BA2" s="42" t="s">
        <v>94</v>
      </c>
      <c r="BB2" s="42" t="s">
        <v>95</v>
      </c>
      <c r="BC2" s="42" t="s">
        <v>94</v>
      </c>
      <c r="BD2" s="43" t="s">
        <v>91</v>
      </c>
      <c r="BE2" s="43" t="s">
        <v>92</v>
      </c>
      <c r="BF2" s="43" t="s">
        <v>93</v>
      </c>
      <c r="BG2" s="43" t="s">
        <v>94</v>
      </c>
      <c r="BH2" s="43" t="s">
        <v>95</v>
      </c>
      <c r="BI2" s="43" t="s">
        <v>91</v>
      </c>
      <c r="BJ2" s="43" t="s">
        <v>92</v>
      </c>
      <c r="BK2" s="43" t="s">
        <v>93</v>
      </c>
      <c r="BL2" s="43" t="s">
        <v>94</v>
      </c>
      <c r="BM2" s="43" t="s">
        <v>95</v>
      </c>
      <c r="BN2" s="42" t="s">
        <v>91</v>
      </c>
      <c r="BO2" s="42" t="s">
        <v>92</v>
      </c>
      <c r="BP2" s="42" t="s">
        <v>93</v>
      </c>
      <c r="BQ2" s="42" t="s">
        <v>94</v>
      </c>
      <c r="BR2" s="42" t="s">
        <v>95</v>
      </c>
      <c r="BS2" s="42" t="s">
        <v>91</v>
      </c>
      <c r="BT2" s="42" t="s">
        <v>92</v>
      </c>
      <c r="BU2" s="42" t="s">
        <v>93</v>
      </c>
      <c r="BV2" s="42" t="s">
        <v>94</v>
      </c>
      <c r="BW2" s="42" t="s">
        <v>95</v>
      </c>
      <c r="BX2" s="43" t="s">
        <v>93</v>
      </c>
      <c r="BY2" s="43" t="s">
        <v>94</v>
      </c>
      <c r="BZ2" s="43" t="s">
        <v>95</v>
      </c>
      <c r="CA2" s="43" t="s">
        <v>94</v>
      </c>
      <c r="CB2" s="42" t="s">
        <v>94</v>
      </c>
      <c r="CC2" s="42" t="s">
        <v>95</v>
      </c>
      <c r="CD2" s="42" t="s">
        <v>94</v>
      </c>
      <c r="CE2" s="42" t="s">
        <v>93</v>
      </c>
    </row>
    <row r="3" spans="1:83" x14ac:dyDescent="0.25">
      <c r="A3" t="str">
        <f>PLANTILLA!D4</f>
        <v>Cosme Fonteboa</v>
      </c>
      <c r="B3">
        <f>PLANTILLA!E4</f>
        <v>22</v>
      </c>
      <c r="C3" s="31">
        <f ca="1">PLANTILLA!F4</f>
        <v>48</v>
      </c>
      <c r="D3" s="194">
        <f>PLANTILLA!G4</f>
        <v>0</v>
      </c>
      <c r="E3" s="28">
        <f>PLANTILLA!M4</f>
        <v>43415</v>
      </c>
      <c r="F3" s="45">
        <f>PLANTILLA!Q4</f>
        <v>3</v>
      </c>
      <c r="G3" s="46">
        <f t="shared" ref="G3" si="0">(F3/7)^0.5</f>
        <v>0.65465367070797709</v>
      </c>
      <c r="H3" s="46">
        <f t="shared" ref="H3" si="1">IF(F3=7,1,((F3+0.99)/7)^0.5)</f>
        <v>0.75498344352707503</v>
      </c>
      <c r="I3" s="222">
        <f ca="1">PLANTILLA!N4</f>
        <v>0.76702366970655766</v>
      </c>
      <c r="J3" s="37">
        <f>PLANTILLA!I4</f>
        <v>4.5999999999999996</v>
      </c>
      <c r="K3" s="44">
        <f>PLANTILLA!X4</f>
        <v>15</v>
      </c>
      <c r="L3" s="44">
        <f>PLANTILLA!Y4</f>
        <v>10.428571428571429</v>
      </c>
      <c r="M3" s="44">
        <f>PLANTILLA!Z4</f>
        <v>0</v>
      </c>
      <c r="N3" s="44">
        <f>PLANTILLA!AA4</f>
        <v>0</v>
      </c>
      <c r="O3" s="44">
        <f>PLANTILLA!AB4</f>
        <v>0</v>
      </c>
      <c r="P3" s="44">
        <f>PLANTILLA!AC4</f>
        <v>1</v>
      </c>
      <c r="Q3" s="44">
        <f>PLANTILLA!AD4</f>
        <v>1</v>
      </c>
      <c r="R3" s="44">
        <f t="shared" ref="R3" si="2">((2*(O3+1))+(L3+1))/8</f>
        <v>1.6785714285714286</v>
      </c>
      <c r="S3" s="44">
        <f t="shared" ref="S3" si="3">(0.5*P3+ 0.3*Q3)/10</f>
        <v>0.08</v>
      </c>
      <c r="T3" s="44">
        <f t="shared" ref="T3" si="4">(0.4*L3+0.3*Q3)/10</f>
        <v>0.44714285714285718</v>
      </c>
      <c r="U3" s="44">
        <f t="shared" ref="U3" ca="1" si="5">(Q3+I3+(LOG(J3)*4/3))*(F3/7)^0.5</f>
        <v>1.7352909946690145</v>
      </c>
      <c r="V3" s="44">
        <f t="shared" ref="V3" ca="1" si="6">IF(F3=7,U3,(Q3+I3+(LOG(J3)*4/3))*((F3+0.99)/7)^0.5)</f>
        <v>2.0012352015988957</v>
      </c>
      <c r="W3" s="35">
        <f t="shared" ref="W3" ca="1" si="7">((K3+I3+(LOG(J3)*4/3))*0.597)+((L3+I3+(LOG(J3)*4/3))*0.276)</f>
        <v>13.274347494016892</v>
      </c>
      <c r="X3" s="35">
        <f t="shared" ref="X3" ca="1" si="8">((K3+I3+(LOG(J3)*4/3))*0.866)+((L3+I3+(LOG(J3)*4/3))*0.425)</f>
        <v>19.553197562335239</v>
      </c>
      <c r="Y3" s="35">
        <f t="shared" ref="Y3" ca="1" si="9">W3</f>
        <v>13.274347494016892</v>
      </c>
      <c r="Z3" s="35">
        <f t="shared" ref="Z3" ca="1" si="10">((L3+I3+(LOG(J3)*4/3))*0.516)</f>
        <v>6.2329044589083633</v>
      </c>
      <c r="AA3" s="35">
        <f t="shared" ref="AA3" ca="1" si="11">((L3+I3+(LOG(J3)*4/3))*1)</f>
        <v>12.079272207186751</v>
      </c>
      <c r="AB3" s="35">
        <f t="shared" ref="AB3" ca="1" si="12">Z3/2</f>
        <v>3.1164522294541817</v>
      </c>
      <c r="AC3" s="35">
        <f t="shared" ref="AC3" ca="1" si="13">((M3+I3+(LOG(J3)*4/3))*0.238)</f>
        <v>0.39286678531044689</v>
      </c>
      <c r="AD3" s="35">
        <f t="shared" ref="AD3" ca="1" si="14">((L3+I3+(LOG(J3)*4/3))*0.378)</f>
        <v>4.5659648943165916</v>
      </c>
      <c r="AE3" s="35">
        <f t="shared" ref="AE3" ca="1" si="15">((L3+I3+(LOG(J3)*4/3))*0.723)</f>
        <v>8.7333138057960209</v>
      </c>
      <c r="AF3" s="35">
        <f t="shared" ref="AF3" ca="1" si="16">AD3/2</f>
        <v>2.2829824471582958</v>
      </c>
      <c r="AG3" s="35">
        <f t="shared" ref="AG3" ca="1" si="17">((M3+I3+(LOG(J3)*4/3))*0.385)</f>
        <v>0.63551979976689943</v>
      </c>
      <c r="AH3" s="35">
        <f t="shared" ref="AH3" ca="1" si="18">((L3+I3+(LOG(J3)*4/3))*0.92)</f>
        <v>11.112930430611812</v>
      </c>
      <c r="AI3" s="35">
        <f t="shared" ref="AI3" ca="1" si="19">((L3+I3+(LOG(J3)*4/3))*0.414)</f>
        <v>5.0008186937753143</v>
      </c>
      <c r="AJ3" s="35">
        <f t="shared" ref="AJ3" ca="1" si="20">((M3+I3+(LOG(J3)*4/3))*0.167)</f>
        <v>0.27566703002875897</v>
      </c>
      <c r="AK3" s="35">
        <f t="shared" ref="AK3" ca="1" si="21">((N3+I3+(LOG(J3)*4/3))*0.588)</f>
        <v>0.97061205782580995</v>
      </c>
      <c r="AL3" s="35">
        <f t="shared" ref="AL3" ca="1" si="22">((L3+I3+(LOG(J3)*4/3))*0.754)</f>
        <v>9.1077712442188101</v>
      </c>
      <c r="AM3" s="35">
        <f t="shared" ref="AM3" ca="1" si="23">((L3+I3+(LOG(J3)*4/3))*0.708)</f>
        <v>8.5521247226882195</v>
      </c>
      <c r="AN3" s="35">
        <f t="shared" ref="AN3" ca="1" si="24">((Q3+I3+(LOG(J3)*4/3))*0.167)</f>
        <v>0.44266703002875901</v>
      </c>
      <c r="AO3" s="35">
        <f t="shared" ref="AO3" ca="1" si="25">((R3+I3+(LOG(J3)*4/3))*0.288)</f>
        <v>0.95883039566978445</v>
      </c>
      <c r="AP3" s="35">
        <f t="shared" ref="AP3" ca="1" si="26">((L3+I3+(LOG(J3)*4/3))*0.27)</f>
        <v>3.261403495940423</v>
      </c>
      <c r="AQ3" s="35">
        <f t="shared" ref="AQ3" ca="1" si="27">((L3+I3+(LOG(J3)*4/3))*0.594)</f>
        <v>7.1750876910689296</v>
      </c>
      <c r="AR3" s="35">
        <f t="shared" ref="AR3" ca="1" si="28">AP3/2</f>
        <v>1.6307017479702115</v>
      </c>
      <c r="AS3" s="35">
        <f t="shared" ref="AS3" ca="1" si="29">((M3+I3+(LOG(J3)*4/3))*0.944)</f>
        <v>1.558261535012865</v>
      </c>
      <c r="AT3" s="35">
        <f t="shared" ref="AT3" ca="1" si="30">((O3+I3+(LOG(J3)*4/3))*0.13)</f>
        <v>0.21459110121999203</v>
      </c>
      <c r="AU3" s="35">
        <f t="shared" ref="AU3" ca="1" si="31">((P3+I3+(LOG(J3)*4/3))*0.173)+((O3+I3+(LOG(J3)*4/3))*0.12)</f>
        <v>0.65665532813428973</v>
      </c>
      <c r="AV3" s="35">
        <f t="shared" ref="AV3" ca="1" si="32">AT3/2</f>
        <v>0.10729555060999602</v>
      </c>
      <c r="AW3" s="35">
        <f t="shared" ref="AW3" ca="1" si="33">((L3+I3+(LOG(J3)*4/3))*0.189)</f>
        <v>2.2829824471582958</v>
      </c>
      <c r="AX3" s="35">
        <f t="shared" ref="AX3" ca="1" si="34">((L3+I3+(LOG(J3)*4/3))*0.4)</f>
        <v>4.8317088828747004</v>
      </c>
      <c r="AY3" s="35">
        <f t="shared" ref="AY3" ca="1" si="35">AW3/2</f>
        <v>1.1414912235791479</v>
      </c>
      <c r="AZ3" s="35">
        <f t="shared" ref="AZ3" ca="1" si="36">((M3+I3+(LOG(J3)*4/3))*1)</f>
        <v>1.6507007786153232</v>
      </c>
      <c r="BA3" s="35">
        <f t="shared" ref="BA3" ca="1" si="37">((O3+I3+(LOG(J3)*4/3))*0.253)</f>
        <v>0.41762729698967677</v>
      </c>
      <c r="BB3" s="35">
        <f t="shared" ref="BB3" ca="1" si="38">((P3+I3+(LOG(J3)*4/3))*0.21)+((O3+I3+(LOG(J3)*4/3))*0.341)</f>
        <v>1.1195361290170429</v>
      </c>
      <c r="BC3" s="35">
        <f t="shared" ref="BC3" ca="1" si="39">BA3/2</f>
        <v>0.20881364849483838</v>
      </c>
      <c r="BD3" s="35">
        <f t="shared" ref="BD3" ca="1" si="40">((L3+I3+(LOG(J3)*4/3))*0.291)</f>
        <v>3.5150682122913444</v>
      </c>
      <c r="BE3" s="35">
        <f t="shared" ref="BE3" ca="1" si="41">((L3+I3+(LOG(J3)*4/3))*0.348)</f>
        <v>4.2035867281009889</v>
      </c>
      <c r="BF3" s="35">
        <f t="shared" ref="BF3" ca="1" si="42">((M3+I3+(LOG(J3)*4/3))*0.881)</f>
        <v>1.4542673859600996</v>
      </c>
      <c r="BG3" s="35">
        <f t="shared" ref="BG3" ca="1" si="43">((N3+I3+(LOG(J3)*4/3))*0.574)+((O3+I3+(LOG(J3)*4/3))*0.315)</f>
        <v>1.4674729921890224</v>
      </c>
      <c r="BH3" s="35">
        <f t="shared" ref="BH3" ca="1" si="44">((O3+I3+(LOG(J3)*4/3))*0.241)</f>
        <v>0.39781888764629286</v>
      </c>
      <c r="BI3" s="35">
        <f t="shared" ref="BI3" ca="1" si="45">((L3+I3+(LOG(J3)*4/3))*0.485)</f>
        <v>5.8584470204855741</v>
      </c>
      <c r="BJ3" s="35">
        <f t="shared" ref="BJ3" ca="1" si="46">((L3+I3+(LOG(J3)*4/3))*0.264)</f>
        <v>3.1889278626973026</v>
      </c>
      <c r="BK3" s="35">
        <f t="shared" ref="BK3" ca="1" si="47">((M3+I3+(LOG(J3)*4/3))*0.381)</f>
        <v>0.62891699665243816</v>
      </c>
      <c r="BL3" s="35">
        <f t="shared" ref="BL3" ca="1" si="48">((N3+I3+(LOG(J3)*4/3))*0.673)+((O3+I3+(LOG(J3)*4/3))*0.201)</f>
        <v>1.4427124805097926</v>
      </c>
      <c r="BM3" s="35">
        <f t="shared" ref="BM3" ca="1" si="49">((O3+I3+(LOG(J3)*4/3))*0.052)</f>
        <v>8.5836440487996796E-2</v>
      </c>
      <c r="BN3" s="35">
        <f t="shared" ref="BN3" ca="1" si="50">((L3+I3+(LOG(J3)*4/3))*0.18)</f>
        <v>2.1742689972936149</v>
      </c>
      <c r="BO3" s="35">
        <f t="shared" ref="BO3" ca="1" si="51">((L3+I3+(LOG(J3)*4/3))*0.068)</f>
        <v>0.82139051008869912</v>
      </c>
      <c r="BP3" s="35">
        <f t="shared" ref="BP3" ca="1" si="52">((M3+I3+(LOG(J3)*4/3))*0.305)</f>
        <v>0.50346373747767359</v>
      </c>
      <c r="BQ3" s="35">
        <f t="shared" ref="BQ3" ca="1" si="53">((N3+I3+(LOG(J3)*4/3))*1)+((O3+I3+(LOG(J3)*4/3))*0.286)</f>
        <v>2.1228012012993056</v>
      </c>
      <c r="BR3" s="35">
        <f t="shared" ref="BR3" ca="1" si="54">((O3+I3+(LOG(J3)*4/3))*0.135)</f>
        <v>0.22284460511306864</v>
      </c>
      <c r="BS3" s="35">
        <f t="shared" ref="BS3" ca="1" si="55">((L3+I3+(LOG(J3)*4/3))*0.284)</f>
        <v>3.4305133068410369</v>
      </c>
      <c r="BT3" s="35">
        <f t="shared" ref="BT3" ca="1" si="56">((L3+I3+(LOG(J3)*4/3))*0.244)</f>
        <v>2.9473424185535673</v>
      </c>
      <c r="BU3" s="35">
        <f t="shared" ref="BU3" ca="1" si="57">((M3+I3+(LOG(J3)*4/3))*0.631)</f>
        <v>1.0415921913062689</v>
      </c>
      <c r="BV3" s="35">
        <f t="shared" ref="BV3" ca="1" si="58">((N3+I3+(LOG(J3)*4/3))*0.702)+((O3+I3+(LOG(J3)*4/3))*0.193)</f>
        <v>1.4773771968607141</v>
      </c>
      <c r="BW3" s="35">
        <f t="shared" ref="BW3" ca="1" si="59">((O3+I3+(LOG(J3)*4/3))*0.148)</f>
        <v>0.2443037152350678</v>
      </c>
      <c r="BX3" s="35">
        <f t="shared" ref="BX3" ca="1" si="60">((M3+I3+(LOG(J3)*4/3))*0.406)</f>
        <v>0.67018451611782126</v>
      </c>
      <c r="BY3" s="35">
        <f t="shared" ref="BY3" ca="1" si="61">IF(D3="TEC",((N3+I3+(LOG(J3)*4/3))*0.15)+((O3+I3+(LOG(J3)*4/3))*0.324)+((P3+I3+(LOG(J3)*4/3))*0.127),((N3+I3+(LOG(J3)*4/3))*0.144)+((O3+I3+(LOG(J3)*4/3))*0.25)+((P3+I3+(LOG(J3)*4/3))*0.127))</f>
        <v>0.98701510565858341</v>
      </c>
      <c r="BZ3" s="35">
        <f t="shared" ref="BZ3" ca="1" si="62">IF(D3="TEC",((O3+I3+(LOG(J3)*4/3))*0.543)+((P3+I3+(LOG(J3)*4/3))*0.583),((O3+I3+(LOG(J3)*4/3))*0.543)+((P3+I3+(LOG(J3)*4/3))*0.583))</f>
        <v>2.4416890767208539</v>
      </c>
      <c r="CA3" s="35">
        <f t="shared" ref="CA3" ca="1" si="63">BY3</f>
        <v>0.98701510565858341</v>
      </c>
      <c r="CB3" s="35">
        <f t="shared" ref="CB3" ca="1" si="64">((P3+I3+(LOG(J3)*4/3))*0.26)+((N3+I3+(LOG(J3)*4/3))*0.221)+((O3+I3+(LOG(J3)*4/3))*0.142)</f>
        <v>1.2883865850773464</v>
      </c>
      <c r="CC3" s="35">
        <f t="shared" ref="CC3" ca="1" si="65">((P3+I3+(LOG(J3)*4/3))*1)+((O3+I3+(LOG(J3)*4/3))*0.369)</f>
        <v>3.2598093659243776</v>
      </c>
      <c r="CD3" s="35">
        <f t="shared" ref="CD3" ca="1" si="66">CB3</f>
        <v>1.2883865850773464</v>
      </c>
      <c r="CE3" s="35">
        <f t="shared" ref="CE3" ca="1" si="67">((M3+I3+(LOG(J3)*4/3))*0.25)</f>
        <v>0.41267519465383079</v>
      </c>
    </row>
    <row r="4" spans="1:83" x14ac:dyDescent="0.25">
      <c r="A4" t="str">
        <f>PLANTILLA!D5</f>
        <v>Nicolae Hornet</v>
      </c>
      <c r="B4">
        <f>PLANTILLA!E5</f>
        <v>22</v>
      </c>
      <c r="C4" s="31">
        <f ca="1">PLANTILLA!F5</f>
        <v>73</v>
      </c>
      <c r="D4" s="216">
        <f>PLANTILLA!G5</f>
        <v>0</v>
      </c>
      <c r="E4" s="28">
        <f>PLANTILLA!M5</f>
        <v>43190</v>
      </c>
      <c r="F4" s="45">
        <f>PLANTILLA!Q5</f>
        <v>6</v>
      </c>
      <c r="G4" s="46">
        <f t="shared" ref="G4:G18" si="68">(F4/7)^0.5</f>
        <v>0.92582009977255142</v>
      </c>
      <c r="H4" s="46">
        <f t="shared" ref="H4:H18" si="69">IF(F4=7,1,((F4+0.99)/7)^0.5)</f>
        <v>0.99928545900129484</v>
      </c>
      <c r="I4" s="222">
        <f ca="1">PLANTILLA!N5</f>
        <v>1</v>
      </c>
      <c r="J4" s="37">
        <f>PLANTILLA!I5</f>
        <v>1.4</v>
      </c>
      <c r="K4" s="44">
        <f>PLANTILLA!X5</f>
        <v>6</v>
      </c>
      <c r="L4" s="44">
        <f>PLANTILLA!Y5</f>
        <v>4</v>
      </c>
      <c r="M4" s="44">
        <f>PLANTILLA!Z5</f>
        <v>0</v>
      </c>
      <c r="N4" s="44">
        <f>PLANTILLA!AA5</f>
        <v>3</v>
      </c>
      <c r="O4" s="44">
        <f>PLANTILLA!AB5</f>
        <v>0</v>
      </c>
      <c r="P4" s="44">
        <f>PLANTILLA!AC5</f>
        <v>1</v>
      </c>
      <c r="Q4" s="44">
        <f>PLANTILLA!AD5</f>
        <v>1</v>
      </c>
      <c r="R4" s="44">
        <f t="shared" ref="R4:R20" si="70">((2*(O4+1))+(L4+1))/8</f>
        <v>0.875</v>
      </c>
      <c r="S4" s="44">
        <f t="shared" ref="S4:S20" si="71">(0.5*P4+ 0.3*Q4)/10</f>
        <v>0.08</v>
      </c>
      <c r="T4" s="44">
        <f t="shared" ref="T4:T20" si="72">(0.4*L4+0.3*Q4)/10</f>
        <v>0.19</v>
      </c>
      <c r="U4" s="44">
        <f t="shared" ref="U4:U20" ca="1" si="73">(Q4+I4+(LOG(J4)*4/3))*(F4/7)^0.5</f>
        <v>2.0320245629733606</v>
      </c>
      <c r="V4" s="44">
        <f t="shared" ref="V4:V20" ca="1" si="74">IF(F4=7,U4,(Q4+I4+(LOG(J4)*4/3))*((F4+0.99)/7)^0.5)</f>
        <v>2.1932690796101708</v>
      </c>
      <c r="W4" s="35">
        <f t="shared" ref="W4:W20" ca="1" si="75">((K4+I4+(LOG(J4)*4/3))*0.597)+((L4+I4+(LOG(J4)*4/3))*0.276)</f>
        <v>5.7290930335294696</v>
      </c>
      <c r="X4" s="35">
        <f t="shared" ref="X4:X20" ca="1" si="76">((K4+I4+(LOG(J4)*4/3))*0.866)+((L4+I4+(LOG(J4)*4/3))*0.425)</f>
        <v>8.4385350587474743</v>
      </c>
      <c r="Y4" s="35">
        <f t="shared" ref="Y4:Y20" ca="1" si="77">W4</f>
        <v>5.7290930335294696</v>
      </c>
      <c r="Z4" s="35">
        <f t="shared" ref="Z4:Z20" ca="1" si="78">((L4+I4+(LOG(J4)*4/3))*0.516)</f>
        <v>2.6805360885466278</v>
      </c>
      <c r="AA4" s="35">
        <f t="shared" ref="AA4:AA20" ca="1" si="79">((L4+I4+(LOG(J4)*4/3))*1)</f>
        <v>5.1948373809043176</v>
      </c>
      <c r="AB4" s="35">
        <f t="shared" ref="AB4:AB20" ca="1" si="80">Z4/2</f>
        <v>1.3402680442733139</v>
      </c>
      <c r="AC4" s="35">
        <f t="shared" ref="AC4:AC20" ca="1" si="81">((M4+I4+(LOG(J4)*4/3))*0.238)</f>
        <v>0.28437129665522753</v>
      </c>
      <c r="AD4" s="35">
        <f t="shared" ref="AD4:AD20" ca="1" si="82">((L4+I4+(LOG(J4)*4/3))*0.378)</f>
        <v>1.963648529981832</v>
      </c>
      <c r="AE4" s="35">
        <f t="shared" ref="AE4:AE20" ca="1" si="83">((L4+I4+(LOG(J4)*4/3))*0.723)</f>
        <v>3.7558674263938214</v>
      </c>
      <c r="AF4" s="35">
        <f t="shared" ref="AF4:AF20" ca="1" si="84">AD4/2</f>
        <v>0.98182426499091602</v>
      </c>
      <c r="AG4" s="35">
        <f t="shared" ref="AG4:AG20" ca="1" si="85">((M4+I4+(LOG(J4)*4/3))*0.385)</f>
        <v>0.46001239164816221</v>
      </c>
      <c r="AH4" s="35">
        <f t="shared" ref="AH4:AH20" ca="1" si="86">((L4+I4+(LOG(J4)*4/3))*0.92)</f>
        <v>4.7792503904319723</v>
      </c>
      <c r="AI4" s="35">
        <f t="shared" ref="AI4:AI20" ca="1" si="87">((L4+I4+(LOG(J4)*4/3))*0.414)</f>
        <v>2.1506626756943872</v>
      </c>
      <c r="AJ4" s="35">
        <f t="shared" ref="AJ4:AJ20" ca="1" si="88">((M4+I4+(LOG(J4)*4/3))*0.167)</f>
        <v>0.199537842611021</v>
      </c>
      <c r="AK4" s="35">
        <f t="shared" ref="AK4:AK20" ca="1" si="89">((N4+I4+(LOG(J4)*4/3))*0.588)</f>
        <v>2.4665643799717385</v>
      </c>
      <c r="AL4" s="35">
        <f t="shared" ref="AL4:AL20" ca="1" si="90">((L4+I4+(LOG(J4)*4/3))*0.754)</f>
        <v>3.9169073852018554</v>
      </c>
      <c r="AM4" s="35">
        <f t="shared" ref="AM4:AM20" ca="1" si="91">((L4+I4+(LOG(J4)*4/3))*0.708)</f>
        <v>3.6779448656802565</v>
      </c>
      <c r="AN4" s="35">
        <f t="shared" ref="AN4:AN20" ca="1" si="92">((Q4+I4+(LOG(J4)*4/3))*0.167)</f>
        <v>0.36653784261102107</v>
      </c>
      <c r="AO4" s="35">
        <f t="shared" ref="AO4:AO20" ca="1" si="93">((R4+I4+(LOG(J4)*4/3))*0.288)</f>
        <v>0.59611316570044337</v>
      </c>
      <c r="AP4" s="35">
        <f t="shared" ref="AP4:AP20" ca="1" si="94">((L4+I4+(LOG(J4)*4/3))*0.27)</f>
        <v>1.4026060928441659</v>
      </c>
      <c r="AQ4" s="35">
        <f t="shared" ref="AQ4:AQ20" ca="1" si="95">((L4+I4+(LOG(J4)*4/3))*0.594)</f>
        <v>3.0857334042571645</v>
      </c>
      <c r="AR4" s="35">
        <f t="shared" ref="AR4:AR20" ca="1" si="96">AP4/2</f>
        <v>0.70130304642208297</v>
      </c>
      <c r="AS4" s="35">
        <f t="shared" ref="AS4:AS20" ca="1" si="97">((M4+I4+(LOG(J4)*4/3))*0.944)</f>
        <v>1.1279264875736754</v>
      </c>
      <c r="AT4" s="35">
        <f t="shared" ref="AT4:AT20" ca="1" si="98">((O4+I4+(LOG(J4)*4/3))*0.13)</f>
        <v>0.15532885951756126</v>
      </c>
      <c r="AU4" s="35">
        <f t="shared" ref="AU4:AU20" ca="1" si="99">((P4+I4+(LOG(J4)*4/3))*0.173)+((O4+I4+(LOG(J4)*4/3))*0.12)</f>
        <v>0.52308735260496497</v>
      </c>
      <c r="AV4" s="35">
        <f t="shared" ref="AV4:AV20" ca="1" si="100">AT4/2</f>
        <v>7.7664429758780629E-2</v>
      </c>
      <c r="AW4" s="35">
        <f t="shared" ref="AW4:AW20" ca="1" si="101">((L4+I4+(LOG(J4)*4/3))*0.189)</f>
        <v>0.98182426499091602</v>
      </c>
      <c r="AX4" s="35">
        <f t="shared" ref="AX4:AX20" ca="1" si="102">((L4+I4+(LOG(J4)*4/3))*0.4)</f>
        <v>2.0779349523617272</v>
      </c>
      <c r="AY4" s="35">
        <f t="shared" ref="AY4:AY20" ca="1" si="103">AW4/2</f>
        <v>0.49091213249545801</v>
      </c>
      <c r="AZ4" s="35">
        <f t="shared" ref="AZ4:AZ20" ca="1" si="104">((M4+I4+(LOG(J4)*4/3))*1)</f>
        <v>1.1948373809043173</v>
      </c>
      <c r="BA4" s="35">
        <f t="shared" ref="BA4:BA20" ca="1" si="105">((O4+I4+(LOG(J4)*4/3))*0.253)</f>
        <v>0.30229385736879227</v>
      </c>
      <c r="BB4" s="35">
        <f t="shared" ref="BB4:BB20" ca="1" si="106">((P4+I4+(LOG(J4)*4/3))*0.21)+((O4+I4+(LOG(J4)*4/3))*0.341)</f>
        <v>0.8683553968782789</v>
      </c>
      <c r="BC4" s="35">
        <f t="shared" ref="BC4:BC20" ca="1" si="107">BA4/2</f>
        <v>0.15114692868439614</v>
      </c>
      <c r="BD4" s="35">
        <f t="shared" ref="BD4:BD20" ca="1" si="108">((L4+I4+(LOG(J4)*4/3))*0.291)</f>
        <v>1.5116976778431563</v>
      </c>
      <c r="BE4" s="35">
        <f t="shared" ref="BE4:BE20" ca="1" si="109">((L4+I4+(LOG(J4)*4/3))*0.348)</f>
        <v>1.8078034085547023</v>
      </c>
      <c r="BF4" s="35">
        <f t="shared" ref="BF4:BF20" ca="1" si="110">((M4+I4+(LOG(J4)*4/3))*0.881)</f>
        <v>1.0526517325767035</v>
      </c>
      <c r="BG4" s="35">
        <f t="shared" ref="BG4:BG20" ca="1" si="111">((N4+I4+(LOG(J4)*4/3))*0.574)+((O4+I4+(LOG(J4)*4/3))*0.315)</f>
        <v>2.7842104316239382</v>
      </c>
      <c r="BH4" s="35">
        <f t="shared" ref="BH4:BH20" ca="1" si="112">((O4+I4+(LOG(J4)*4/3))*0.241)</f>
        <v>0.28795580879794047</v>
      </c>
      <c r="BI4" s="35">
        <f t="shared" ref="BI4:BI20" ca="1" si="113">((L4+I4+(LOG(J4)*4/3))*0.485)</f>
        <v>2.5194961297385938</v>
      </c>
      <c r="BJ4" s="35">
        <f t="shared" ref="BJ4:BJ20" ca="1" si="114">((L4+I4+(LOG(J4)*4/3))*0.264)</f>
        <v>1.3714370685587398</v>
      </c>
      <c r="BK4" s="35">
        <f t="shared" ref="BK4:BK20" ca="1" si="115">((M4+I4+(LOG(J4)*4/3))*0.381)</f>
        <v>0.45523304212454491</v>
      </c>
      <c r="BL4" s="35">
        <f t="shared" ref="BL4:BL20" ca="1" si="116">((N4+I4+(LOG(J4)*4/3))*0.673)+((O4+I4+(LOG(J4)*4/3))*0.201)</f>
        <v>3.0632878709103739</v>
      </c>
      <c r="BM4" s="35">
        <f t="shared" ref="BM4:BM20" ca="1" si="117">((O4+I4+(LOG(J4)*4/3))*0.052)</f>
        <v>6.21315438070245E-2</v>
      </c>
      <c r="BN4" s="35">
        <f t="shared" ref="BN4:BN20" ca="1" si="118">((L4+I4+(LOG(J4)*4/3))*0.18)</f>
        <v>0.93507072856277718</v>
      </c>
      <c r="BO4" s="35">
        <f t="shared" ref="BO4:BO20" ca="1" si="119">((L4+I4+(LOG(J4)*4/3))*0.068)</f>
        <v>0.35324894190149364</v>
      </c>
      <c r="BP4" s="35">
        <f t="shared" ref="BP4:BP20" ca="1" si="120">((M4+I4+(LOG(J4)*4/3))*0.305)</f>
        <v>0.36442540117581679</v>
      </c>
      <c r="BQ4" s="35">
        <f t="shared" ref="BQ4:BQ20" ca="1" si="121">((N4+I4+(LOG(J4)*4/3))*1)+((O4+I4+(LOG(J4)*4/3))*0.286)</f>
        <v>4.5365608718429522</v>
      </c>
      <c r="BR4" s="35">
        <f t="shared" ref="BR4:BR20" ca="1" si="122">((O4+I4+(LOG(J4)*4/3))*0.135)</f>
        <v>0.16130304642208285</v>
      </c>
      <c r="BS4" s="35">
        <f t="shared" ref="BS4:BS20" ca="1" si="123">((L4+I4+(LOG(J4)*4/3))*0.284)</f>
        <v>1.4753338161768261</v>
      </c>
      <c r="BT4" s="35">
        <f t="shared" ref="BT4:BT20" ca="1" si="124">((L4+I4+(LOG(J4)*4/3))*0.244)</f>
        <v>1.2675403209406535</v>
      </c>
      <c r="BU4" s="35">
        <f t="shared" ref="BU4:BU20" ca="1" si="125">((M4+I4+(LOG(J4)*4/3))*0.631)</f>
        <v>0.75394238735062424</v>
      </c>
      <c r="BV4" s="35">
        <f t="shared" ref="BV4:BV20" ca="1" si="126">((N4+I4+(LOG(J4)*4/3))*0.702)+((O4+I4+(LOG(J4)*4/3))*0.193)</f>
        <v>3.175379455909364</v>
      </c>
      <c r="BW4" s="35">
        <f t="shared" ref="BW4:BW20" ca="1" si="127">((O4+I4+(LOG(J4)*4/3))*0.148)</f>
        <v>0.17683593237383896</v>
      </c>
      <c r="BX4" s="35">
        <f t="shared" ref="BX4:BX20" ca="1" si="128">((M4+I4+(LOG(J4)*4/3))*0.406)</f>
        <v>0.48510397664715288</v>
      </c>
      <c r="BY4" s="35">
        <f t="shared" ref="BY4:BY20" ca="1" si="129">IF(D4="TEC",((N4+I4+(LOG(J4)*4/3))*0.15)+((O4+I4+(LOG(J4)*4/3))*0.324)+((P4+I4+(LOG(J4)*4/3))*0.127),((N4+I4+(LOG(J4)*4/3))*0.144)+((O4+I4+(LOG(J4)*4/3))*0.25)+((P4+I4+(LOG(J4)*4/3))*0.127))</f>
        <v>1.1815102754511493</v>
      </c>
      <c r="BZ4" s="35">
        <f t="shared" ref="BZ4:BZ20" ca="1" si="130">IF(D4="TEC",((O4+I4+(LOG(J4)*4/3))*0.543)+((P4+I4+(LOG(J4)*4/3))*0.583),((O4+I4+(LOG(J4)*4/3))*0.543)+((P4+I4+(LOG(J4)*4/3))*0.583))</f>
        <v>1.9283868908982615</v>
      </c>
      <c r="CA4" s="35">
        <f t="shared" ref="CA4:CA20" ca="1" si="131">BY4</f>
        <v>1.1815102754511493</v>
      </c>
      <c r="CB4" s="35">
        <f t="shared" ref="CB4:CB20" ca="1" si="132">((P4+I4+(LOG(J4)*4/3))*0.26)+((N4+I4+(LOG(J4)*4/3))*0.221)+((O4+I4+(LOG(J4)*4/3))*0.142)</f>
        <v>1.6673836883033897</v>
      </c>
      <c r="CC4" s="35">
        <f t="shared" ref="CC4:CC20" ca="1" si="133">((P4+I4+(LOG(J4)*4/3))*1)+((O4+I4+(LOG(J4)*4/3))*0.369)</f>
        <v>2.6357323744580108</v>
      </c>
      <c r="CD4" s="35">
        <f t="shared" ref="CD4:CD20" ca="1" si="134">CB4</f>
        <v>1.6673836883033897</v>
      </c>
      <c r="CE4" s="35">
        <f t="shared" ref="CE4:CE20" ca="1" si="135">((M4+I4+(LOG(J4)*4/3))*0.25)</f>
        <v>0.29870934522607934</v>
      </c>
    </row>
    <row r="5" spans="1:83" x14ac:dyDescent="0.25">
      <c r="A5" t="str">
        <f>PLANTILLA!D6</f>
        <v>Miguel Fernández</v>
      </c>
      <c r="B5">
        <f>PLANTILLA!E6</f>
        <v>22</v>
      </c>
      <c r="C5" s="31">
        <f ca="1">PLANTILLA!F6</f>
        <v>45</v>
      </c>
      <c r="D5" s="216">
        <f>PLANTILLA!G6</f>
        <v>0</v>
      </c>
      <c r="E5" s="28">
        <f>PLANTILLA!M6</f>
        <v>43395</v>
      </c>
      <c r="F5" s="45">
        <f>PLANTILLA!Q6</f>
        <v>4</v>
      </c>
      <c r="G5" s="46">
        <f t="shared" si="68"/>
        <v>0.7559289460184544</v>
      </c>
      <c r="H5" s="46">
        <f t="shared" si="69"/>
        <v>0.84430867747355465</v>
      </c>
      <c r="I5" s="222">
        <f ca="1">PLANTILLA!N6</f>
        <v>0.81055912016406673</v>
      </c>
      <c r="J5" s="37">
        <f>PLANTILLA!I6</f>
        <v>2.6</v>
      </c>
      <c r="K5" s="44">
        <f>PLANTILLA!X6</f>
        <v>0</v>
      </c>
      <c r="L5" s="44">
        <f>PLANTILLA!Y6</f>
        <v>14.5625</v>
      </c>
      <c r="M5" s="44">
        <f>PLANTILLA!Z6</f>
        <v>5</v>
      </c>
      <c r="N5" s="44">
        <f>PLANTILLA!AA6</f>
        <v>5.4</v>
      </c>
      <c r="O5" s="44">
        <f>PLANTILLA!AB6</f>
        <v>5</v>
      </c>
      <c r="P5" s="44">
        <f>PLANTILLA!AC6</f>
        <v>2</v>
      </c>
      <c r="Q5" s="44">
        <f>PLANTILLA!AD6</f>
        <v>1</v>
      </c>
      <c r="R5" s="44">
        <f t="shared" si="70"/>
        <v>3.4453125</v>
      </c>
      <c r="S5" s="44">
        <f t="shared" si="71"/>
        <v>0.13</v>
      </c>
      <c r="T5" s="44">
        <f t="shared" si="72"/>
        <v>0.61250000000000004</v>
      </c>
      <c r="U5" s="44">
        <f t="shared" ca="1" si="73"/>
        <v>1.7869078681528294</v>
      </c>
      <c r="V5" s="44">
        <f t="shared" ca="1" si="74"/>
        <v>1.9958249077160919</v>
      </c>
      <c r="W5" s="35">
        <f t="shared" ca="1" si="75"/>
        <v>5.209897088941263</v>
      </c>
      <c r="X5" s="35">
        <f t="shared" ca="1" si="76"/>
        <v>7.9498017804389125</v>
      </c>
      <c r="Y5" s="35">
        <f t="shared" ca="1" si="77"/>
        <v>5.209897088941263</v>
      </c>
      <c r="Z5" s="35">
        <f t="shared" ca="1" si="78"/>
        <v>8.2180001694085814</v>
      </c>
      <c r="AA5" s="35">
        <f t="shared" ca="1" si="79"/>
        <v>15.926356917458492</v>
      </c>
      <c r="AB5" s="35">
        <f t="shared" ca="1" si="80"/>
        <v>4.1090000847042907</v>
      </c>
      <c r="AC5" s="35">
        <f t="shared" ca="1" si="81"/>
        <v>1.5145979463551207</v>
      </c>
      <c r="AD5" s="35">
        <f t="shared" ca="1" si="82"/>
        <v>6.0201629147993101</v>
      </c>
      <c r="AE5" s="35">
        <f t="shared" ca="1" si="83"/>
        <v>11.51475605132249</v>
      </c>
      <c r="AF5" s="35">
        <f t="shared" ca="1" si="84"/>
        <v>3.010081457399655</v>
      </c>
      <c r="AG5" s="35">
        <f t="shared" ca="1" si="85"/>
        <v>2.4500849132215188</v>
      </c>
      <c r="AH5" s="35">
        <f t="shared" ca="1" si="86"/>
        <v>14.652248364061814</v>
      </c>
      <c r="AI5" s="35">
        <f t="shared" ca="1" si="87"/>
        <v>6.5935117638278156</v>
      </c>
      <c r="AJ5" s="35">
        <f t="shared" ca="1" si="88"/>
        <v>1.0627641052155681</v>
      </c>
      <c r="AK5" s="35">
        <f t="shared" ca="1" si="89"/>
        <v>3.9771478674655927</v>
      </c>
      <c r="AL5" s="35">
        <f t="shared" ca="1" si="90"/>
        <v>12.008473115763703</v>
      </c>
      <c r="AM5" s="35">
        <f t="shared" ca="1" si="91"/>
        <v>11.275860697560612</v>
      </c>
      <c r="AN5" s="35">
        <f t="shared" ca="1" si="92"/>
        <v>0.39476410521556798</v>
      </c>
      <c r="AO5" s="35">
        <f t="shared" ca="1" si="93"/>
        <v>1.3850407922280452</v>
      </c>
      <c r="AP5" s="35">
        <f t="shared" ca="1" si="94"/>
        <v>4.3001163677137928</v>
      </c>
      <c r="AQ5" s="35">
        <f t="shared" ca="1" si="95"/>
        <v>9.4602560089703438</v>
      </c>
      <c r="AR5" s="35">
        <f t="shared" ca="1" si="96"/>
        <v>2.1500581838568964</v>
      </c>
      <c r="AS5" s="35">
        <f t="shared" ca="1" si="97"/>
        <v>6.0074809300808152</v>
      </c>
      <c r="AT5" s="35">
        <f t="shared" ca="1" si="98"/>
        <v>0.82730139926960378</v>
      </c>
      <c r="AU5" s="35">
        <f t="shared" ca="1" si="99"/>
        <v>1.3456100768153378</v>
      </c>
      <c r="AV5" s="35">
        <f t="shared" ca="1" si="100"/>
        <v>0.41365069963480189</v>
      </c>
      <c r="AW5" s="35">
        <f t="shared" ca="1" si="101"/>
        <v>3.010081457399655</v>
      </c>
      <c r="AX5" s="35">
        <f t="shared" ca="1" si="102"/>
        <v>6.3705427669833972</v>
      </c>
      <c r="AY5" s="35">
        <f t="shared" ca="1" si="103"/>
        <v>1.5050407286998275</v>
      </c>
      <c r="AZ5" s="35">
        <f t="shared" ca="1" si="104"/>
        <v>6.3638569174584907</v>
      </c>
      <c r="BA5" s="35">
        <f t="shared" ca="1" si="105"/>
        <v>1.6100558001169982</v>
      </c>
      <c r="BB5" s="35">
        <f t="shared" ca="1" si="106"/>
        <v>2.8764851615196285</v>
      </c>
      <c r="BC5" s="35">
        <f t="shared" ca="1" si="107"/>
        <v>0.80502790005849911</v>
      </c>
      <c r="BD5" s="35">
        <f t="shared" ca="1" si="108"/>
        <v>4.6345698629804204</v>
      </c>
      <c r="BE5" s="35">
        <f t="shared" ca="1" si="109"/>
        <v>5.5423722072755544</v>
      </c>
      <c r="BF5" s="35">
        <f t="shared" ca="1" si="110"/>
        <v>5.6065579442809304</v>
      </c>
      <c r="BG5" s="35">
        <f t="shared" ca="1" si="111"/>
        <v>5.8870687996205984</v>
      </c>
      <c r="BH5" s="35">
        <f t="shared" ca="1" si="112"/>
        <v>1.5336895171074962</v>
      </c>
      <c r="BI5" s="35">
        <f t="shared" ca="1" si="113"/>
        <v>7.7242831049673679</v>
      </c>
      <c r="BJ5" s="35">
        <f t="shared" ca="1" si="114"/>
        <v>4.2045582262090422</v>
      </c>
      <c r="BK5" s="35">
        <f t="shared" ca="1" si="115"/>
        <v>2.424629485551685</v>
      </c>
      <c r="BL5" s="35">
        <f t="shared" ca="1" si="116"/>
        <v>5.8312109458587216</v>
      </c>
      <c r="BM5" s="35">
        <f t="shared" ca="1" si="117"/>
        <v>0.33092055970784151</v>
      </c>
      <c r="BN5" s="35">
        <f t="shared" ca="1" si="118"/>
        <v>2.8667442451425282</v>
      </c>
      <c r="BO5" s="35">
        <f t="shared" ca="1" si="119"/>
        <v>1.0829922703871775</v>
      </c>
      <c r="BP5" s="35">
        <f t="shared" ca="1" si="120"/>
        <v>1.9409763598248395</v>
      </c>
      <c r="BQ5" s="35">
        <f t="shared" ca="1" si="121"/>
        <v>8.5839199958516197</v>
      </c>
      <c r="BR5" s="35">
        <f t="shared" ca="1" si="122"/>
        <v>0.85912068385689633</v>
      </c>
      <c r="BS5" s="35">
        <f t="shared" ca="1" si="123"/>
        <v>4.5230853645582112</v>
      </c>
      <c r="BT5" s="35">
        <f t="shared" ca="1" si="124"/>
        <v>3.8860310878598718</v>
      </c>
      <c r="BU5" s="35">
        <f t="shared" ca="1" si="125"/>
        <v>4.0155937149163075</v>
      </c>
      <c r="BV5" s="35">
        <f t="shared" ca="1" si="126"/>
        <v>5.9764519411253492</v>
      </c>
      <c r="BW5" s="35">
        <f t="shared" ca="1" si="127"/>
        <v>0.94185082378385654</v>
      </c>
      <c r="BX5" s="35">
        <f t="shared" ca="1" si="128"/>
        <v>2.5837259084881472</v>
      </c>
      <c r="BY5" s="35">
        <f t="shared" ca="1" si="129"/>
        <v>2.9921694539958734</v>
      </c>
      <c r="BZ5" s="35">
        <f t="shared" ca="1" si="130"/>
        <v>5.4167028890582607</v>
      </c>
      <c r="CA5" s="35">
        <f t="shared" ca="1" si="131"/>
        <v>2.9921694539958734</v>
      </c>
      <c r="CB5" s="35">
        <f t="shared" ca="1" si="132"/>
        <v>3.2730828595766397</v>
      </c>
      <c r="CC5" s="35">
        <f t="shared" ca="1" si="133"/>
        <v>5.7121201200006739</v>
      </c>
      <c r="CD5" s="35">
        <f t="shared" ca="1" si="134"/>
        <v>3.2730828595766397</v>
      </c>
      <c r="CE5" s="35">
        <f t="shared" ca="1" si="135"/>
        <v>1.5909642293646227</v>
      </c>
    </row>
    <row r="6" spans="1:83" x14ac:dyDescent="0.25">
      <c r="A6" t="str">
        <f>PLANTILLA!D7</f>
        <v>Iván Real Figueroa</v>
      </c>
      <c r="B6">
        <f>PLANTILLA!E7</f>
        <v>22</v>
      </c>
      <c r="C6" s="31">
        <f ca="1">PLANTILLA!F7</f>
        <v>26</v>
      </c>
      <c r="D6" s="216">
        <f>PLANTILLA!G7</f>
        <v>0</v>
      </c>
      <c r="E6" s="28">
        <f>PLANTILLA!M7</f>
        <v>43410</v>
      </c>
      <c r="F6" s="45">
        <f>PLANTILLA!Q7</f>
        <v>5</v>
      </c>
      <c r="G6" s="46">
        <f t="shared" si="68"/>
        <v>0.84515425472851657</v>
      </c>
      <c r="H6" s="46">
        <f t="shared" si="69"/>
        <v>0.92504826128926143</v>
      </c>
      <c r="I6" s="222">
        <f ca="1">PLANTILLA!N7</f>
        <v>0.77803549598249677</v>
      </c>
      <c r="J6" s="37">
        <f>PLANTILLA!I7</f>
        <v>3.6</v>
      </c>
      <c r="K6" s="44">
        <f>PLANTILLA!X7</f>
        <v>0</v>
      </c>
      <c r="L6" s="44">
        <f>PLANTILLA!Y7</f>
        <v>14.5</v>
      </c>
      <c r="M6" s="44">
        <f>PLANTILLA!Z7</f>
        <v>5</v>
      </c>
      <c r="N6" s="44">
        <f>PLANTILLA!AA7</f>
        <v>7</v>
      </c>
      <c r="O6" s="44">
        <f>PLANTILLA!AB7</f>
        <v>5</v>
      </c>
      <c r="P6" s="44">
        <f>PLANTILLA!AC7</f>
        <v>1</v>
      </c>
      <c r="Q6" s="44">
        <f>PLANTILLA!AD7</f>
        <v>0</v>
      </c>
      <c r="R6" s="44">
        <f t="shared" si="70"/>
        <v>3.4375</v>
      </c>
      <c r="S6" s="44">
        <f t="shared" si="71"/>
        <v>0.05</v>
      </c>
      <c r="T6" s="44">
        <f t="shared" si="72"/>
        <v>0.58000000000000007</v>
      </c>
      <c r="U6" s="44">
        <f t="shared" ca="1" si="73"/>
        <v>1.2844419103455345</v>
      </c>
      <c r="V6" s="44">
        <f t="shared" ca="1" si="74"/>
        <v>1.4058625975607997</v>
      </c>
      <c r="W6" s="35">
        <f t="shared" ca="1" si="75"/>
        <v>5.3287610988858427</v>
      </c>
      <c r="X6" s="35">
        <f t="shared" ca="1" si="76"/>
        <v>8.1245258633008284</v>
      </c>
      <c r="Y6" s="35">
        <f t="shared" ca="1" si="77"/>
        <v>5.3287610988858427</v>
      </c>
      <c r="Z6" s="35">
        <f t="shared" ca="1" si="78"/>
        <v>8.2662024364548632</v>
      </c>
      <c r="AA6" s="35">
        <f t="shared" ca="1" si="79"/>
        <v>16.019772163672215</v>
      </c>
      <c r="AB6" s="35">
        <f t="shared" ca="1" si="80"/>
        <v>4.1331012182274316</v>
      </c>
      <c r="AC6" s="35">
        <f t="shared" ca="1" si="81"/>
        <v>1.5517057749539866</v>
      </c>
      <c r="AD6" s="35">
        <f t="shared" ca="1" si="82"/>
        <v>6.0554738778680974</v>
      </c>
      <c r="AE6" s="35">
        <f t="shared" ca="1" si="83"/>
        <v>11.582295274335012</v>
      </c>
      <c r="AF6" s="35">
        <f t="shared" ca="1" si="84"/>
        <v>3.0277369389340487</v>
      </c>
      <c r="AG6" s="35">
        <f t="shared" ca="1" si="85"/>
        <v>2.5101122830138021</v>
      </c>
      <c r="AH6" s="35">
        <f t="shared" ca="1" si="86"/>
        <v>14.738190390578438</v>
      </c>
      <c r="AI6" s="35">
        <f t="shared" ca="1" si="87"/>
        <v>6.6321856757602964</v>
      </c>
      <c r="AJ6" s="35">
        <f t="shared" ca="1" si="88"/>
        <v>1.0888019513332596</v>
      </c>
      <c r="AK6" s="35">
        <f t="shared" ca="1" si="89"/>
        <v>5.009626032239261</v>
      </c>
      <c r="AL6" s="35">
        <f t="shared" ca="1" si="90"/>
        <v>12.07890821140885</v>
      </c>
      <c r="AM6" s="35">
        <f t="shared" ca="1" si="91"/>
        <v>11.341998691879928</v>
      </c>
      <c r="AN6" s="35">
        <f t="shared" ca="1" si="92"/>
        <v>0.25380195133325961</v>
      </c>
      <c r="AO6" s="35">
        <f t="shared" ca="1" si="93"/>
        <v>1.4276943831375972</v>
      </c>
      <c r="AP6" s="35">
        <f t="shared" ca="1" si="94"/>
        <v>4.3253384841914979</v>
      </c>
      <c r="AQ6" s="35">
        <f t="shared" ca="1" si="95"/>
        <v>9.5157446652212947</v>
      </c>
      <c r="AR6" s="35">
        <f t="shared" ca="1" si="96"/>
        <v>2.162669242095749</v>
      </c>
      <c r="AS6" s="35">
        <f t="shared" ca="1" si="97"/>
        <v>6.1546649225065693</v>
      </c>
      <c r="AT6" s="35">
        <f t="shared" ca="1" si="98"/>
        <v>0.84757038127738771</v>
      </c>
      <c r="AU6" s="35">
        <f t="shared" ca="1" si="99"/>
        <v>1.2182932439559584</v>
      </c>
      <c r="AV6" s="35">
        <f t="shared" ca="1" si="100"/>
        <v>0.42378519063869385</v>
      </c>
      <c r="AW6" s="35">
        <f t="shared" ca="1" si="101"/>
        <v>3.0277369389340487</v>
      </c>
      <c r="AX6" s="35">
        <f t="shared" ca="1" si="102"/>
        <v>6.4079088654688867</v>
      </c>
      <c r="AY6" s="35">
        <f t="shared" ca="1" si="103"/>
        <v>1.5138684694670244</v>
      </c>
      <c r="AZ6" s="35">
        <f t="shared" ca="1" si="104"/>
        <v>6.5197721636722132</v>
      </c>
      <c r="BA6" s="35">
        <f t="shared" ca="1" si="105"/>
        <v>1.6495023574090699</v>
      </c>
      <c r="BB6" s="35">
        <f t="shared" ca="1" si="106"/>
        <v>2.75239446218339</v>
      </c>
      <c r="BC6" s="35">
        <f t="shared" ca="1" si="107"/>
        <v>0.82475117870453496</v>
      </c>
      <c r="BD6" s="35">
        <f t="shared" ca="1" si="108"/>
        <v>4.6617536996286146</v>
      </c>
      <c r="BE6" s="35">
        <f t="shared" ca="1" si="109"/>
        <v>5.5748807129579303</v>
      </c>
      <c r="BF6" s="35">
        <f t="shared" ca="1" si="110"/>
        <v>5.7439192761952196</v>
      </c>
      <c r="BG6" s="35">
        <f t="shared" ca="1" si="111"/>
        <v>6.9440774535045975</v>
      </c>
      <c r="BH6" s="35">
        <f t="shared" ca="1" si="112"/>
        <v>1.5712650914450033</v>
      </c>
      <c r="BI6" s="35">
        <f t="shared" ca="1" si="113"/>
        <v>7.7695894993810244</v>
      </c>
      <c r="BJ6" s="35">
        <f t="shared" ca="1" si="114"/>
        <v>4.2292198512094652</v>
      </c>
      <c r="BK6" s="35">
        <f t="shared" ca="1" si="115"/>
        <v>2.4840331943591134</v>
      </c>
      <c r="BL6" s="35">
        <f t="shared" ca="1" si="116"/>
        <v>7.0442808710495148</v>
      </c>
      <c r="BM6" s="35">
        <f t="shared" ca="1" si="117"/>
        <v>0.33902815251095508</v>
      </c>
      <c r="BN6" s="35">
        <f t="shared" ca="1" si="118"/>
        <v>2.8835589894609988</v>
      </c>
      <c r="BO6" s="35">
        <f t="shared" ca="1" si="119"/>
        <v>1.0893445071297108</v>
      </c>
      <c r="BP6" s="35">
        <f t="shared" ca="1" si="120"/>
        <v>1.988530509920025</v>
      </c>
      <c r="BQ6" s="35">
        <f t="shared" ca="1" si="121"/>
        <v>10.384427002482466</v>
      </c>
      <c r="BR6" s="35">
        <f t="shared" ca="1" si="122"/>
        <v>0.88016924209574887</v>
      </c>
      <c r="BS6" s="35">
        <f t="shared" ca="1" si="123"/>
        <v>4.5496152944829085</v>
      </c>
      <c r="BT6" s="35">
        <f t="shared" ca="1" si="124"/>
        <v>3.9088244079360206</v>
      </c>
      <c r="BU6" s="35">
        <f t="shared" ca="1" si="125"/>
        <v>4.1139762352771667</v>
      </c>
      <c r="BV6" s="35">
        <f t="shared" ca="1" si="126"/>
        <v>7.2391960864866309</v>
      </c>
      <c r="BW6" s="35">
        <f t="shared" ca="1" si="127"/>
        <v>0.96492628022348748</v>
      </c>
      <c r="BX6" s="35">
        <f t="shared" ca="1" si="128"/>
        <v>2.6470274984509188</v>
      </c>
      <c r="BY6" s="35">
        <f t="shared" ca="1" si="129"/>
        <v>3.1768012972732231</v>
      </c>
      <c r="BZ6" s="35">
        <f t="shared" ca="1" si="130"/>
        <v>5.0092634562949119</v>
      </c>
      <c r="CA6" s="35">
        <f t="shared" ca="1" si="131"/>
        <v>3.1768012972732231</v>
      </c>
      <c r="CB6" s="35">
        <f t="shared" ca="1" si="132"/>
        <v>3.4638180579677886</v>
      </c>
      <c r="CC6" s="35">
        <f t="shared" ca="1" si="133"/>
        <v>4.9255680920672598</v>
      </c>
      <c r="CD6" s="35">
        <f t="shared" ca="1" si="134"/>
        <v>3.4638180579677886</v>
      </c>
      <c r="CE6" s="35">
        <f t="shared" ca="1" si="135"/>
        <v>1.6299430409180533</v>
      </c>
    </row>
    <row r="7" spans="1:83" x14ac:dyDescent="0.25">
      <c r="A7" t="str">
        <f>PLANTILLA!D8</f>
        <v>Berto Abandero</v>
      </c>
      <c r="B7">
        <f>PLANTILLA!E8</f>
        <v>22</v>
      </c>
      <c r="C7" s="31">
        <f ca="1">PLANTILLA!F8</f>
        <v>76</v>
      </c>
      <c r="D7" s="216">
        <f>PLANTILLA!G8</f>
        <v>0</v>
      </c>
      <c r="E7" s="28">
        <f>PLANTILLA!M8</f>
        <v>43383</v>
      </c>
      <c r="F7" s="45">
        <f>PLANTILLA!Q8</f>
        <v>5</v>
      </c>
      <c r="G7" s="46">
        <f t="shared" si="68"/>
        <v>0.84515425472851657</v>
      </c>
      <c r="H7" s="46">
        <f t="shared" si="69"/>
        <v>0.92504826128926143</v>
      </c>
      <c r="I7" s="222">
        <f ca="1">PLANTILLA!N8</f>
        <v>0.83605806590558429</v>
      </c>
      <c r="J7" s="37">
        <f>PLANTILLA!I8</f>
        <v>3.8</v>
      </c>
      <c r="K7" s="44">
        <f>PLANTILLA!X8</f>
        <v>0</v>
      </c>
      <c r="L7" s="44">
        <f>PLANTILLA!Y8</f>
        <v>12.454545454545455</v>
      </c>
      <c r="M7" s="44">
        <f>PLANTILLA!Z8</f>
        <v>3</v>
      </c>
      <c r="N7" s="44">
        <f>PLANTILLA!AA8</f>
        <v>7.1999999999999993</v>
      </c>
      <c r="O7" s="44">
        <f>PLANTILLA!AB8</f>
        <v>10</v>
      </c>
      <c r="P7" s="44">
        <f>PLANTILLA!AC8</f>
        <v>3</v>
      </c>
      <c r="Q7" s="44">
        <f>PLANTILLA!AD8</f>
        <v>2</v>
      </c>
      <c r="R7" s="44">
        <f t="shared" si="70"/>
        <v>4.4318181818181817</v>
      </c>
      <c r="S7" s="44">
        <f t="shared" si="71"/>
        <v>0.21000000000000002</v>
      </c>
      <c r="T7" s="44">
        <f t="shared" si="72"/>
        <v>0.55818181818181822</v>
      </c>
      <c r="U7" s="44">
        <f t="shared" ca="1" si="73"/>
        <v>3.0502486390605643</v>
      </c>
      <c r="V7" s="44">
        <f t="shared" ca="1" si="74"/>
        <v>3.3385943267472329</v>
      </c>
      <c r="W7" s="35">
        <f t="shared" ca="1" si="75"/>
        <v>4.8422013434520883</v>
      </c>
      <c r="X7" s="35">
        <f t="shared" ca="1" si="76"/>
        <v>7.3705336122423297</v>
      </c>
      <c r="Y7" s="35">
        <f t="shared" ca="1" si="77"/>
        <v>4.8422013434520883</v>
      </c>
      <c r="Z7" s="35">
        <f t="shared" ca="1" si="78"/>
        <v>7.2568425310251019</v>
      </c>
      <c r="AA7" s="35">
        <f t="shared" ca="1" si="79"/>
        <v>14.063648315940119</v>
      </c>
      <c r="AB7" s="35">
        <f t="shared" ca="1" si="80"/>
        <v>3.628421265512551</v>
      </c>
      <c r="AC7" s="35">
        <f t="shared" ca="1" si="81"/>
        <v>1.0969664810119302</v>
      </c>
      <c r="AD7" s="35">
        <f t="shared" ca="1" si="82"/>
        <v>5.3160590634253655</v>
      </c>
      <c r="AE7" s="35">
        <f t="shared" ca="1" si="83"/>
        <v>10.168017732424707</v>
      </c>
      <c r="AF7" s="35">
        <f t="shared" ca="1" si="84"/>
        <v>2.6580295317126827</v>
      </c>
      <c r="AG7" s="35">
        <f t="shared" ca="1" si="85"/>
        <v>1.7745046016369461</v>
      </c>
      <c r="AH7" s="35">
        <f t="shared" ca="1" si="86"/>
        <v>12.93855645066491</v>
      </c>
      <c r="AI7" s="35">
        <f t="shared" ca="1" si="87"/>
        <v>5.8223504027992092</v>
      </c>
      <c r="AJ7" s="35">
        <f t="shared" ca="1" si="88"/>
        <v>0.76972017785290914</v>
      </c>
      <c r="AK7" s="35">
        <f t="shared" ca="1" si="89"/>
        <v>5.1797524825000618</v>
      </c>
      <c r="AL7" s="35">
        <f t="shared" ca="1" si="90"/>
        <v>10.60399083021885</v>
      </c>
      <c r="AM7" s="35">
        <f t="shared" ca="1" si="91"/>
        <v>9.957063007685603</v>
      </c>
      <c r="AN7" s="35">
        <f t="shared" ca="1" si="92"/>
        <v>0.60272017785290899</v>
      </c>
      <c r="AO7" s="35">
        <f t="shared" ca="1" si="93"/>
        <v>1.7397852604452997</v>
      </c>
      <c r="AP7" s="35">
        <f t="shared" ca="1" si="94"/>
        <v>3.7971850453038325</v>
      </c>
      <c r="AQ7" s="35">
        <f t="shared" ca="1" si="95"/>
        <v>8.3538070996684297</v>
      </c>
      <c r="AR7" s="35">
        <f t="shared" ca="1" si="96"/>
        <v>1.8985925226519162</v>
      </c>
      <c r="AS7" s="35">
        <f t="shared" ca="1" si="97"/>
        <v>4.3509931011565639</v>
      </c>
      <c r="AT7" s="35">
        <f t="shared" ca="1" si="98"/>
        <v>1.5091833719813064</v>
      </c>
      <c r="AU7" s="35">
        <f t="shared" ca="1" si="99"/>
        <v>2.1904671383886365</v>
      </c>
      <c r="AV7" s="35">
        <f t="shared" ca="1" si="100"/>
        <v>0.75459168599065318</v>
      </c>
      <c r="AW7" s="35">
        <f t="shared" ca="1" si="101"/>
        <v>2.6580295317126827</v>
      </c>
      <c r="AX7" s="35">
        <f t="shared" ca="1" si="102"/>
        <v>5.6254593263760482</v>
      </c>
      <c r="AY7" s="35">
        <f t="shared" ca="1" si="103"/>
        <v>1.3290147658563414</v>
      </c>
      <c r="AZ7" s="35">
        <f t="shared" ca="1" si="104"/>
        <v>4.609102861394665</v>
      </c>
      <c r="BA7" s="35">
        <f t="shared" ca="1" si="105"/>
        <v>2.9371030239328499</v>
      </c>
      <c r="BB7" s="35">
        <f t="shared" ca="1" si="106"/>
        <v>4.9266156766284608</v>
      </c>
      <c r="BC7" s="35">
        <f t="shared" ca="1" si="107"/>
        <v>1.468551511966425</v>
      </c>
      <c r="BD7" s="35">
        <f t="shared" ca="1" si="108"/>
        <v>4.0925216599385745</v>
      </c>
      <c r="BE7" s="35">
        <f t="shared" ca="1" si="109"/>
        <v>4.8941496139471612</v>
      </c>
      <c r="BF7" s="35">
        <f t="shared" ca="1" si="110"/>
        <v>4.0606196208886995</v>
      </c>
      <c r="BG7" s="35">
        <f t="shared" ca="1" si="111"/>
        <v>8.7132924437798565</v>
      </c>
      <c r="BH7" s="35">
        <f t="shared" ca="1" si="112"/>
        <v>2.7977937895961138</v>
      </c>
      <c r="BI7" s="35">
        <f t="shared" ca="1" si="113"/>
        <v>6.8208694332309578</v>
      </c>
      <c r="BJ7" s="35">
        <f t="shared" ca="1" si="114"/>
        <v>3.7128031554081917</v>
      </c>
      <c r="BK7" s="35">
        <f t="shared" ca="1" si="115"/>
        <v>1.7560681901913673</v>
      </c>
      <c r="BL7" s="35">
        <f t="shared" ca="1" si="116"/>
        <v>8.2619559008589363</v>
      </c>
      <c r="BM7" s="35">
        <f t="shared" ca="1" si="117"/>
        <v>0.60367334879252255</v>
      </c>
      <c r="BN7" s="35">
        <f t="shared" ca="1" si="118"/>
        <v>2.5314566968692214</v>
      </c>
      <c r="BO7" s="35">
        <f t="shared" ca="1" si="119"/>
        <v>0.95632808548392811</v>
      </c>
      <c r="BP7" s="35">
        <f t="shared" ca="1" si="120"/>
        <v>1.4057763727253727</v>
      </c>
      <c r="BQ7" s="35">
        <f t="shared" ca="1" si="121"/>
        <v>12.129306279753537</v>
      </c>
      <c r="BR7" s="35">
        <f t="shared" ca="1" si="122"/>
        <v>1.5672288862882797</v>
      </c>
      <c r="BS7" s="35">
        <f t="shared" ca="1" si="123"/>
        <v>3.9940761217269936</v>
      </c>
      <c r="BT7" s="35">
        <f t="shared" ca="1" si="124"/>
        <v>3.431530189089389</v>
      </c>
      <c r="BU7" s="35">
        <f t="shared" ca="1" si="125"/>
        <v>2.9083439055400335</v>
      </c>
      <c r="BV7" s="35">
        <f t="shared" ca="1" si="126"/>
        <v>8.4245470609482229</v>
      </c>
      <c r="BW7" s="35">
        <f t="shared" ca="1" si="127"/>
        <v>1.7181472234864101</v>
      </c>
      <c r="BX7" s="35">
        <f t="shared" ca="1" si="128"/>
        <v>1.871295761726234</v>
      </c>
      <c r="BY7" s="35">
        <f t="shared" ca="1" si="129"/>
        <v>4.7561425907866193</v>
      </c>
      <c r="BZ7" s="35">
        <f t="shared" ca="1" si="130"/>
        <v>8.9908498219303929</v>
      </c>
      <c r="CA7" s="35">
        <f t="shared" ca="1" si="131"/>
        <v>4.7561425907866193</v>
      </c>
      <c r="CB7" s="35">
        <f t="shared" ca="1" si="132"/>
        <v>4.793671082648876</v>
      </c>
      <c r="CC7" s="35">
        <f t="shared" ca="1" si="133"/>
        <v>8.8928618172492957</v>
      </c>
      <c r="CD7" s="35">
        <f t="shared" ca="1" si="134"/>
        <v>4.793671082648876</v>
      </c>
      <c r="CE7" s="35">
        <f t="shared" ca="1" si="135"/>
        <v>1.1522757153486662</v>
      </c>
    </row>
    <row r="8" spans="1:83" x14ac:dyDescent="0.25">
      <c r="A8" t="str">
        <f>PLANTILLA!D9</f>
        <v>Guillermo Pedrajas</v>
      </c>
      <c r="B8">
        <f>PLANTILLA!E9</f>
        <v>22</v>
      </c>
      <c r="C8" s="31">
        <f ca="1">PLANTILLA!F9</f>
        <v>61</v>
      </c>
      <c r="D8" s="216">
        <f>PLANTILLA!G9</f>
        <v>0</v>
      </c>
      <c r="E8" s="28">
        <f>PLANTILLA!M9</f>
        <v>43419</v>
      </c>
      <c r="F8" s="45">
        <f>PLANTILLA!Q9</f>
        <v>6</v>
      </c>
      <c r="G8" s="46">
        <f t="shared" si="68"/>
        <v>0.92582009977255142</v>
      </c>
      <c r="H8" s="46">
        <f t="shared" si="69"/>
        <v>0.99928545900129484</v>
      </c>
      <c r="I8" s="222">
        <f ca="1">PLANTILLA!N9</f>
        <v>0.7581497888884271</v>
      </c>
      <c r="J8" s="37">
        <f>PLANTILLA!I9</f>
        <v>4.4000000000000004</v>
      </c>
      <c r="K8" s="44">
        <f>PLANTILLA!X9</f>
        <v>0</v>
      </c>
      <c r="L8" s="44">
        <f>PLANTILLA!Y9</f>
        <v>10.333333333333334</v>
      </c>
      <c r="M8" s="44">
        <f>PLANTILLA!Z9</f>
        <v>11</v>
      </c>
      <c r="N8" s="44">
        <f>PLANTILLA!AA9</f>
        <v>4</v>
      </c>
      <c r="O8" s="44">
        <f>PLANTILLA!AB9</f>
        <v>9</v>
      </c>
      <c r="P8" s="44">
        <f>PLANTILLA!AC9</f>
        <v>4</v>
      </c>
      <c r="Q8" s="44">
        <f>PLANTILLA!AD9</f>
        <v>1</v>
      </c>
      <c r="R8" s="44">
        <f t="shared" si="70"/>
        <v>3.916666666666667</v>
      </c>
      <c r="S8" s="44">
        <f t="shared" si="71"/>
        <v>0.22999999999999998</v>
      </c>
      <c r="T8" s="44">
        <f t="shared" si="72"/>
        <v>0.44333333333333336</v>
      </c>
      <c r="U8" s="44">
        <f t="shared" ca="1" si="73"/>
        <v>2.4220256411549168</v>
      </c>
      <c r="V8" s="44">
        <f t="shared" ca="1" si="74"/>
        <v>2.6142173896732168</v>
      </c>
      <c r="W8" s="35">
        <f t="shared" ca="1" si="75"/>
        <v>4.2628436811295192</v>
      </c>
      <c r="X8" s="35">
        <f t="shared" ca="1" si="76"/>
        <v>6.4780345845798504</v>
      </c>
      <c r="Y8" s="35">
        <f t="shared" ca="1" si="77"/>
        <v>4.2628436811295192</v>
      </c>
      <c r="Z8" s="35">
        <f t="shared" ca="1" si="78"/>
        <v>6.1659007324889261</v>
      </c>
      <c r="AA8" s="35">
        <f t="shared" ca="1" si="79"/>
        <v>11.949420024203345</v>
      </c>
      <c r="AB8" s="35">
        <f t="shared" ca="1" si="80"/>
        <v>3.0829503662444631</v>
      </c>
      <c r="AC8" s="35">
        <f t="shared" ca="1" si="81"/>
        <v>3.0026286324270623</v>
      </c>
      <c r="AD8" s="35">
        <f t="shared" ca="1" si="82"/>
        <v>4.5168807691488642</v>
      </c>
      <c r="AE8" s="35">
        <f t="shared" ca="1" si="83"/>
        <v>8.6394306774990177</v>
      </c>
      <c r="AF8" s="35">
        <f t="shared" ca="1" si="84"/>
        <v>2.2584403845744321</v>
      </c>
      <c r="AG8" s="35">
        <f t="shared" ca="1" si="85"/>
        <v>4.8571933759849548</v>
      </c>
      <c r="AH8" s="35">
        <f t="shared" ca="1" si="86"/>
        <v>10.993466422267078</v>
      </c>
      <c r="AI8" s="35">
        <f t="shared" ca="1" si="87"/>
        <v>4.947059890020185</v>
      </c>
      <c r="AJ8" s="35">
        <f t="shared" ca="1" si="88"/>
        <v>2.106886477375292</v>
      </c>
      <c r="AK8" s="35">
        <f t="shared" ca="1" si="89"/>
        <v>3.3022589742315658</v>
      </c>
      <c r="AL8" s="35">
        <f t="shared" ca="1" si="90"/>
        <v>9.0098626982493215</v>
      </c>
      <c r="AM8" s="35">
        <f t="shared" ca="1" si="91"/>
        <v>8.4601893771359684</v>
      </c>
      <c r="AN8" s="35">
        <f t="shared" ca="1" si="92"/>
        <v>0.43688647737529174</v>
      </c>
      <c r="AO8" s="35">
        <f t="shared" ca="1" si="93"/>
        <v>1.5934329669705629</v>
      </c>
      <c r="AP8" s="35">
        <f t="shared" ca="1" si="94"/>
        <v>3.2263434065349035</v>
      </c>
      <c r="AQ8" s="35">
        <f t="shared" ca="1" si="95"/>
        <v>7.0979554943767864</v>
      </c>
      <c r="AR8" s="35">
        <f t="shared" ca="1" si="96"/>
        <v>1.6131717032674517</v>
      </c>
      <c r="AS8" s="35">
        <f t="shared" ca="1" si="97"/>
        <v>11.909585836181289</v>
      </c>
      <c r="AT8" s="35">
        <f t="shared" ca="1" si="98"/>
        <v>1.3800912698131016</v>
      </c>
      <c r="AU8" s="35">
        <f t="shared" ca="1" si="99"/>
        <v>2.2455134004249127</v>
      </c>
      <c r="AV8" s="35">
        <f t="shared" ca="1" si="100"/>
        <v>0.6900456349065508</v>
      </c>
      <c r="AW8" s="35">
        <f t="shared" ca="1" si="101"/>
        <v>2.2584403845744321</v>
      </c>
      <c r="AX8" s="35">
        <f t="shared" ca="1" si="102"/>
        <v>4.7797680096813382</v>
      </c>
      <c r="AY8" s="35">
        <f t="shared" ca="1" si="103"/>
        <v>1.129220192287216</v>
      </c>
      <c r="AZ8" s="35">
        <f t="shared" ca="1" si="104"/>
        <v>12.616086690870011</v>
      </c>
      <c r="BA8" s="35">
        <f t="shared" ca="1" si="105"/>
        <v>2.685869932790113</v>
      </c>
      <c r="BB8" s="35">
        <f t="shared" ca="1" si="106"/>
        <v>4.7994637666693762</v>
      </c>
      <c r="BC8" s="35">
        <f t="shared" ca="1" si="107"/>
        <v>1.3429349663950565</v>
      </c>
      <c r="BD8" s="35">
        <f t="shared" ca="1" si="108"/>
        <v>3.4772812270431732</v>
      </c>
      <c r="BE8" s="35">
        <f t="shared" ca="1" si="109"/>
        <v>4.1583981684227638</v>
      </c>
      <c r="BF8" s="35">
        <f t="shared" ca="1" si="110"/>
        <v>11.11477237465648</v>
      </c>
      <c r="BG8" s="35">
        <f t="shared" ca="1" si="111"/>
        <v>6.5677010681834389</v>
      </c>
      <c r="BH8" s="35">
        <f t="shared" ca="1" si="112"/>
        <v>2.5584768924996726</v>
      </c>
      <c r="BI8" s="35">
        <f t="shared" ca="1" si="113"/>
        <v>5.7954687117386223</v>
      </c>
      <c r="BJ8" s="35">
        <f t="shared" ca="1" si="114"/>
        <v>3.154646886389683</v>
      </c>
      <c r="BK8" s="35">
        <f t="shared" ca="1" si="115"/>
        <v>4.8067290292214739</v>
      </c>
      <c r="BL8" s="35">
        <f t="shared" ca="1" si="116"/>
        <v>5.91345976782039</v>
      </c>
      <c r="BM8" s="35">
        <f t="shared" ca="1" si="117"/>
        <v>0.5520365079252405</v>
      </c>
      <c r="BN8" s="35">
        <f t="shared" ca="1" si="118"/>
        <v>2.1508956043566019</v>
      </c>
      <c r="BO8" s="35">
        <f t="shared" ca="1" si="119"/>
        <v>0.81256056164582757</v>
      </c>
      <c r="BP8" s="35">
        <f t="shared" ca="1" si="120"/>
        <v>3.8479064407153531</v>
      </c>
      <c r="BQ8" s="35">
        <f t="shared" ca="1" si="121"/>
        <v>8.6522874844588333</v>
      </c>
      <c r="BR8" s="35">
        <f t="shared" ca="1" si="122"/>
        <v>1.4331717032674516</v>
      </c>
      <c r="BS8" s="35">
        <f t="shared" ca="1" si="123"/>
        <v>3.3936352868737498</v>
      </c>
      <c r="BT8" s="35">
        <f t="shared" ca="1" si="124"/>
        <v>2.9156584859056163</v>
      </c>
      <c r="BU8" s="35">
        <f t="shared" ca="1" si="125"/>
        <v>7.9607507019389772</v>
      </c>
      <c r="BV8" s="35">
        <f t="shared" ca="1" si="126"/>
        <v>5.9913975883286597</v>
      </c>
      <c r="BW8" s="35">
        <f t="shared" ca="1" si="127"/>
        <v>1.5711808302487615</v>
      </c>
      <c r="BX8" s="35">
        <f t="shared" ca="1" si="128"/>
        <v>5.1221311964932248</v>
      </c>
      <c r="BY8" s="35">
        <f t="shared" ca="1" si="129"/>
        <v>4.1759811659432753</v>
      </c>
      <c r="BZ8" s="35">
        <f t="shared" ca="1" si="130"/>
        <v>9.0387136139196329</v>
      </c>
      <c r="CA8" s="35">
        <f t="shared" ca="1" si="131"/>
        <v>4.1759811659432753</v>
      </c>
      <c r="CB8" s="35">
        <f t="shared" ca="1" si="132"/>
        <v>4.2088220084120156</v>
      </c>
      <c r="CC8" s="35">
        <f t="shared" ca="1" si="133"/>
        <v>9.5334226798010437</v>
      </c>
      <c r="CD8" s="35">
        <f t="shared" ca="1" si="134"/>
        <v>4.2088220084120156</v>
      </c>
      <c r="CE8" s="35">
        <f t="shared" ca="1" si="135"/>
        <v>3.1540216727175028</v>
      </c>
    </row>
    <row r="9" spans="1:83" x14ac:dyDescent="0.25">
      <c r="A9" t="str">
        <f>PLANTILLA!D10</f>
        <v>Eckardt Hägerling</v>
      </c>
      <c r="B9">
        <f>PLANTILLA!E10</f>
        <v>22</v>
      </c>
      <c r="C9" s="31">
        <f ca="1">PLANTILLA!F10</f>
        <v>37</v>
      </c>
      <c r="D9" s="216" t="str">
        <f>PLANTILLA!G10</f>
        <v>IMP</v>
      </c>
      <c r="E9" s="28">
        <f>PLANTILLA!M10</f>
        <v>43045</v>
      </c>
      <c r="F9" s="45">
        <f>PLANTILLA!Q10</f>
        <v>5</v>
      </c>
      <c r="G9" s="46">
        <f t="shared" si="68"/>
        <v>0.84515425472851657</v>
      </c>
      <c r="H9" s="46">
        <f t="shared" si="69"/>
        <v>0.92504826128926143</v>
      </c>
      <c r="I9" s="222">
        <f ca="1">PLANTILLA!N10</f>
        <v>1</v>
      </c>
      <c r="J9" s="37">
        <f>PLANTILLA!I10</f>
        <v>2.2000000000000002</v>
      </c>
      <c r="K9" s="44">
        <f>PLANTILLA!X10</f>
        <v>0</v>
      </c>
      <c r="L9" s="44">
        <f>PLANTILLA!Y10</f>
        <v>6</v>
      </c>
      <c r="M9" s="44">
        <f>PLANTILLA!Z10</f>
        <v>3</v>
      </c>
      <c r="N9" s="44">
        <f>PLANTILLA!AA10</f>
        <v>6.15</v>
      </c>
      <c r="O9" s="44">
        <f>PLANTILLA!AB10</f>
        <v>3</v>
      </c>
      <c r="P9" s="44">
        <f>PLANTILLA!AC10</f>
        <v>4.6633333333333322</v>
      </c>
      <c r="Q9" s="44">
        <f>PLANTILLA!AD10</f>
        <v>3</v>
      </c>
      <c r="R9" s="44">
        <f t="shared" si="70"/>
        <v>1.875</v>
      </c>
      <c r="S9" s="44">
        <f t="shared" si="71"/>
        <v>0.3231666666666666</v>
      </c>
      <c r="T9" s="44">
        <f t="shared" si="72"/>
        <v>0.33</v>
      </c>
      <c r="U9" s="44">
        <f t="shared" ca="1" si="73"/>
        <v>3.7664836663973098</v>
      </c>
      <c r="V9" s="44">
        <f t="shared" ca="1" si="74"/>
        <v>4.1225363858511654</v>
      </c>
      <c r="W9" s="35">
        <f t="shared" ca="1" si="75"/>
        <v>2.9275800004770485</v>
      </c>
      <c r="X9" s="35">
        <f t="shared" ca="1" si="76"/>
        <v>4.4304235745886249</v>
      </c>
      <c r="Y9" s="35">
        <f t="shared" ca="1" si="77"/>
        <v>2.9275800004770485</v>
      </c>
      <c r="Z9" s="35">
        <f t="shared" ca="1" si="78"/>
        <v>3.8475868044056782</v>
      </c>
      <c r="AA9" s="35">
        <f t="shared" ca="1" si="79"/>
        <v>7.4565635744296088</v>
      </c>
      <c r="AB9" s="35">
        <f t="shared" ca="1" si="80"/>
        <v>1.9237934022028391</v>
      </c>
      <c r="AC9" s="35">
        <f t="shared" ca="1" si="81"/>
        <v>1.0606621307142468</v>
      </c>
      <c r="AD9" s="35">
        <f t="shared" ca="1" si="82"/>
        <v>2.818581031134392</v>
      </c>
      <c r="AE9" s="35">
        <f t="shared" ca="1" si="83"/>
        <v>5.391095464312607</v>
      </c>
      <c r="AF9" s="35">
        <f t="shared" ca="1" si="84"/>
        <v>1.409290515567196</v>
      </c>
      <c r="AG9" s="35">
        <f t="shared" ca="1" si="85"/>
        <v>1.7157769761553994</v>
      </c>
      <c r="AH9" s="35">
        <f t="shared" ca="1" si="86"/>
        <v>6.8600384884752401</v>
      </c>
      <c r="AI9" s="35">
        <f t="shared" ca="1" si="87"/>
        <v>3.087017319813858</v>
      </c>
      <c r="AJ9" s="35">
        <f t="shared" ca="1" si="88"/>
        <v>0.74424611692974474</v>
      </c>
      <c r="AK9" s="35">
        <f t="shared" ca="1" si="89"/>
        <v>4.4726593817646103</v>
      </c>
      <c r="AL9" s="35">
        <f t="shared" ca="1" si="90"/>
        <v>5.6222489351199254</v>
      </c>
      <c r="AM9" s="35">
        <f t="shared" ca="1" si="91"/>
        <v>5.2792470106961629</v>
      </c>
      <c r="AN9" s="35">
        <f t="shared" ca="1" si="92"/>
        <v>0.74424611692974474</v>
      </c>
      <c r="AO9" s="35">
        <f t="shared" ca="1" si="93"/>
        <v>0.95949030943572711</v>
      </c>
      <c r="AP9" s="35">
        <f t="shared" ca="1" si="94"/>
        <v>2.0132721650959944</v>
      </c>
      <c r="AQ9" s="35">
        <f t="shared" ca="1" si="95"/>
        <v>4.4291987632111871</v>
      </c>
      <c r="AR9" s="35">
        <f t="shared" ca="1" si="96"/>
        <v>1.0066360825479972</v>
      </c>
      <c r="AS9" s="35">
        <f t="shared" ca="1" si="97"/>
        <v>4.2069960142615503</v>
      </c>
      <c r="AT9" s="35">
        <f t="shared" ca="1" si="98"/>
        <v>0.57935326467584913</v>
      </c>
      <c r="AU9" s="35">
        <f t="shared" ca="1" si="99"/>
        <v>1.5935297939745419</v>
      </c>
      <c r="AV9" s="35">
        <f t="shared" ca="1" si="100"/>
        <v>0.28967663233792457</v>
      </c>
      <c r="AW9" s="35">
        <f t="shared" ca="1" si="101"/>
        <v>1.409290515567196</v>
      </c>
      <c r="AX9" s="35">
        <f t="shared" ca="1" si="102"/>
        <v>2.9826254297718435</v>
      </c>
      <c r="AY9" s="35">
        <f t="shared" ca="1" si="103"/>
        <v>0.70464525778359799</v>
      </c>
      <c r="AZ9" s="35">
        <f t="shared" ca="1" si="104"/>
        <v>4.4565635744296088</v>
      </c>
      <c r="BA9" s="35">
        <f t="shared" ca="1" si="105"/>
        <v>1.127510584330691</v>
      </c>
      <c r="BB9" s="35">
        <f t="shared" ca="1" si="106"/>
        <v>2.8048665295107145</v>
      </c>
      <c r="BC9" s="35">
        <f t="shared" ca="1" si="107"/>
        <v>0.56375529216534548</v>
      </c>
      <c r="BD9" s="35">
        <f t="shared" ca="1" si="108"/>
        <v>2.1698600001590158</v>
      </c>
      <c r="BE9" s="35">
        <f t="shared" ca="1" si="109"/>
        <v>2.5948841239015037</v>
      </c>
      <c r="BF9" s="35">
        <f t="shared" ca="1" si="110"/>
        <v>3.9262325090724852</v>
      </c>
      <c r="BG9" s="35">
        <f t="shared" ca="1" si="111"/>
        <v>5.7699850176679215</v>
      </c>
      <c r="BH9" s="35">
        <f t="shared" ca="1" si="112"/>
        <v>1.0740318214375357</v>
      </c>
      <c r="BI9" s="35">
        <f t="shared" ca="1" si="113"/>
        <v>3.6164333335983603</v>
      </c>
      <c r="BJ9" s="35">
        <f t="shared" ca="1" si="114"/>
        <v>1.9685327836494169</v>
      </c>
      <c r="BK9" s="35">
        <f t="shared" ca="1" si="115"/>
        <v>1.697950721857681</v>
      </c>
      <c r="BL9" s="35">
        <f t="shared" ca="1" si="116"/>
        <v>6.0149865640514788</v>
      </c>
      <c r="BM9" s="35">
        <f t="shared" ca="1" si="117"/>
        <v>0.23174130587033964</v>
      </c>
      <c r="BN9" s="35">
        <f t="shared" ca="1" si="118"/>
        <v>1.3421814433973296</v>
      </c>
      <c r="BO9" s="35">
        <f t="shared" ca="1" si="119"/>
        <v>0.50704632306121344</v>
      </c>
      <c r="BP9" s="35">
        <f t="shared" ca="1" si="120"/>
        <v>1.3592518902010307</v>
      </c>
      <c r="BQ9" s="35">
        <f t="shared" ca="1" si="121"/>
        <v>8.8811407567164764</v>
      </c>
      <c r="BR9" s="35">
        <f t="shared" ca="1" si="122"/>
        <v>0.60163608254799728</v>
      </c>
      <c r="BS9" s="35">
        <f t="shared" ca="1" si="123"/>
        <v>2.1176640551380088</v>
      </c>
      <c r="BT9" s="35">
        <f t="shared" ca="1" si="124"/>
        <v>1.8194015121608245</v>
      </c>
      <c r="BU9" s="35">
        <f t="shared" ca="1" si="125"/>
        <v>2.812091615465083</v>
      </c>
      <c r="BV9" s="35">
        <f t="shared" ca="1" si="126"/>
        <v>6.1999243991144999</v>
      </c>
      <c r="BW9" s="35">
        <f t="shared" ca="1" si="127"/>
        <v>0.65957140901558209</v>
      </c>
      <c r="BX9" s="35">
        <f t="shared" ca="1" si="128"/>
        <v>1.8093648112184213</v>
      </c>
      <c r="BY9" s="35">
        <f t="shared" ca="1" si="129"/>
        <v>2.9867129556111589</v>
      </c>
      <c r="BZ9" s="35">
        <f t="shared" ca="1" si="130"/>
        <v>5.9878139181410717</v>
      </c>
      <c r="CA9" s="35">
        <f t="shared" ca="1" si="131"/>
        <v>2.9867129556111589</v>
      </c>
      <c r="CB9" s="35">
        <f t="shared" ca="1" si="132"/>
        <v>3.9050557735363132</v>
      </c>
      <c r="CC9" s="35">
        <f t="shared" ca="1" si="133"/>
        <v>7.7643688667274668</v>
      </c>
      <c r="CD9" s="35">
        <f t="shared" ca="1" si="134"/>
        <v>3.9050557735363132</v>
      </c>
      <c r="CE9" s="35">
        <f t="shared" ca="1" si="135"/>
        <v>1.1141408936074022</v>
      </c>
    </row>
    <row r="10" spans="1:83" x14ac:dyDescent="0.25">
      <c r="A10" t="str">
        <f>PLANTILLA!D11</f>
        <v>Francesc Añigas</v>
      </c>
      <c r="B10">
        <f>PLANTILLA!E11</f>
        <v>22</v>
      </c>
      <c r="C10" s="31">
        <f ca="1">PLANTILLA!F11</f>
        <v>41</v>
      </c>
      <c r="D10" s="216" t="str">
        <f>PLANTILLA!G11</f>
        <v>IMP</v>
      </c>
      <c r="E10" s="28">
        <f>PLANTILLA!M11</f>
        <v>43137</v>
      </c>
      <c r="F10" s="45">
        <f>PLANTILLA!Q11</f>
        <v>7</v>
      </c>
      <c r="G10" s="46">
        <f t="shared" si="68"/>
        <v>1</v>
      </c>
      <c r="H10" s="46">
        <f t="shared" si="69"/>
        <v>1</v>
      </c>
      <c r="I10" s="222">
        <f ca="1">PLANTILLA!N11</f>
        <v>1</v>
      </c>
      <c r="J10" s="37">
        <f>PLANTILLA!I11</f>
        <v>4.0999999999999996</v>
      </c>
      <c r="K10" s="44">
        <f>PLANTILLA!X11</f>
        <v>0</v>
      </c>
      <c r="L10" s="44">
        <f>PLANTILLA!Y11</f>
        <v>11.666666666666666</v>
      </c>
      <c r="M10" s="44">
        <f>PLANTILLA!Z11</f>
        <v>4</v>
      </c>
      <c r="N10" s="44">
        <f>PLANTILLA!AA11</f>
        <v>12.666666666666666</v>
      </c>
      <c r="O10" s="44">
        <f>PLANTILLA!AB11</f>
        <v>4.25</v>
      </c>
      <c r="P10" s="44">
        <f>PLANTILLA!AC11</f>
        <v>7</v>
      </c>
      <c r="Q10" s="44">
        <f>PLANTILLA!AD11</f>
        <v>3</v>
      </c>
      <c r="R10" s="44">
        <f t="shared" si="70"/>
        <v>2.895833333333333</v>
      </c>
      <c r="S10" s="44">
        <f t="shared" si="71"/>
        <v>0.44000000000000006</v>
      </c>
      <c r="T10" s="44">
        <f t="shared" si="72"/>
        <v>0.55666666666666664</v>
      </c>
      <c r="U10" s="44">
        <f t="shared" ca="1" si="73"/>
        <v>4.8170451422929803</v>
      </c>
      <c r="V10" s="44">
        <f t="shared" ca="1" si="74"/>
        <v>4.8170451422929803</v>
      </c>
      <c r="W10" s="35">
        <f t="shared" ca="1" si="75"/>
        <v>4.8062804092217721</v>
      </c>
      <c r="X10" s="35">
        <f t="shared" ca="1" si="76"/>
        <v>7.3041386120335714</v>
      </c>
      <c r="Y10" s="35">
        <f t="shared" ca="1" si="77"/>
        <v>4.8062804092217721</v>
      </c>
      <c r="Z10" s="35">
        <f t="shared" ca="1" si="78"/>
        <v>6.9575952934231786</v>
      </c>
      <c r="AA10" s="35">
        <f t="shared" ca="1" si="79"/>
        <v>13.483711808959647</v>
      </c>
      <c r="AB10" s="35">
        <f t="shared" ca="1" si="80"/>
        <v>3.4787976467115893</v>
      </c>
      <c r="AC10" s="35">
        <f t="shared" ca="1" si="81"/>
        <v>1.3844567438657291</v>
      </c>
      <c r="AD10" s="35">
        <f t="shared" ca="1" si="82"/>
        <v>5.0968430637867463</v>
      </c>
      <c r="AE10" s="35">
        <f t="shared" ca="1" si="83"/>
        <v>9.7487236378778253</v>
      </c>
      <c r="AF10" s="35">
        <f t="shared" ca="1" si="84"/>
        <v>2.5484215318933732</v>
      </c>
      <c r="AG10" s="35">
        <f t="shared" ca="1" si="85"/>
        <v>2.2395623797827975</v>
      </c>
      <c r="AH10" s="35">
        <f t="shared" ca="1" si="86"/>
        <v>12.405014864242876</v>
      </c>
      <c r="AI10" s="35">
        <f t="shared" ca="1" si="87"/>
        <v>5.5822566889092933</v>
      </c>
      <c r="AJ10" s="35">
        <f t="shared" ca="1" si="88"/>
        <v>0.97144653876292775</v>
      </c>
      <c r="AK10" s="35">
        <f t="shared" ca="1" si="89"/>
        <v>8.5164225436682717</v>
      </c>
      <c r="AL10" s="35">
        <f t="shared" ca="1" si="90"/>
        <v>10.166718703955574</v>
      </c>
      <c r="AM10" s="35">
        <f t="shared" ca="1" si="91"/>
        <v>9.5464679607434295</v>
      </c>
      <c r="AN10" s="35">
        <f t="shared" ca="1" si="92"/>
        <v>0.80444653876292771</v>
      </c>
      <c r="AO10" s="35">
        <f t="shared" ca="1" si="93"/>
        <v>1.3573090009803781</v>
      </c>
      <c r="AP10" s="35">
        <f t="shared" ca="1" si="94"/>
        <v>3.6406021884191051</v>
      </c>
      <c r="AQ10" s="35">
        <f t="shared" ca="1" si="95"/>
        <v>8.0093248145220297</v>
      </c>
      <c r="AR10" s="35">
        <f t="shared" ca="1" si="96"/>
        <v>1.8203010942095526</v>
      </c>
      <c r="AS10" s="35">
        <f t="shared" ca="1" si="97"/>
        <v>5.4912906143245728</v>
      </c>
      <c r="AT10" s="35">
        <f t="shared" ca="1" si="98"/>
        <v>0.7887158684980875</v>
      </c>
      <c r="AU10" s="35">
        <f t="shared" ca="1" si="99"/>
        <v>2.2533942266918432</v>
      </c>
      <c r="AV10" s="35">
        <f t="shared" ca="1" si="100"/>
        <v>0.39435793424904375</v>
      </c>
      <c r="AW10" s="35">
        <f t="shared" ca="1" si="101"/>
        <v>2.5484215318933732</v>
      </c>
      <c r="AX10" s="35">
        <f t="shared" ca="1" si="102"/>
        <v>5.3934847235838594</v>
      </c>
      <c r="AY10" s="35">
        <f t="shared" ca="1" si="103"/>
        <v>1.2742107659466866</v>
      </c>
      <c r="AZ10" s="35">
        <f t="shared" ca="1" si="104"/>
        <v>5.8170451422929803</v>
      </c>
      <c r="BA10" s="35">
        <f t="shared" ca="1" si="105"/>
        <v>1.534962421000124</v>
      </c>
      <c r="BB10" s="35">
        <f t="shared" ca="1" si="106"/>
        <v>3.9204418734034325</v>
      </c>
      <c r="BC10" s="35">
        <f t="shared" ca="1" si="107"/>
        <v>0.76748121050006202</v>
      </c>
      <c r="BD10" s="35">
        <f t="shared" ca="1" si="108"/>
        <v>3.9237601364072572</v>
      </c>
      <c r="BE10" s="35">
        <f t="shared" ca="1" si="109"/>
        <v>4.6923317095179566</v>
      </c>
      <c r="BF10" s="35">
        <f t="shared" ca="1" si="110"/>
        <v>5.1248167703601153</v>
      </c>
      <c r="BG10" s="35">
        <f t="shared" ca="1" si="111"/>
        <v>10.224769798165127</v>
      </c>
      <c r="BH10" s="35">
        <f t="shared" ca="1" si="112"/>
        <v>1.4621578792926082</v>
      </c>
      <c r="BI10" s="35">
        <f t="shared" ca="1" si="113"/>
        <v>6.5396002273454288</v>
      </c>
      <c r="BJ10" s="35">
        <f t="shared" ca="1" si="114"/>
        <v>3.559699917565347</v>
      </c>
      <c r="BK10" s="35">
        <f t="shared" ca="1" si="115"/>
        <v>2.2162941992136256</v>
      </c>
      <c r="BL10" s="35">
        <f t="shared" ca="1" si="116"/>
        <v>10.967014121030733</v>
      </c>
      <c r="BM10" s="35">
        <f t="shared" ca="1" si="117"/>
        <v>0.31548634739923498</v>
      </c>
      <c r="BN10" s="35">
        <f t="shared" ca="1" si="118"/>
        <v>2.4270681256127364</v>
      </c>
      <c r="BO10" s="35">
        <f t="shared" ca="1" si="119"/>
        <v>0.91689240300925612</v>
      </c>
      <c r="BP10" s="35">
        <f t="shared" ca="1" si="120"/>
        <v>1.774198768399359</v>
      </c>
      <c r="BQ10" s="35">
        <f t="shared" ca="1" si="121"/>
        <v>16.21888671965544</v>
      </c>
      <c r="BR10" s="35">
        <f t="shared" ca="1" si="122"/>
        <v>0.81905109420955235</v>
      </c>
      <c r="BS10" s="35">
        <f t="shared" ca="1" si="123"/>
        <v>3.8293741537445394</v>
      </c>
      <c r="BT10" s="35">
        <f t="shared" ca="1" si="124"/>
        <v>3.2900256813861537</v>
      </c>
      <c r="BU10" s="35">
        <f t="shared" ca="1" si="125"/>
        <v>3.6705554847868704</v>
      </c>
      <c r="BV10" s="35">
        <f t="shared" ca="1" si="126"/>
        <v>11.338505402352217</v>
      </c>
      <c r="BW10" s="35">
        <f t="shared" ca="1" si="127"/>
        <v>0.89792268105936102</v>
      </c>
      <c r="BX10" s="35">
        <f t="shared" ca="1" si="128"/>
        <v>2.36172032777095</v>
      </c>
      <c r="BY10" s="35">
        <f t="shared" ca="1" si="129"/>
        <v>4.7221805191346427</v>
      </c>
      <c r="BZ10" s="35">
        <f t="shared" ca="1" si="130"/>
        <v>8.4347428302218965</v>
      </c>
      <c r="CA10" s="35">
        <f t="shared" ca="1" si="131"/>
        <v>4.7221805191346427</v>
      </c>
      <c r="CB10" s="35">
        <f t="shared" ca="1" si="132"/>
        <v>6.3548524569818605</v>
      </c>
      <c r="CC10" s="35">
        <f t="shared" ca="1" si="133"/>
        <v>11.055784799799092</v>
      </c>
      <c r="CD10" s="35">
        <f t="shared" ca="1" si="134"/>
        <v>6.3548524569818605</v>
      </c>
      <c r="CE10" s="35">
        <f t="shared" ca="1" si="135"/>
        <v>1.4542612855732451</v>
      </c>
    </row>
    <row r="11" spans="1:83" x14ac:dyDescent="0.25">
      <c r="A11" t="str">
        <f>PLANTILLA!D12</f>
        <v>Will Duffill</v>
      </c>
      <c r="B11">
        <f>PLANTILLA!E12</f>
        <v>22</v>
      </c>
      <c r="C11" s="31">
        <f ca="1">PLANTILLA!F12</f>
        <v>2</v>
      </c>
      <c r="D11" s="216" t="str">
        <f>PLANTILLA!G12</f>
        <v>RAP</v>
      </c>
      <c r="E11" s="28">
        <f>PLANTILLA!M12</f>
        <v>43122</v>
      </c>
      <c r="F11" s="45">
        <f>PLANTILLA!Q12</f>
        <v>5</v>
      </c>
      <c r="G11" s="46">
        <f t="shared" si="68"/>
        <v>0.84515425472851657</v>
      </c>
      <c r="H11" s="46">
        <f t="shared" si="69"/>
        <v>0.92504826128926143</v>
      </c>
      <c r="I11" s="222">
        <f ca="1">PLANTILLA!N12</f>
        <v>1</v>
      </c>
      <c r="J11" s="37">
        <f>PLANTILLA!I12</f>
        <v>4.2</v>
      </c>
      <c r="K11" s="44">
        <f>PLANTILLA!X12</f>
        <v>0</v>
      </c>
      <c r="L11" s="44">
        <f>PLANTILLA!Y12</f>
        <v>10.714285714285714</v>
      </c>
      <c r="M11" s="44">
        <f>PLANTILLA!Z12</f>
        <v>3</v>
      </c>
      <c r="N11" s="44">
        <f>PLANTILLA!AA12</f>
        <v>13</v>
      </c>
      <c r="O11" s="44">
        <f>PLANTILLA!AB12</f>
        <v>7</v>
      </c>
      <c r="P11" s="44">
        <f>PLANTILLA!AC12</f>
        <v>7</v>
      </c>
      <c r="Q11" s="44">
        <f>PLANTILLA!AD12</f>
        <v>3</v>
      </c>
      <c r="R11" s="44">
        <f t="shared" si="70"/>
        <v>3.4642857142857144</v>
      </c>
      <c r="S11" s="44">
        <f t="shared" si="71"/>
        <v>0.44000000000000006</v>
      </c>
      <c r="T11" s="44">
        <f t="shared" si="72"/>
        <v>0.51857142857142846</v>
      </c>
      <c r="U11" s="44">
        <f t="shared" ca="1" si="73"/>
        <v>4.0829394049624854</v>
      </c>
      <c r="V11" s="44">
        <f t="shared" ca="1" si="74"/>
        <v>4.4689072750668375</v>
      </c>
      <c r="W11" s="35">
        <f t="shared" ca="1" si="75"/>
        <v>4.5556050311660128</v>
      </c>
      <c r="X11" s="35">
        <f t="shared" ca="1" si="76"/>
        <v>6.9173912071096808</v>
      </c>
      <c r="Y11" s="35">
        <f t="shared" ca="1" si="77"/>
        <v>4.5556050311660128</v>
      </c>
      <c r="Z11" s="35">
        <f t="shared" ca="1" si="78"/>
        <v>6.4733669403651835</v>
      </c>
      <c r="AA11" s="35">
        <f t="shared" ca="1" si="79"/>
        <v>12.54528476814958</v>
      </c>
      <c r="AB11" s="35">
        <f t="shared" ca="1" si="80"/>
        <v>3.2366834701825917</v>
      </c>
      <c r="AC11" s="35">
        <f t="shared" ca="1" si="81"/>
        <v>1.1497777748196003</v>
      </c>
      <c r="AD11" s="35">
        <f t="shared" ca="1" si="82"/>
        <v>4.7421176423605411</v>
      </c>
      <c r="AE11" s="35">
        <f t="shared" ca="1" si="83"/>
        <v>9.0702408873721456</v>
      </c>
      <c r="AF11" s="35">
        <f t="shared" ca="1" si="84"/>
        <v>2.3710588211802706</v>
      </c>
      <c r="AG11" s="35">
        <f t="shared" ca="1" si="85"/>
        <v>1.859934635737589</v>
      </c>
      <c r="AH11" s="35">
        <f t="shared" ca="1" si="86"/>
        <v>11.541661986697614</v>
      </c>
      <c r="AI11" s="35">
        <f t="shared" ca="1" si="87"/>
        <v>5.1937478940139261</v>
      </c>
      <c r="AJ11" s="35">
        <f t="shared" ca="1" si="88"/>
        <v>0.80677684199526589</v>
      </c>
      <c r="AK11" s="35">
        <f t="shared" ca="1" si="89"/>
        <v>8.7206274436719529</v>
      </c>
      <c r="AL11" s="35">
        <f t="shared" ca="1" si="90"/>
        <v>9.4591447151847827</v>
      </c>
      <c r="AM11" s="35">
        <f t="shared" ca="1" si="91"/>
        <v>8.8820616158499028</v>
      </c>
      <c r="AN11" s="35">
        <f t="shared" ca="1" si="92"/>
        <v>0.80677684199526589</v>
      </c>
      <c r="AO11" s="35">
        <f t="shared" ca="1" si="93"/>
        <v>1.5250420132270794</v>
      </c>
      <c r="AP11" s="35">
        <f t="shared" ca="1" si="94"/>
        <v>3.387226887400387</v>
      </c>
      <c r="AQ11" s="35">
        <f t="shared" ca="1" si="95"/>
        <v>7.4518991522808502</v>
      </c>
      <c r="AR11" s="35">
        <f t="shared" ca="1" si="96"/>
        <v>1.6936134437001935</v>
      </c>
      <c r="AS11" s="35">
        <f t="shared" ca="1" si="97"/>
        <v>4.5604631068474903</v>
      </c>
      <c r="AT11" s="35">
        <f t="shared" ca="1" si="98"/>
        <v>1.1480298770023027</v>
      </c>
      <c r="AU11" s="35">
        <f t="shared" ca="1" si="99"/>
        <v>2.5874827227821129</v>
      </c>
      <c r="AV11" s="35">
        <f t="shared" ca="1" si="100"/>
        <v>0.57401493850115137</v>
      </c>
      <c r="AW11" s="35">
        <f t="shared" ca="1" si="101"/>
        <v>2.3710588211802706</v>
      </c>
      <c r="AX11" s="35">
        <f t="shared" ca="1" si="102"/>
        <v>5.0181139072598322</v>
      </c>
      <c r="AY11" s="35">
        <f t="shared" ca="1" si="103"/>
        <v>1.1855294105901353</v>
      </c>
      <c r="AZ11" s="35">
        <f t="shared" ca="1" si="104"/>
        <v>4.8309990538638674</v>
      </c>
      <c r="BA11" s="35">
        <f t="shared" ca="1" si="105"/>
        <v>2.2342427606275583</v>
      </c>
      <c r="BB11" s="35">
        <f t="shared" ca="1" si="106"/>
        <v>4.8658804786789904</v>
      </c>
      <c r="BC11" s="35">
        <f t="shared" ca="1" si="107"/>
        <v>1.1171213803137792</v>
      </c>
      <c r="BD11" s="35">
        <f t="shared" ca="1" si="108"/>
        <v>3.6506778675315275</v>
      </c>
      <c r="BE11" s="35">
        <f t="shared" ca="1" si="109"/>
        <v>4.3657590993160538</v>
      </c>
      <c r="BF11" s="35">
        <f t="shared" ca="1" si="110"/>
        <v>4.256110166454067</v>
      </c>
      <c r="BG11" s="35">
        <f t="shared" ca="1" si="111"/>
        <v>11.294758158884976</v>
      </c>
      <c r="BH11" s="35">
        <f t="shared" ca="1" si="112"/>
        <v>2.128270771981192</v>
      </c>
      <c r="BI11" s="35">
        <f t="shared" ca="1" si="113"/>
        <v>6.0844631125525463</v>
      </c>
      <c r="BJ11" s="35">
        <f t="shared" ca="1" si="114"/>
        <v>3.3119551787914894</v>
      </c>
      <c r="BK11" s="35">
        <f t="shared" ca="1" si="115"/>
        <v>1.8406106395221336</v>
      </c>
      <c r="BL11" s="35">
        <f t="shared" ca="1" si="116"/>
        <v>11.756293173077021</v>
      </c>
      <c r="BM11" s="35">
        <f t="shared" ca="1" si="117"/>
        <v>0.45921195080092103</v>
      </c>
      <c r="BN11" s="35">
        <f t="shared" ca="1" si="118"/>
        <v>2.2581512582669245</v>
      </c>
      <c r="BO11" s="35">
        <f t="shared" ca="1" si="119"/>
        <v>0.85307936423417152</v>
      </c>
      <c r="BP11" s="35">
        <f t="shared" ca="1" si="120"/>
        <v>1.4734547114284795</v>
      </c>
      <c r="BQ11" s="35">
        <f t="shared" ca="1" si="121"/>
        <v>17.356664783268933</v>
      </c>
      <c r="BR11" s="35">
        <f t="shared" ca="1" si="122"/>
        <v>1.192184872271622</v>
      </c>
      <c r="BS11" s="35">
        <f t="shared" ca="1" si="123"/>
        <v>3.5628608741544805</v>
      </c>
      <c r="BT11" s="35">
        <f t="shared" ca="1" si="124"/>
        <v>3.0610494834284974</v>
      </c>
      <c r="BU11" s="35">
        <f t="shared" ca="1" si="125"/>
        <v>3.0483604029881004</v>
      </c>
      <c r="BV11" s="35">
        <f t="shared" ca="1" si="126"/>
        <v>12.11574415320816</v>
      </c>
      <c r="BW11" s="35">
        <f t="shared" ca="1" si="127"/>
        <v>1.3069878599718521</v>
      </c>
      <c r="BX11" s="35">
        <f t="shared" ca="1" si="128"/>
        <v>1.9613856158687304</v>
      </c>
      <c r="BY11" s="35">
        <f t="shared" ca="1" si="129"/>
        <v>5.4649505070630742</v>
      </c>
      <c r="BZ11" s="35">
        <f t="shared" ca="1" si="130"/>
        <v>9.9437049346507145</v>
      </c>
      <c r="CA11" s="35">
        <f t="shared" ca="1" si="131"/>
        <v>5.4649505070630742</v>
      </c>
      <c r="CB11" s="35">
        <f t="shared" ca="1" si="132"/>
        <v>6.8277124105571891</v>
      </c>
      <c r="CC11" s="35">
        <f t="shared" ca="1" si="133"/>
        <v>12.089637704739634</v>
      </c>
      <c r="CD11" s="35">
        <f t="shared" ca="1" si="134"/>
        <v>6.8277124105571891</v>
      </c>
      <c r="CE11" s="35">
        <f t="shared" ca="1" si="135"/>
        <v>1.2077497634659669</v>
      </c>
    </row>
    <row r="12" spans="1:83" x14ac:dyDescent="0.25">
      <c r="A12" t="str">
        <f>PLANTILLA!D13</f>
        <v>Valeri Gomis</v>
      </c>
      <c r="B12">
        <f>PLANTILLA!E13</f>
        <v>22</v>
      </c>
      <c r="C12" s="31">
        <f ca="1">PLANTILLA!F13</f>
        <v>41</v>
      </c>
      <c r="D12" s="216" t="str">
        <f>PLANTILLA!G13</f>
        <v>IMP</v>
      </c>
      <c r="E12" s="28">
        <f>PLANTILLA!M13</f>
        <v>43051</v>
      </c>
      <c r="F12" s="45">
        <f>PLANTILLA!Q13</f>
        <v>4</v>
      </c>
      <c r="G12" s="46">
        <f t="shared" si="68"/>
        <v>0.7559289460184544</v>
      </c>
      <c r="H12" s="46">
        <f t="shared" si="69"/>
        <v>0.84430867747355465</v>
      </c>
      <c r="I12" s="222">
        <f ca="1">PLANTILLA!N13</f>
        <v>1</v>
      </c>
      <c r="J12" s="37">
        <f>PLANTILLA!I13</f>
        <v>4.2</v>
      </c>
      <c r="K12" s="44">
        <f>PLANTILLA!X13</f>
        <v>0</v>
      </c>
      <c r="L12" s="44">
        <f>PLANTILLA!Y13</f>
        <v>10.285714285714286</v>
      </c>
      <c r="M12" s="44">
        <f>PLANTILLA!Z13</f>
        <v>3</v>
      </c>
      <c r="N12" s="44">
        <f>PLANTILLA!AA13</f>
        <v>12</v>
      </c>
      <c r="O12" s="44">
        <f>PLANTILLA!AB13</f>
        <v>6.0000000000000009</v>
      </c>
      <c r="P12" s="44">
        <f>PLANTILLA!AC13</f>
        <v>7.25</v>
      </c>
      <c r="Q12" s="44">
        <f>PLANTILLA!AD13</f>
        <v>3</v>
      </c>
      <c r="R12" s="44">
        <f t="shared" si="70"/>
        <v>3.160714285714286</v>
      </c>
      <c r="S12" s="44">
        <f t="shared" si="71"/>
        <v>0.45250000000000001</v>
      </c>
      <c r="T12" s="44">
        <f t="shared" si="72"/>
        <v>0.50142857142857145</v>
      </c>
      <c r="U12" s="44">
        <f t="shared" ca="1" si="73"/>
        <v>3.6518920230034637</v>
      </c>
      <c r="V12" s="44">
        <f t="shared" ca="1" si="74"/>
        <v>4.0788544220437961</v>
      </c>
      <c r="W12" s="35">
        <f t="shared" ca="1" si="75"/>
        <v>4.4373193168802993</v>
      </c>
      <c r="X12" s="35">
        <f t="shared" ca="1" si="76"/>
        <v>6.7352483499668239</v>
      </c>
      <c r="Y12" s="35">
        <f t="shared" ca="1" si="77"/>
        <v>4.4373193168802993</v>
      </c>
      <c r="Z12" s="35">
        <f t="shared" ca="1" si="78"/>
        <v>6.2522240832223268</v>
      </c>
      <c r="AA12" s="35">
        <f t="shared" ca="1" si="79"/>
        <v>12.116713339578153</v>
      </c>
      <c r="AB12" s="35">
        <f t="shared" ca="1" si="80"/>
        <v>3.1261120416111634</v>
      </c>
      <c r="AC12" s="35">
        <f t="shared" ca="1" si="81"/>
        <v>1.1497777748196003</v>
      </c>
      <c r="AD12" s="35">
        <f t="shared" ca="1" si="82"/>
        <v>4.5801176423605421</v>
      </c>
      <c r="AE12" s="35">
        <f t="shared" ca="1" si="83"/>
        <v>8.7603837445150035</v>
      </c>
      <c r="AF12" s="35">
        <f t="shared" ca="1" si="84"/>
        <v>2.290058821180271</v>
      </c>
      <c r="AG12" s="35">
        <f t="shared" ca="1" si="85"/>
        <v>1.859934635737589</v>
      </c>
      <c r="AH12" s="35">
        <f t="shared" ca="1" si="86"/>
        <v>11.147376272411901</v>
      </c>
      <c r="AI12" s="35">
        <f t="shared" ca="1" si="87"/>
        <v>5.0163193225853551</v>
      </c>
      <c r="AJ12" s="35">
        <f t="shared" ca="1" si="88"/>
        <v>0.80677684199526589</v>
      </c>
      <c r="AK12" s="35">
        <f t="shared" ca="1" si="89"/>
        <v>8.1326274436719537</v>
      </c>
      <c r="AL12" s="35">
        <f t="shared" ca="1" si="90"/>
        <v>9.1360018580419275</v>
      </c>
      <c r="AM12" s="35">
        <f t="shared" ca="1" si="91"/>
        <v>8.5786330444213323</v>
      </c>
      <c r="AN12" s="35">
        <f t="shared" ca="1" si="92"/>
        <v>0.80677684199526589</v>
      </c>
      <c r="AO12" s="35">
        <f t="shared" ca="1" si="93"/>
        <v>1.4376134417985083</v>
      </c>
      <c r="AP12" s="35">
        <f t="shared" ca="1" si="94"/>
        <v>3.2715126016861014</v>
      </c>
      <c r="AQ12" s="35">
        <f t="shared" ca="1" si="95"/>
        <v>7.1973277237094226</v>
      </c>
      <c r="AR12" s="35">
        <f t="shared" ca="1" si="96"/>
        <v>1.6357563008430507</v>
      </c>
      <c r="AS12" s="35">
        <f t="shared" ca="1" si="97"/>
        <v>4.5604631068474903</v>
      </c>
      <c r="AT12" s="35">
        <f t="shared" ca="1" si="98"/>
        <v>1.0180298770023029</v>
      </c>
      <c r="AU12" s="35">
        <f t="shared" ca="1" si="99"/>
        <v>2.5107327227821128</v>
      </c>
      <c r="AV12" s="35">
        <f t="shared" ca="1" si="100"/>
        <v>0.50901493850115143</v>
      </c>
      <c r="AW12" s="35">
        <f t="shared" ca="1" si="101"/>
        <v>2.290058821180271</v>
      </c>
      <c r="AX12" s="35">
        <f t="shared" ca="1" si="102"/>
        <v>4.8466853358312614</v>
      </c>
      <c r="AY12" s="35">
        <f t="shared" ca="1" si="103"/>
        <v>1.1450294105901355</v>
      </c>
      <c r="AZ12" s="35">
        <f t="shared" ca="1" si="104"/>
        <v>4.8309990538638674</v>
      </c>
      <c r="BA12" s="35">
        <f t="shared" ca="1" si="105"/>
        <v>1.9812427606275587</v>
      </c>
      <c r="BB12" s="35">
        <f t="shared" ca="1" si="106"/>
        <v>4.5773804786789913</v>
      </c>
      <c r="BC12" s="35">
        <f t="shared" ca="1" si="107"/>
        <v>0.99062138031377933</v>
      </c>
      <c r="BD12" s="35">
        <f t="shared" ca="1" si="108"/>
        <v>3.5259635818172423</v>
      </c>
      <c r="BE12" s="35">
        <f t="shared" ca="1" si="109"/>
        <v>4.2166162421731972</v>
      </c>
      <c r="BF12" s="35">
        <f t="shared" ca="1" si="110"/>
        <v>4.256110166454067</v>
      </c>
      <c r="BG12" s="35">
        <f t="shared" ca="1" si="111"/>
        <v>10.405758158884979</v>
      </c>
      <c r="BH12" s="35">
        <f t="shared" ca="1" si="112"/>
        <v>1.8872707719811923</v>
      </c>
      <c r="BI12" s="35">
        <f t="shared" ca="1" si="113"/>
        <v>5.8766059696954036</v>
      </c>
      <c r="BJ12" s="35">
        <f t="shared" ca="1" si="114"/>
        <v>3.1988123216486324</v>
      </c>
      <c r="BK12" s="35">
        <f t="shared" ca="1" si="115"/>
        <v>1.8406106395221336</v>
      </c>
      <c r="BL12" s="35">
        <f t="shared" ca="1" si="116"/>
        <v>10.882293173077022</v>
      </c>
      <c r="BM12" s="35">
        <f t="shared" ca="1" si="117"/>
        <v>0.40721195080092115</v>
      </c>
      <c r="BN12" s="35">
        <f t="shared" ca="1" si="118"/>
        <v>2.1810084011240676</v>
      </c>
      <c r="BO12" s="35">
        <f t="shared" ca="1" si="119"/>
        <v>0.8239365070913145</v>
      </c>
      <c r="BP12" s="35">
        <f t="shared" ca="1" si="120"/>
        <v>1.4734547114284795</v>
      </c>
      <c r="BQ12" s="35">
        <f t="shared" ca="1" si="121"/>
        <v>16.070664783268931</v>
      </c>
      <c r="BR12" s="35">
        <f t="shared" ca="1" si="122"/>
        <v>1.0571848722716224</v>
      </c>
      <c r="BS12" s="35">
        <f t="shared" ca="1" si="123"/>
        <v>3.4411465884401951</v>
      </c>
      <c r="BT12" s="35">
        <f t="shared" ca="1" si="124"/>
        <v>2.9564780548570693</v>
      </c>
      <c r="BU12" s="35">
        <f t="shared" ca="1" si="125"/>
        <v>3.0483604029881004</v>
      </c>
      <c r="BV12" s="35">
        <f t="shared" ca="1" si="126"/>
        <v>11.220744153208161</v>
      </c>
      <c r="BW12" s="35">
        <f t="shared" ca="1" si="127"/>
        <v>1.1589878599718524</v>
      </c>
      <c r="BX12" s="35">
        <f t="shared" ca="1" si="128"/>
        <v>1.9613856158687304</v>
      </c>
      <c r="BY12" s="35">
        <f t="shared" ca="1" si="129"/>
        <v>5.1027005070630747</v>
      </c>
      <c r="BZ12" s="35">
        <f t="shared" ca="1" si="130"/>
        <v>9.5464549346507148</v>
      </c>
      <c r="CA12" s="35">
        <f t="shared" ca="1" si="131"/>
        <v>5.1027005070630747</v>
      </c>
      <c r="CB12" s="35">
        <f t="shared" ca="1" si="132"/>
        <v>6.5297124105571891</v>
      </c>
      <c r="CC12" s="35">
        <f t="shared" ca="1" si="133"/>
        <v>11.970637704739634</v>
      </c>
      <c r="CD12" s="35">
        <f t="shared" ca="1" si="134"/>
        <v>6.5297124105571891</v>
      </c>
      <c r="CE12" s="35">
        <f t="shared" ca="1" si="135"/>
        <v>1.2077497634659669</v>
      </c>
    </row>
    <row r="13" spans="1:83" x14ac:dyDescent="0.25">
      <c r="A13" t="str">
        <f>PLANTILLA!D14</f>
        <v>Enrique Cubas</v>
      </c>
      <c r="B13">
        <f>PLANTILLA!E14</f>
        <v>22</v>
      </c>
      <c r="C13" s="31">
        <f ca="1">PLANTILLA!F14</f>
        <v>37</v>
      </c>
      <c r="D13" s="216" t="str">
        <f>PLANTILLA!G14</f>
        <v>RAP</v>
      </c>
      <c r="E13" s="28">
        <f>PLANTILLA!M14</f>
        <v>43046</v>
      </c>
      <c r="F13" s="45">
        <f>PLANTILLA!Q14</f>
        <v>6</v>
      </c>
      <c r="G13" s="46">
        <f t="shared" si="68"/>
        <v>0.92582009977255142</v>
      </c>
      <c r="H13" s="46">
        <f t="shared" si="69"/>
        <v>0.99928545900129484</v>
      </c>
      <c r="I13" s="222">
        <f>PLANTILLA!N14</f>
        <v>1.5</v>
      </c>
      <c r="J13" s="37">
        <f>PLANTILLA!I14</f>
        <v>4.5999999999999996</v>
      </c>
      <c r="K13" s="44">
        <f>PLANTILLA!X14</f>
        <v>0</v>
      </c>
      <c r="L13" s="44">
        <f>PLANTILLA!Y14</f>
        <v>8.8000000000000007</v>
      </c>
      <c r="M13" s="44">
        <f>PLANTILLA!Z14</f>
        <v>5.7</v>
      </c>
      <c r="N13" s="44">
        <f>PLANTILLA!AA14</f>
        <v>14.124999999999996</v>
      </c>
      <c r="O13" s="44">
        <f>PLANTILLA!AB14</f>
        <v>6</v>
      </c>
      <c r="P13" s="44">
        <f>PLANTILLA!AC14</f>
        <v>7.5</v>
      </c>
      <c r="Q13" s="44">
        <f>PLANTILLA!AD14</f>
        <v>5</v>
      </c>
      <c r="R13" s="44">
        <f t="shared" si="70"/>
        <v>2.9750000000000001</v>
      </c>
      <c r="S13" s="44">
        <f t="shared" si="71"/>
        <v>0.52500000000000002</v>
      </c>
      <c r="T13" s="44">
        <f t="shared" si="72"/>
        <v>0.502</v>
      </c>
      <c r="U13" s="44">
        <f t="shared" si="73"/>
        <v>6.835956677658217</v>
      </c>
      <c r="V13" s="44">
        <f t="shared" si="74"/>
        <v>7.3784011688932489</v>
      </c>
      <c r="W13" s="35">
        <f t="shared" si="75"/>
        <v>4.5097501160773525</v>
      </c>
      <c r="X13" s="35">
        <f t="shared" si="76"/>
        <v>6.8173271476012154</v>
      </c>
      <c r="Y13" s="35">
        <f t="shared" si="77"/>
        <v>4.5097501160773525</v>
      </c>
      <c r="Z13" s="35">
        <f t="shared" si="78"/>
        <v>5.7707773881969233</v>
      </c>
      <c r="AA13" s="35">
        <f t="shared" si="79"/>
        <v>11.183677108908766</v>
      </c>
      <c r="AB13" s="35">
        <f t="shared" si="80"/>
        <v>2.8853886940984617</v>
      </c>
      <c r="AC13" s="35">
        <f t="shared" si="81"/>
        <v>1.9239151519202862</v>
      </c>
      <c r="AD13" s="35">
        <f t="shared" si="82"/>
        <v>4.2274299471675132</v>
      </c>
      <c r="AE13" s="35">
        <f t="shared" si="83"/>
        <v>8.0857985497410372</v>
      </c>
      <c r="AF13" s="35">
        <f t="shared" si="84"/>
        <v>2.1137149735837566</v>
      </c>
      <c r="AG13" s="35">
        <f t="shared" si="85"/>
        <v>3.1122156869298752</v>
      </c>
      <c r="AH13" s="35">
        <f t="shared" si="86"/>
        <v>10.288982940196066</v>
      </c>
      <c r="AI13" s="35">
        <f t="shared" si="87"/>
        <v>4.6300423230882286</v>
      </c>
      <c r="AJ13" s="35">
        <f t="shared" si="88"/>
        <v>1.349974077187764</v>
      </c>
      <c r="AK13" s="35">
        <f t="shared" si="89"/>
        <v>9.7071021400383515</v>
      </c>
      <c r="AL13" s="35">
        <f t="shared" si="90"/>
        <v>8.4324925401172095</v>
      </c>
      <c r="AM13" s="35">
        <f t="shared" si="91"/>
        <v>7.9180433931074061</v>
      </c>
      <c r="AN13" s="35">
        <f t="shared" si="92"/>
        <v>1.233074077187764</v>
      </c>
      <c r="AO13" s="35">
        <f t="shared" si="93"/>
        <v>1.5432990073657242</v>
      </c>
      <c r="AP13" s="35">
        <f t="shared" si="94"/>
        <v>3.0195928194053669</v>
      </c>
      <c r="AQ13" s="35">
        <f t="shared" si="95"/>
        <v>6.6431042026918066</v>
      </c>
      <c r="AR13" s="35">
        <f t="shared" si="96"/>
        <v>1.5097964097026835</v>
      </c>
      <c r="AS13" s="35">
        <f t="shared" si="97"/>
        <v>7.6309911908098753</v>
      </c>
      <c r="AT13" s="35">
        <f t="shared" si="98"/>
        <v>1.0898780241581396</v>
      </c>
      <c r="AU13" s="35">
        <f t="shared" si="99"/>
        <v>2.715917392910268</v>
      </c>
      <c r="AV13" s="35">
        <f t="shared" si="100"/>
        <v>0.54493901207906981</v>
      </c>
      <c r="AW13" s="35">
        <f t="shared" si="101"/>
        <v>2.1137149735837566</v>
      </c>
      <c r="AX13" s="35">
        <f t="shared" si="102"/>
        <v>4.4734708435635069</v>
      </c>
      <c r="AY13" s="35">
        <f t="shared" si="103"/>
        <v>1.0568574867918783</v>
      </c>
      <c r="AZ13" s="35">
        <f t="shared" si="104"/>
        <v>8.0836771089087662</v>
      </c>
      <c r="BA13" s="35">
        <f t="shared" si="105"/>
        <v>2.1210703085539175</v>
      </c>
      <c r="BB13" s="35">
        <f t="shared" si="106"/>
        <v>4.9344060870087301</v>
      </c>
      <c r="BC13" s="35">
        <f t="shared" si="107"/>
        <v>1.0605351542769588</v>
      </c>
      <c r="BD13" s="35">
        <f t="shared" si="108"/>
        <v>3.2544500386924509</v>
      </c>
      <c r="BE13" s="35">
        <f t="shared" si="109"/>
        <v>3.8919196339002502</v>
      </c>
      <c r="BF13" s="35">
        <f t="shared" si="110"/>
        <v>7.1217195329486227</v>
      </c>
      <c r="BG13" s="35">
        <f t="shared" si="111"/>
        <v>12.11683894981989</v>
      </c>
      <c r="BH13" s="35">
        <f t="shared" si="112"/>
        <v>2.0204661832470125</v>
      </c>
      <c r="BI13" s="35">
        <f t="shared" si="113"/>
        <v>5.424083397820751</v>
      </c>
      <c r="BJ13" s="35">
        <f t="shared" si="114"/>
        <v>2.9524907567519145</v>
      </c>
      <c r="BK13" s="35">
        <f t="shared" si="115"/>
        <v>3.07988097849424</v>
      </c>
      <c r="BL13" s="35">
        <f t="shared" si="116"/>
        <v>12.79545879318626</v>
      </c>
      <c r="BM13" s="35">
        <f t="shared" si="117"/>
        <v>0.43595120966325579</v>
      </c>
      <c r="BN13" s="35">
        <f t="shared" si="118"/>
        <v>2.013061879603578</v>
      </c>
      <c r="BO13" s="35">
        <f t="shared" si="119"/>
        <v>0.76049004340579618</v>
      </c>
      <c r="BP13" s="35">
        <f t="shared" si="120"/>
        <v>2.4655215182171735</v>
      </c>
      <c r="BQ13" s="35">
        <f t="shared" si="121"/>
        <v>18.906408762056671</v>
      </c>
      <c r="BR13" s="35">
        <f t="shared" si="122"/>
        <v>1.1317964097026834</v>
      </c>
      <c r="BS13" s="35">
        <f t="shared" si="123"/>
        <v>3.1761642989300891</v>
      </c>
      <c r="BT13" s="35">
        <f t="shared" si="124"/>
        <v>2.7288172145737386</v>
      </c>
      <c r="BU13" s="35">
        <f t="shared" si="125"/>
        <v>5.1008002557214311</v>
      </c>
      <c r="BV13" s="35">
        <f t="shared" si="126"/>
        <v>13.207141012473343</v>
      </c>
      <c r="BW13" s="35">
        <f t="shared" si="127"/>
        <v>1.2407842121184971</v>
      </c>
      <c r="BX13" s="35">
        <f t="shared" si="128"/>
        <v>3.2819729062169594</v>
      </c>
      <c r="BY13" s="35">
        <f t="shared" si="129"/>
        <v>5.7283957737414655</v>
      </c>
      <c r="BZ13" s="35">
        <f t="shared" si="130"/>
        <v>10.314520424631269</v>
      </c>
      <c r="CA13" s="35">
        <f t="shared" si="131"/>
        <v>5.7283957737414655</v>
      </c>
      <c r="CB13" s="35">
        <f t="shared" si="132"/>
        <v>7.4086558388501604</v>
      </c>
      <c r="CC13" s="35">
        <f t="shared" si="133"/>
        <v>12.9772539620961</v>
      </c>
      <c r="CD13" s="35">
        <f t="shared" si="134"/>
        <v>7.4086558388501604</v>
      </c>
      <c r="CE13" s="35">
        <f t="shared" si="135"/>
        <v>2.0209192772271916</v>
      </c>
    </row>
    <row r="14" spans="1:83" x14ac:dyDescent="0.25">
      <c r="A14" t="str">
        <f>PLANTILLA!D15</f>
        <v>J. G. Peñuela</v>
      </c>
      <c r="B14">
        <f>PLANTILLA!E15</f>
        <v>22</v>
      </c>
      <c r="C14" s="31">
        <f ca="1">PLANTILLA!F15</f>
        <v>37</v>
      </c>
      <c r="D14" s="216" t="str">
        <f>PLANTILLA!G15</f>
        <v>IMP</v>
      </c>
      <c r="E14" s="28">
        <f>PLANTILLA!M15</f>
        <v>43054</v>
      </c>
      <c r="F14" s="45">
        <f>PLANTILLA!Q15</f>
        <v>5</v>
      </c>
      <c r="G14" s="46">
        <f t="shared" si="68"/>
        <v>0.84515425472851657</v>
      </c>
      <c r="H14" s="46">
        <f t="shared" si="69"/>
        <v>0.92504826128926143</v>
      </c>
      <c r="I14" s="222">
        <f ca="1">PLANTILLA!N15</f>
        <v>1</v>
      </c>
      <c r="J14" s="37">
        <f>PLANTILLA!I15</f>
        <v>4</v>
      </c>
      <c r="K14" s="44">
        <f>PLANTILLA!X15</f>
        <v>0</v>
      </c>
      <c r="L14" s="44">
        <f>PLANTILLA!Y15</f>
        <v>9.2857142857142865</v>
      </c>
      <c r="M14" s="44">
        <f>PLANTILLA!Z15</f>
        <v>5</v>
      </c>
      <c r="N14" s="44">
        <f>PLANTILLA!AA15</f>
        <v>13.19</v>
      </c>
      <c r="O14" s="44">
        <f>PLANTILLA!AB15</f>
        <v>5</v>
      </c>
      <c r="P14" s="44">
        <f>PLANTILLA!AC15</f>
        <v>7.8016666666666676</v>
      </c>
      <c r="Q14" s="44">
        <f>PLANTILLA!AD15</f>
        <v>3</v>
      </c>
      <c r="R14" s="44">
        <f t="shared" si="70"/>
        <v>2.7857142857142856</v>
      </c>
      <c r="S14" s="44">
        <f t="shared" si="71"/>
        <v>0.48008333333333331</v>
      </c>
      <c r="T14" s="44">
        <f t="shared" si="72"/>
        <v>0.46142857142857147</v>
      </c>
      <c r="U14" s="44">
        <f t="shared" ca="1" si="73"/>
        <v>4.0590617699442548</v>
      </c>
      <c r="V14" s="44">
        <f t="shared" ca="1" si="74"/>
        <v>4.4427724427167252</v>
      </c>
      <c r="W14" s="35">
        <f t="shared" ca="1" si="75"/>
        <v>4.1366549727628916</v>
      </c>
      <c r="X14" s="35">
        <f t="shared" ca="1" si="76"/>
        <v>6.273774503167771</v>
      </c>
      <c r="Y14" s="35">
        <f t="shared" ca="1" si="77"/>
        <v>4.1366549727628916</v>
      </c>
      <c r="Z14" s="35">
        <f t="shared" ca="1" si="78"/>
        <v>5.7216458454622101</v>
      </c>
      <c r="AA14" s="35">
        <f t="shared" ca="1" si="79"/>
        <v>11.088460940818237</v>
      </c>
      <c r="AB14" s="35">
        <f t="shared" ca="1" si="80"/>
        <v>2.8608229227311051</v>
      </c>
      <c r="AC14" s="35">
        <f t="shared" ca="1" si="81"/>
        <v>1.6190537039147399</v>
      </c>
      <c r="AD14" s="35">
        <f t="shared" ca="1" si="82"/>
        <v>4.1914382356292936</v>
      </c>
      <c r="AE14" s="35">
        <f t="shared" ca="1" si="83"/>
        <v>8.0169572602115853</v>
      </c>
      <c r="AF14" s="35">
        <f t="shared" ca="1" si="84"/>
        <v>2.0957191178146468</v>
      </c>
      <c r="AG14" s="35">
        <f t="shared" ca="1" si="85"/>
        <v>2.6190574622150207</v>
      </c>
      <c r="AH14" s="35">
        <f t="shared" ca="1" si="86"/>
        <v>10.201384065552778</v>
      </c>
      <c r="AI14" s="35">
        <f t="shared" ca="1" si="87"/>
        <v>4.5906228294987503</v>
      </c>
      <c r="AJ14" s="35">
        <f t="shared" ca="1" si="88"/>
        <v>1.1360586914023596</v>
      </c>
      <c r="AK14" s="35">
        <f t="shared" ca="1" si="89"/>
        <v>8.815735033201122</v>
      </c>
      <c r="AL14" s="35">
        <f t="shared" ca="1" si="90"/>
        <v>8.3606995493769514</v>
      </c>
      <c r="AM14" s="35">
        <f t="shared" ca="1" si="91"/>
        <v>7.8506303460993117</v>
      </c>
      <c r="AN14" s="35">
        <f t="shared" ca="1" si="92"/>
        <v>0.80205869140235964</v>
      </c>
      <c r="AO14" s="35">
        <f t="shared" ca="1" si="93"/>
        <v>1.3214767509556518</v>
      </c>
      <c r="AP14" s="35">
        <f t="shared" ca="1" si="94"/>
        <v>2.9938844540209244</v>
      </c>
      <c r="AQ14" s="35">
        <f t="shared" ca="1" si="95"/>
        <v>6.5865457988460321</v>
      </c>
      <c r="AR14" s="35">
        <f t="shared" ca="1" si="96"/>
        <v>1.4969422270104622</v>
      </c>
      <c r="AS14" s="35">
        <f t="shared" ca="1" si="97"/>
        <v>6.4217928424181281</v>
      </c>
      <c r="AT14" s="35">
        <f t="shared" ca="1" si="98"/>
        <v>0.88435706516351353</v>
      </c>
      <c r="AU14" s="35">
        <f t="shared" ca="1" si="99"/>
        <v>2.4778931032787908</v>
      </c>
      <c r="AV14" s="35">
        <f t="shared" ca="1" si="100"/>
        <v>0.44217853258175677</v>
      </c>
      <c r="AW14" s="35">
        <f t="shared" ca="1" si="101"/>
        <v>2.0957191178146468</v>
      </c>
      <c r="AX14" s="35">
        <f t="shared" ca="1" si="102"/>
        <v>4.4353843763272947</v>
      </c>
      <c r="AY14" s="35">
        <f t="shared" ca="1" si="103"/>
        <v>1.0478595589073234</v>
      </c>
      <c r="AZ14" s="35">
        <f t="shared" ca="1" si="104"/>
        <v>6.8027466551039497</v>
      </c>
      <c r="BA14" s="35">
        <f t="shared" ca="1" si="105"/>
        <v>1.7210949037412993</v>
      </c>
      <c r="BB14" s="35">
        <f t="shared" ca="1" si="106"/>
        <v>4.3366634069622769</v>
      </c>
      <c r="BC14" s="35">
        <f t="shared" ca="1" si="107"/>
        <v>0.86054745187064963</v>
      </c>
      <c r="BD14" s="35">
        <f t="shared" ca="1" si="108"/>
        <v>3.2267421337781066</v>
      </c>
      <c r="BE14" s="35">
        <f t="shared" ca="1" si="109"/>
        <v>3.8587844074047464</v>
      </c>
      <c r="BF14" s="35">
        <f t="shared" ca="1" si="110"/>
        <v>5.9932198031465793</v>
      </c>
      <c r="BG14" s="35">
        <f t="shared" ca="1" si="111"/>
        <v>10.748701776387412</v>
      </c>
      <c r="BH14" s="35">
        <f t="shared" ca="1" si="112"/>
        <v>1.6394619438800517</v>
      </c>
      <c r="BI14" s="35">
        <f t="shared" ca="1" si="113"/>
        <v>5.3779035562968449</v>
      </c>
      <c r="BJ14" s="35">
        <f t="shared" ca="1" si="114"/>
        <v>2.9273536883760145</v>
      </c>
      <c r="BK14" s="35">
        <f t="shared" ca="1" si="115"/>
        <v>2.5918464755946049</v>
      </c>
      <c r="BL14" s="35">
        <f t="shared" ca="1" si="116"/>
        <v>11.457470576560853</v>
      </c>
      <c r="BM14" s="35">
        <f t="shared" ca="1" si="117"/>
        <v>0.35374282606540536</v>
      </c>
      <c r="BN14" s="35">
        <f t="shared" ca="1" si="118"/>
        <v>1.9959229693472826</v>
      </c>
      <c r="BO14" s="35">
        <f t="shared" ca="1" si="119"/>
        <v>0.75401534397564018</v>
      </c>
      <c r="BP14" s="35">
        <f t="shared" ca="1" si="120"/>
        <v>2.0748377298067044</v>
      </c>
      <c r="BQ14" s="35">
        <f t="shared" ca="1" si="121"/>
        <v>16.93833219846368</v>
      </c>
      <c r="BR14" s="35">
        <f t="shared" ca="1" si="122"/>
        <v>0.91837079843903324</v>
      </c>
      <c r="BS14" s="35">
        <f t="shared" ca="1" si="123"/>
        <v>3.1491229071923792</v>
      </c>
      <c r="BT14" s="35">
        <f t="shared" ca="1" si="124"/>
        <v>2.7055844695596498</v>
      </c>
      <c r="BU14" s="35">
        <f t="shared" ca="1" si="125"/>
        <v>4.2925331393705921</v>
      </c>
      <c r="BV14" s="35">
        <f t="shared" ca="1" si="126"/>
        <v>11.837838256318035</v>
      </c>
      <c r="BW14" s="35">
        <f t="shared" ca="1" si="127"/>
        <v>1.0068065049553845</v>
      </c>
      <c r="BX14" s="35">
        <f t="shared" ca="1" si="128"/>
        <v>2.7619151419722039</v>
      </c>
      <c r="BY14" s="35">
        <f t="shared" ca="1" si="129"/>
        <v>5.0794026739758245</v>
      </c>
      <c r="BZ14" s="35">
        <f t="shared" ca="1" si="130"/>
        <v>9.2932644003137153</v>
      </c>
      <c r="CA14" s="35">
        <f t="shared" ca="1" si="131"/>
        <v>5.0794026739758245</v>
      </c>
      <c r="CB14" s="35">
        <f t="shared" ca="1" si="132"/>
        <v>6.7765344994630947</v>
      </c>
      <c r="CC14" s="35">
        <f t="shared" ca="1" si="133"/>
        <v>12.114626837503977</v>
      </c>
      <c r="CD14" s="35">
        <f t="shared" ca="1" si="134"/>
        <v>6.7765344994630947</v>
      </c>
      <c r="CE14" s="35">
        <f t="shared" ca="1" si="135"/>
        <v>1.7006866637759874</v>
      </c>
    </row>
    <row r="15" spans="1:83" x14ac:dyDescent="0.25">
      <c r="A15" t="str">
        <f>PLANTILLA!D16</f>
        <v>David Garcia-Spiess</v>
      </c>
      <c r="B15">
        <f>PLANTILLA!E16</f>
        <v>30</v>
      </c>
      <c r="C15" s="31">
        <f ca="1">PLANTILLA!F16</f>
        <v>6</v>
      </c>
      <c r="D15" s="216" t="str">
        <f>PLANTILLA!G16</f>
        <v>POT</v>
      </c>
      <c r="E15" s="28">
        <f>PLANTILLA!M16</f>
        <v>43409</v>
      </c>
      <c r="F15" s="45">
        <f>PLANTILLA!Q16</f>
        <v>5</v>
      </c>
      <c r="G15" s="46">
        <f t="shared" si="68"/>
        <v>0.84515425472851657</v>
      </c>
      <c r="H15" s="46">
        <f t="shared" si="69"/>
        <v>0.92504826128926143</v>
      </c>
      <c r="I15" s="222">
        <f ca="1">PLANTILLA!N16</f>
        <v>0.78022734029733887</v>
      </c>
      <c r="J15" s="37">
        <f>PLANTILLA!I16</f>
        <v>7</v>
      </c>
      <c r="K15" s="44">
        <f>PLANTILLA!X16</f>
        <v>0</v>
      </c>
      <c r="L15" s="44">
        <f>PLANTILLA!Y16</f>
        <v>9</v>
      </c>
      <c r="M15" s="44">
        <f>PLANTILLA!Z16</f>
        <v>13</v>
      </c>
      <c r="N15" s="44">
        <f>PLANTILLA!AA16</f>
        <v>6</v>
      </c>
      <c r="O15" s="44">
        <f>PLANTILLA!AB16</f>
        <v>7</v>
      </c>
      <c r="P15" s="44">
        <f>PLANTILLA!AC16</f>
        <v>7</v>
      </c>
      <c r="Q15" s="44">
        <f>PLANTILLA!AD16</f>
        <v>17</v>
      </c>
      <c r="R15" s="44">
        <f t="shared" si="70"/>
        <v>3.25</v>
      </c>
      <c r="S15" s="44">
        <f t="shared" si="71"/>
        <v>0.86</v>
      </c>
      <c r="T15" s="44">
        <f t="shared" si="72"/>
        <v>0.86999999999999988</v>
      </c>
      <c r="U15" s="44">
        <f t="shared" ca="1" si="73"/>
        <v>15.979352392266966</v>
      </c>
      <c r="V15" s="44">
        <f t="shared" ca="1" si="74"/>
        <v>17.489910349848714</v>
      </c>
      <c r="W15" s="35">
        <f t="shared" ca="1" si="75"/>
        <v>4.1488325866561713</v>
      </c>
      <c r="X15" s="35">
        <f t="shared" ca="1" si="76"/>
        <v>6.2869689225350713</v>
      </c>
      <c r="Y15" s="35">
        <f t="shared" ca="1" si="77"/>
        <v>4.1488325866561713</v>
      </c>
      <c r="Z15" s="35">
        <f t="shared" ca="1" si="78"/>
        <v>5.6280247591232353</v>
      </c>
      <c r="AA15" s="35">
        <f t="shared" ca="1" si="79"/>
        <v>10.907024726983014</v>
      </c>
      <c r="AB15" s="35">
        <f t="shared" ca="1" si="80"/>
        <v>2.8140123795616176</v>
      </c>
      <c r="AC15" s="35">
        <f t="shared" ca="1" si="81"/>
        <v>3.5478718850219573</v>
      </c>
      <c r="AD15" s="35">
        <f t="shared" ca="1" si="82"/>
        <v>4.1228553467995797</v>
      </c>
      <c r="AE15" s="35">
        <f t="shared" ca="1" si="83"/>
        <v>7.8857788776087192</v>
      </c>
      <c r="AF15" s="35">
        <f t="shared" ca="1" si="84"/>
        <v>2.0614276733997898</v>
      </c>
      <c r="AG15" s="35">
        <f t="shared" ca="1" si="85"/>
        <v>5.7392045198884603</v>
      </c>
      <c r="AH15" s="35">
        <f t="shared" ca="1" si="86"/>
        <v>10.034462748824373</v>
      </c>
      <c r="AI15" s="35">
        <f t="shared" ca="1" si="87"/>
        <v>4.5155082369709678</v>
      </c>
      <c r="AJ15" s="35">
        <f t="shared" ca="1" si="88"/>
        <v>2.4894731294061634</v>
      </c>
      <c r="AK15" s="35">
        <f t="shared" ca="1" si="89"/>
        <v>4.6493305394660123</v>
      </c>
      <c r="AL15" s="35">
        <f t="shared" ca="1" si="90"/>
        <v>8.2238966441451922</v>
      </c>
      <c r="AM15" s="35">
        <f t="shared" ca="1" si="91"/>
        <v>7.7221735067039736</v>
      </c>
      <c r="AN15" s="35">
        <f t="shared" ca="1" si="92"/>
        <v>3.157473129406164</v>
      </c>
      <c r="AO15" s="35">
        <f t="shared" ca="1" si="93"/>
        <v>1.485223121371108</v>
      </c>
      <c r="AP15" s="35">
        <f t="shared" ca="1" si="94"/>
        <v>2.9448966762854139</v>
      </c>
      <c r="AQ15" s="35">
        <f t="shared" ca="1" si="95"/>
        <v>6.4787726878279104</v>
      </c>
      <c r="AR15" s="35">
        <f t="shared" ca="1" si="96"/>
        <v>1.4724483381427069</v>
      </c>
      <c r="AS15" s="35">
        <f t="shared" ca="1" si="97"/>
        <v>14.072231342271964</v>
      </c>
      <c r="AT15" s="35">
        <f t="shared" ca="1" si="98"/>
        <v>1.1579132145077919</v>
      </c>
      <c r="AU15" s="35">
        <f t="shared" ca="1" si="99"/>
        <v>2.6097582450060228</v>
      </c>
      <c r="AV15" s="35">
        <f t="shared" ca="1" si="100"/>
        <v>0.57895660725389597</v>
      </c>
      <c r="AW15" s="35">
        <f t="shared" ca="1" si="101"/>
        <v>2.0614276733997898</v>
      </c>
      <c r="AX15" s="35">
        <f t="shared" ca="1" si="102"/>
        <v>4.3628098907932058</v>
      </c>
      <c r="AY15" s="35">
        <f t="shared" ca="1" si="103"/>
        <v>1.0307138366998949</v>
      </c>
      <c r="AZ15" s="35">
        <f t="shared" ca="1" si="104"/>
        <v>14.907024726983014</v>
      </c>
      <c r="BA15" s="35">
        <f t="shared" ca="1" si="105"/>
        <v>2.2534772559267027</v>
      </c>
      <c r="BB15" s="35">
        <f t="shared" ca="1" si="106"/>
        <v>4.9077706245676413</v>
      </c>
      <c r="BC15" s="35">
        <f t="shared" ca="1" si="107"/>
        <v>1.1267386279633513</v>
      </c>
      <c r="BD15" s="35">
        <f t="shared" ca="1" si="108"/>
        <v>3.1739441955520569</v>
      </c>
      <c r="BE15" s="35">
        <f t="shared" ca="1" si="109"/>
        <v>3.7956446049900885</v>
      </c>
      <c r="BF15" s="35">
        <f t="shared" ca="1" si="110"/>
        <v>13.133088784472035</v>
      </c>
      <c r="BG15" s="35">
        <f t="shared" ca="1" si="111"/>
        <v>7.3443449822878994</v>
      </c>
      <c r="BH15" s="35">
        <f t="shared" ca="1" si="112"/>
        <v>2.1465929592029065</v>
      </c>
      <c r="BI15" s="35">
        <f t="shared" ca="1" si="113"/>
        <v>5.2899069925867614</v>
      </c>
      <c r="BJ15" s="35">
        <f t="shared" ca="1" si="114"/>
        <v>2.879454527923516</v>
      </c>
      <c r="BK15" s="35">
        <f t="shared" ca="1" si="115"/>
        <v>5.6795764209805286</v>
      </c>
      <c r="BL15" s="35">
        <f t="shared" ca="1" si="116"/>
        <v>7.1117396113831548</v>
      </c>
      <c r="BM15" s="35">
        <f t="shared" ca="1" si="117"/>
        <v>0.46316528580311672</v>
      </c>
      <c r="BN15" s="35">
        <f t="shared" ca="1" si="118"/>
        <v>1.9632644508569426</v>
      </c>
      <c r="BO15" s="35">
        <f t="shared" ca="1" si="119"/>
        <v>0.74167768143484503</v>
      </c>
      <c r="BP15" s="35">
        <f t="shared" ca="1" si="120"/>
        <v>4.5466425417298195</v>
      </c>
      <c r="BQ15" s="35">
        <f t="shared" ca="1" si="121"/>
        <v>10.454433798900155</v>
      </c>
      <c r="BR15" s="35">
        <f t="shared" ca="1" si="122"/>
        <v>1.2024483381427069</v>
      </c>
      <c r="BS15" s="35">
        <f t="shared" ca="1" si="123"/>
        <v>3.0975950224631759</v>
      </c>
      <c r="BT15" s="35">
        <f t="shared" ca="1" si="124"/>
        <v>2.6613140333838552</v>
      </c>
      <c r="BU15" s="35">
        <f t="shared" ca="1" si="125"/>
        <v>9.4063326027262821</v>
      </c>
      <c r="BV15" s="35">
        <f t="shared" ca="1" si="126"/>
        <v>7.2697871306497976</v>
      </c>
      <c r="BW15" s="35">
        <f t="shared" ca="1" si="127"/>
        <v>1.318239659593486</v>
      </c>
      <c r="BX15" s="35">
        <f t="shared" ca="1" si="128"/>
        <v>6.0522520391551042</v>
      </c>
      <c r="BY15" s="35">
        <f t="shared" ca="1" si="129"/>
        <v>4.4965598827581506</v>
      </c>
      <c r="BZ15" s="35">
        <f t="shared" ca="1" si="130"/>
        <v>10.029309842582874</v>
      </c>
      <c r="CA15" s="35">
        <f t="shared" ca="1" si="131"/>
        <v>4.4965598827581506</v>
      </c>
      <c r="CB15" s="35">
        <f t="shared" ca="1" si="132"/>
        <v>5.3280764049104175</v>
      </c>
      <c r="CC15" s="35">
        <f t="shared" ca="1" si="133"/>
        <v>12.193716851239746</v>
      </c>
      <c r="CD15" s="35">
        <f t="shared" ca="1" si="134"/>
        <v>5.3280764049104175</v>
      </c>
      <c r="CE15" s="35">
        <f t="shared" ca="1" si="135"/>
        <v>3.7267561817457535</v>
      </c>
    </row>
    <row r="16" spans="1:83" x14ac:dyDescent="0.25">
      <c r="A16" t="str">
        <f>PLANTILLA!D17</f>
        <v>Fabien Fabre</v>
      </c>
      <c r="B16">
        <f>PLANTILLA!E17</f>
        <v>31</v>
      </c>
      <c r="C16" s="31">
        <f ca="1">PLANTILLA!F17</f>
        <v>11</v>
      </c>
      <c r="D16" s="216" t="str">
        <f>PLANTILLA!G17</f>
        <v>IMP</v>
      </c>
      <c r="E16" s="28">
        <f>PLANTILLA!M17</f>
        <v>43415</v>
      </c>
      <c r="F16" s="45">
        <f>PLANTILLA!Q17</f>
        <v>5</v>
      </c>
      <c r="G16" s="46">
        <f t="shared" si="68"/>
        <v>0.84515425472851657</v>
      </c>
      <c r="H16" s="46">
        <f t="shared" si="69"/>
        <v>0.92504826128926143</v>
      </c>
      <c r="I16" s="222">
        <f ca="1">PLANTILLA!N17</f>
        <v>0.76702366970655766</v>
      </c>
      <c r="J16" s="37">
        <f>PLANTILLA!I17</f>
        <v>4.8</v>
      </c>
      <c r="K16" s="44">
        <f>PLANTILLA!X17</f>
        <v>0</v>
      </c>
      <c r="L16" s="44">
        <f>PLANTILLA!Y17</f>
        <v>5</v>
      </c>
      <c r="M16" s="44">
        <f>PLANTILLA!Z17</f>
        <v>11</v>
      </c>
      <c r="N16" s="44">
        <f>PLANTILLA!AA17</f>
        <v>2</v>
      </c>
      <c r="O16" s="44">
        <f>PLANTILLA!AB17</f>
        <v>4</v>
      </c>
      <c r="P16" s="44">
        <f>PLANTILLA!AC17</f>
        <v>5</v>
      </c>
      <c r="Q16" s="44">
        <f>PLANTILLA!AD17</f>
        <v>12</v>
      </c>
      <c r="R16" s="44">
        <f t="shared" si="70"/>
        <v>2</v>
      </c>
      <c r="S16" s="44">
        <f t="shared" si="71"/>
        <v>0.61</v>
      </c>
      <c r="T16" s="44">
        <f t="shared" si="72"/>
        <v>0.55999999999999994</v>
      </c>
      <c r="U16" s="44">
        <f t="shared" ca="1" si="73"/>
        <v>11.557776281691504</v>
      </c>
      <c r="V16" s="44">
        <f t="shared" ca="1" si="74"/>
        <v>12.650354410371339</v>
      </c>
      <c r="W16" s="35">
        <f t="shared" ca="1" si="75"/>
        <v>2.8425764639590083</v>
      </c>
      <c r="X16" s="35">
        <f t="shared" ca="1" si="76"/>
        <v>4.2878708075270104</v>
      </c>
      <c r="Y16" s="35">
        <f t="shared" ca="1" si="77"/>
        <v>2.8425764639590083</v>
      </c>
      <c r="Z16" s="35">
        <f t="shared" ca="1" si="78"/>
        <v>3.4444781848829877</v>
      </c>
      <c r="AA16" s="35">
        <f t="shared" ca="1" si="79"/>
        <v>6.675345319540674</v>
      </c>
      <c r="AB16" s="35">
        <f t="shared" ca="1" si="80"/>
        <v>1.7222390924414939</v>
      </c>
      <c r="AC16" s="35">
        <f t="shared" ca="1" si="81"/>
        <v>3.0167321860506799</v>
      </c>
      <c r="AD16" s="35">
        <f t="shared" ca="1" si="82"/>
        <v>2.5232805307863746</v>
      </c>
      <c r="AE16" s="35">
        <f t="shared" ca="1" si="83"/>
        <v>4.8262746660279072</v>
      </c>
      <c r="AF16" s="35">
        <f t="shared" ca="1" si="84"/>
        <v>1.2616402653931873</v>
      </c>
      <c r="AG16" s="35">
        <f t="shared" ca="1" si="85"/>
        <v>4.8800079480231595</v>
      </c>
      <c r="AH16" s="35">
        <f t="shared" ca="1" si="86"/>
        <v>6.1413176939774203</v>
      </c>
      <c r="AI16" s="35">
        <f t="shared" ca="1" si="87"/>
        <v>2.763592962289839</v>
      </c>
      <c r="AJ16" s="35">
        <f t="shared" ca="1" si="88"/>
        <v>2.1167826683632924</v>
      </c>
      <c r="AK16" s="35">
        <f t="shared" ca="1" si="89"/>
        <v>2.1611030478899163</v>
      </c>
      <c r="AL16" s="35">
        <f t="shared" ca="1" si="90"/>
        <v>5.0332103709336682</v>
      </c>
      <c r="AM16" s="35">
        <f t="shared" ca="1" si="91"/>
        <v>4.726144486234797</v>
      </c>
      <c r="AN16" s="35">
        <f t="shared" ca="1" si="92"/>
        <v>2.2837826683632927</v>
      </c>
      <c r="AO16" s="35">
        <f t="shared" ca="1" si="93"/>
        <v>1.058499452027714</v>
      </c>
      <c r="AP16" s="35">
        <f t="shared" ca="1" si="94"/>
        <v>1.8023432362759821</v>
      </c>
      <c r="AQ16" s="35">
        <f t="shared" ca="1" si="95"/>
        <v>3.96515511980716</v>
      </c>
      <c r="AR16" s="35">
        <f t="shared" ca="1" si="96"/>
        <v>0.90117161813799107</v>
      </c>
      <c r="AS16" s="35">
        <f t="shared" ca="1" si="97"/>
        <v>11.965525981646394</v>
      </c>
      <c r="AT16" s="35">
        <f t="shared" ca="1" si="98"/>
        <v>0.73779489154028766</v>
      </c>
      <c r="AU16" s="35">
        <f t="shared" ca="1" si="99"/>
        <v>1.8358761786254174</v>
      </c>
      <c r="AV16" s="35">
        <f t="shared" ca="1" si="100"/>
        <v>0.36889744577014383</v>
      </c>
      <c r="AW16" s="35">
        <f t="shared" ca="1" si="101"/>
        <v>1.2616402653931873</v>
      </c>
      <c r="AX16" s="35">
        <f t="shared" ca="1" si="102"/>
        <v>2.6701381278162697</v>
      </c>
      <c r="AY16" s="35">
        <f t="shared" ca="1" si="103"/>
        <v>0.63082013269659365</v>
      </c>
      <c r="AZ16" s="35">
        <f t="shared" ca="1" si="104"/>
        <v>12.675345319540673</v>
      </c>
      <c r="BA16" s="35">
        <f t="shared" ca="1" si="105"/>
        <v>1.4358623658437906</v>
      </c>
      <c r="BB16" s="35">
        <f t="shared" ca="1" si="106"/>
        <v>3.3371152710669114</v>
      </c>
      <c r="BC16" s="35">
        <f t="shared" ca="1" si="107"/>
        <v>0.71793118292189528</v>
      </c>
      <c r="BD16" s="35">
        <f t="shared" ca="1" si="108"/>
        <v>1.9425254879863361</v>
      </c>
      <c r="BE16" s="35">
        <f t="shared" ca="1" si="109"/>
        <v>2.3230201712001546</v>
      </c>
      <c r="BF16" s="35">
        <f t="shared" ca="1" si="110"/>
        <v>11.166979226515332</v>
      </c>
      <c r="BG16" s="35">
        <f t="shared" ca="1" si="111"/>
        <v>3.897381989071659</v>
      </c>
      <c r="BH16" s="35">
        <f t="shared" ca="1" si="112"/>
        <v>1.3677582220093023</v>
      </c>
      <c r="BI16" s="35">
        <f t="shared" ca="1" si="113"/>
        <v>3.2375424799772268</v>
      </c>
      <c r="BJ16" s="35">
        <f t="shared" ca="1" si="114"/>
        <v>1.762291164358738</v>
      </c>
      <c r="BK16" s="35">
        <f t="shared" ca="1" si="115"/>
        <v>4.8293065667449966</v>
      </c>
      <c r="BL16" s="35">
        <f t="shared" ca="1" si="116"/>
        <v>3.6142518092785494</v>
      </c>
      <c r="BM16" s="35">
        <f t="shared" ca="1" si="117"/>
        <v>0.29511795661611506</v>
      </c>
      <c r="BN16" s="35">
        <f t="shared" ca="1" si="118"/>
        <v>1.2015621575173212</v>
      </c>
      <c r="BO16" s="35">
        <f t="shared" ca="1" si="119"/>
        <v>0.45392348172876584</v>
      </c>
      <c r="BP16" s="35">
        <f t="shared" ca="1" si="120"/>
        <v>3.8659803224599054</v>
      </c>
      <c r="BQ16" s="35">
        <f t="shared" ca="1" si="121"/>
        <v>5.2984940809293066</v>
      </c>
      <c r="BR16" s="35">
        <f t="shared" ca="1" si="122"/>
        <v>0.76617161813799106</v>
      </c>
      <c r="BS16" s="35">
        <f t="shared" ca="1" si="123"/>
        <v>1.8957980707495512</v>
      </c>
      <c r="BT16" s="35">
        <f t="shared" ca="1" si="124"/>
        <v>1.6287842579679244</v>
      </c>
      <c r="BU16" s="35">
        <f t="shared" ca="1" si="125"/>
        <v>7.9981428966301644</v>
      </c>
      <c r="BV16" s="35">
        <f t="shared" ca="1" si="126"/>
        <v>3.6754340609889034</v>
      </c>
      <c r="BW16" s="35">
        <f t="shared" ca="1" si="127"/>
        <v>0.83995110729201972</v>
      </c>
      <c r="BX16" s="35">
        <f t="shared" ca="1" si="128"/>
        <v>5.146190199733514</v>
      </c>
      <c r="BY16" s="35">
        <f t="shared" ca="1" si="129"/>
        <v>2.7958549114806912</v>
      </c>
      <c r="BZ16" s="35">
        <f t="shared" ca="1" si="130"/>
        <v>6.9734388298027987</v>
      </c>
      <c r="CA16" s="35">
        <f t="shared" ca="1" si="131"/>
        <v>2.7958549114806912</v>
      </c>
      <c r="CB16" s="35">
        <f t="shared" ca="1" si="132"/>
        <v>3.3537401340738398</v>
      </c>
      <c r="CC16" s="35">
        <f t="shared" ca="1" si="133"/>
        <v>8.7695477424511825</v>
      </c>
      <c r="CD16" s="35">
        <f t="shared" ca="1" si="134"/>
        <v>3.3537401340738398</v>
      </c>
      <c r="CE16" s="35">
        <f t="shared" ca="1" si="135"/>
        <v>3.1688363298851683</v>
      </c>
    </row>
    <row r="17" spans="1:83" x14ac:dyDescent="0.25">
      <c r="A17" t="str">
        <f>PLANTILLA!D18</f>
        <v>Fernando Gazón</v>
      </c>
      <c r="B17">
        <f>PLANTILLA!E18</f>
        <v>22</v>
      </c>
      <c r="C17" s="31">
        <f ca="1">PLANTILLA!F18</f>
        <v>78</v>
      </c>
      <c r="D17" s="216" t="str">
        <f>PLANTILLA!G18</f>
        <v>IMP</v>
      </c>
      <c r="E17" s="28">
        <f>PLANTILLA!M18</f>
        <v>43045</v>
      </c>
      <c r="F17" s="45">
        <f>PLANTILLA!Q18</f>
        <v>5</v>
      </c>
      <c r="G17" s="46">
        <f t="shared" si="68"/>
        <v>0.84515425472851657</v>
      </c>
      <c r="H17" s="46">
        <f t="shared" si="69"/>
        <v>0.92504826128926143</v>
      </c>
      <c r="I17" s="222">
        <f ca="1">PLANTILLA!N18</f>
        <v>1</v>
      </c>
      <c r="J17" s="37">
        <f>PLANTILLA!I18</f>
        <v>2.5</v>
      </c>
      <c r="K17" s="44">
        <f>PLANTILLA!X18</f>
        <v>0</v>
      </c>
      <c r="L17" s="44">
        <f>PLANTILLA!Y18</f>
        <v>4</v>
      </c>
      <c r="M17" s="44">
        <f>PLANTILLA!Z18</f>
        <v>6</v>
      </c>
      <c r="N17" s="44">
        <f>PLANTILLA!AA18</f>
        <v>6</v>
      </c>
      <c r="O17" s="44">
        <f>PLANTILLA!AB18</f>
        <v>4.25</v>
      </c>
      <c r="P17" s="44">
        <f>PLANTILLA!AC18</f>
        <v>5.6190261437908475</v>
      </c>
      <c r="Q17" s="44">
        <f>PLANTILLA!AD18</f>
        <v>3</v>
      </c>
      <c r="R17" s="44">
        <f t="shared" si="70"/>
        <v>1.9375</v>
      </c>
      <c r="S17" s="44">
        <f t="shared" si="71"/>
        <v>0.37095130718954239</v>
      </c>
      <c r="T17" s="44">
        <f t="shared" si="72"/>
        <v>0.25</v>
      </c>
      <c r="U17" s="44">
        <f t="shared" ca="1" si="73"/>
        <v>3.8290446075219</v>
      </c>
      <c r="V17" s="44">
        <f t="shared" ca="1" si="74"/>
        <v>4.1910113293163818</v>
      </c>
      <c r="W17" s="35">
        <f t="shared" ca="1" si="75"/>
        <v>2.4402021700942518</v>
      </c>
      <c r="X17" s="35">
        <f t="shared" ca="1" si="76"/>
        <v>3.6759874015941341</v>
      </c>
      <c r="Y17" s="35">
        <f t="shared" ca="1" si="77"/>
        <v>2.4402021700942518</v>
      </c>
      <c r="Z17" s="35">
        <f t="shared" ca="1" si="78"/>
        <v>2.853782725966362</v>
      </c>
      <c r="AA17" s="35">
        <f t="shared" ca="1" si="79"/>
        <v>5.5305866782293833</v>
      </c>
      <c r="AB17" s="35">
        <f t="shared" ca="1" si="80"/>
        <v>1.426891362983181</v>
      </c>
      <c r="AC17" s="35">
        <f t="shared" ca="1" si="81"/>
        <v>1.7922796294185932</v>
      </c>
      <c r="AD17" s="35">
        <f t="shared" ca="1" si="82"/>
        <v>2.0905617643707068</v>
      </c>
      <c r="AE17" s="35">
        <f t="shared" ca="1" si="83"/>
        <v>3.9986141683598442</v>
      </c>
      <c r="AF17" s="35">
        <f t="shared" ca="1" si="84"/>
        <v>1.0452808821853534</v>
      </c>
      <c r="AG17" s="35">
        <f t="shared" ca="1" si="85"/>
        <v>2.8992758711183129</v>
      </c>
      <c r="AH17" s="35">
        <f t="shared" ca="1" si="86"/>
        <v>5.0881397439710332</v>
      </c>
      <c r="AI17" s="35">
        <f t="shared" ca="1" si="87"/>
        <v>2.2896628847869644</v>
      </c>
      <c r="AJ17" s="35">
        <f t="shared" ca="1" si="88"/>
        <v>1.257607975264307</v>
      </c>
      <c r="AK17" s="35">
        <f t="shared" ca="1" si="89"/>
        <v>4.4279849667988769</v>
      </c>
      <c r="AL17" s="35">
        <f t="shared" ca="1" si="90"/>
        <v>4.170062355384955</v>
      </c>
      <c r="AM17" s="35">
        <f t="shared" ca="1" si="91"/>
        <v>3.9156553681864033</v>
      </c>
      <c r="AN17" s="35">
        <f t="shared" ca="1" si="92"/>
        <v>0.75660797526430701</v>
      </c>
      <c r="AO17" s="35">
        <f t="shared" ca="1" si="93"/>
        <v>0.9988089633300623</v>
      </c>
      <c r="AP17" s="35">
        <f t="shared" ca="1" si="94"/>
        <v>1.4932584031219336</v>
      </c>
      <c r="AQ17" s="35">
        <f t="shared" ca="1" si="95"/>
        <v>3.2851684868682534</v>
      </c>
      <c r="AR17" s="35">
        <f t="shared" ca="1" si="96"/>
        <v>0.74662920156096679</v>
      </c>
      <c r="AS17" s="35">
        <f t="shared" ca="1" si="97"/>
        <v>7.1088738242485379</v>
      </c>
      <c r="AT17" s="35">
        <f t="shared" ca="1" si="98"/>
        <v>0.75147626816981983</v>
      </c>
      <c r="AU17" s="35">
        <f t="shared" ca="1" si="99"/>
        <v>1.9305534195970258</v>
      </c>
      <c r="AV17" s="35">
        <f t="shared" ca="1" si="100"/>
        <v>0.37573813408490991</v>
      </c>
      <c r="AW17" s="35">
        <f t="shared" ca="1" si="101"/>
        <v>1.0452808821853534</v>
      </c>
      <c r="AX17" s="35">
        <f t="shared" ca="1" si="102"/>
        <v>2.2122346712917533</v>
      </c>
      <c r="AY17" s="35">
        <f t="shared" ca="1" si="103"/>
        <v>0.52264044109267671</v>
      </c>
      <c r="AZ17" s="35">
        <f t="shared" ca="1" si="104"/>
        <v>7.5305866782293833</v>
      </c>
      <c r="BA17" s="35">
        <f t="shared" ca="1" si="105"/>
        <v>1.462488429592034</v>
      </c>
      <c r="BB17" s="35">
        <f t="shared" ca="1" si="106"/>
        <v>3.4725987499004685</v>
      </c>
      <c r="BC17" s="35">
        <f t="shared" ca="1" si="107"/>
        <v>0.73124421479601698</v>
      </c>
      <c r="BD17" s="35">
        <f t="shared" ca="1" si="108"/>
        <v>1.6094007233647505</v>
      </c>
      <c r="BE17" s="35">
        <f t="shared" ca="1" si="109"/>
        <v>1.9246441640238252</v>
      </c>
      <c r="BF17" s="35">
        <f t="shared" ca="1" si="110"/>
        <v>6.6344468635200871</v>
      </c>
      <c r="BG17" s="35">
        <f t="shared" ca="1" si="111"/>
        <v>6.1434415569459215</v>
      </c>
      <c r="BH17" s="35">
        <f t="shared" ca="1" si="112"/>
        <v>1.3931213894532812</v>
      </c>
      <c r="BI17" s="35">
        <f t="shared" ca="1" si="113"/>
        <v>2.6823345389412507</v>
      </c>
      <c r="BJ17" s="35">
        <f t="shared" ca="1" si="114"/>
        <v>1.4600748830525572</v>
      </c>
      <c r="BK17" s="35">
        <f t="shared" ca="1" si="115"/>
        <v>2.869153524405395</v>
      </c>
      <c r="BL17" s="35">
        <f t="shared" ca="1" si="116"/>
        <v>6.2299827567724808</v>
      </c>
      <c r="BM17" s="35">
        <f t="shared" ca="1" si="117"/>
        <v>0.30059050726792791</v>
      </c>
      <c r="BN17" s="35">
        <f t="shared" ca="1" si="118"/>
        <v>0.99550560208128891</v>
      </c>
      <c r="BO17" s="35">
        <f t="shared" ca="1" si="119"/>
        <v>0.37607989411959808</v>
      </c>
      <c r="BP17" s="35">
        <f t="shared" ca="1" si="120"/>
        <v>2.2968289368599617</v>
      </c>
      <c r="BQ17" s="35">
        <f t="shared" ca="1" si="121"/>
        <v>9.1838344682029867</v>
      </c>
      <c r="BR17" s="35">
        <f t="shared" ca="1" si="122"/>
        <v>0.78037920156096685</v>
      </c>
      <c r="BS17" s="35">
        <f t="shared" ca="1" si="123"/>
        <v>1.5706866166171447</v>
      </c>
      <c r="BT17" s="35">
        <f t="shared" ca="1" si="124"/>
        <v>1.3494631494879694</v>
      </c>
      <c r="BU17" s="35">
        <f t="shared" ca="1" si="125"/>
        <v>4.7518001939627412</v>
      </c>
      <c r="BV17" s="35">
        <f t="shared" ca="1" si="126"/>
        <v>6.402125077015298</v>
      </c>
      <c r="BW17" s="35">
        <f t="shared" ca="1" si="127"/>
        <v>0.85552682837794869</v>
      </c>
      <c r="BX17" s="35">
        <f t="shared" ca="1" si="128"/>
        <v>3.0574181913611298</v>
      </c>
      <c r="BY17" s="35">
        <f t="shared" ca="1" si="129"/>
        <v>3.4375519796189464</v>
      </c>
      <c r="BZ17" s="35">
        <f t="shared" ca="1" si="130"/>
        <v>7.3070828415163502</v>
      </c>
      <c r="CA17" s="35">
        <f t="shared" ca="1" si="131"/>
        <v>3.4375519796189464</v>
      </c>
      <c r="CB17" s="35">
        <f t="shared" ca="1" si="132"/>
        <v>4.3440022979225263</v>
      </c>
      <c r="CC17" s="35">
        <f t="shared" ca="1" si="133"/>
        <v>9.2826493062868742</v>
      </c>
      <c r="CD17" s="35">
        <f t="shared" ca="1" si="134"/>
        <v>4.3440022979225263</v>
      </c>
      <c r="CE17" s="35">
        <f t="shared" ca="1" si="135"/>
        <v>1.8826466695573458</v>
      </c>
    </row>
    <row r="18" spans="1:83" x14ac:dyDescent="0.25">
      <c r="A18" t="str">
        <f>PLANTILLA!D19</f>
        <v>Miklós Gábriel</v>
      </c>
      <c r="B18">
        <f>PLANTILLA!E19</f>
        <v>31</v>
      </c>
      <c r="C18" s="31">
        <f ca="1">PLANTILLA!F19</f>
        <v>3</v>
      </c>
      <c r="D18" s="216" t="str">
        <f>PLANTILLA!G19</f>
        <v>RAP</v>
      </c>
      <c r="E18" s="28">
        <f>PLANTILLA!M19</f>
        <v>43420</v>
      </c>
      <c r="F18" s="45">
        <f>PLANTILLA!Q19</f>
        <v>4</v>
      </c>
      <c r="G18" s="46">
        <f t="shared" si="68"/>
        <v>0.7559289460184544</v>
      </c>
      <c r="H18" s="46">
        <f t="shared" si="69"/>
        <v>0.84430867747355465</v>
      </c>
      <c r="I18" s="222">
        <f ca="1">PLANTILLA!N19</f>
        <v>0.75592218642406095</v>
      </c>
      <c r="J18" s="37">
        <f>PLANTILLA!I19</f>
        <v>6.6</v>
      </c>
      <c r="K18" s="44">
        <f>PLANTILLA!X19</f>
        <v>0</v>
      </c>
      <c r="L18" s="44">
        <f>PLANTILLA!Y19</f>
        <v>5</v>
      </c>
      <c r="M18" s="44">
        <f>PLANTILLA!Z19</f>
        <v>2</v>
      </c>
      <c r="N18" s="44">
        <f>PLANTILLA!AA19</f>
        <v>4</v>
      </c>
      <c r="O18" s="44">
        <f>PLANTILLA!AB19</f>
        <v>7</v>
      </c>
      <c r="P18" s="44">
        <f>PLANTILLA!AC19</f>
        <v>10</v>
      </c>
      <c r="Q18" s="44">
        <f>PLANTILLA!AD19</f>
        <v>14</v>
      </c>
      <c r="R18" s="44">
        <f t="shared" si="70"/>
        <v>2.75</v>
      </c>
      <c r="S18" s="44">
        <f t="shared" si="71"/>
        <v>0.91999999999999993</v>
      </c>
      <c r="T18" s="44">
        <f t="shared" si="72"/>
        <v>0.62</v>
      </c>
      <c r="U18" s="44">
        <f t="shared" ca="1" si="73"/>
        <v>11.980451350460507</v>
      </c>
      <c r="V18" s="44">
        <f t="shared" ca="1" si="74"/>
        <v>13.381150554587483</v>
      </c>
      <c r="W18" s="35">
        <f t="shared" ca="1" si="75"/>
        <v>2.993869209718941</v>
      </c>
      <c r="X18" s="35">
        <f t="shared" ca="1" si="76"/>
        <v>4.5116038370528662</v>
      </c>
      <c r="Y18" s="35">
        <f t="shared" ca="1" si="77"/>
        <v>2.993869209718941</v>
      </c>
      <c r="Z18" s="35">
        <f t="shared" ca="1" si="78"/>
        <v>3.5339020758476214</v>
      </c>
      <c r="AA18" s="35">
        <f t="shared" ca="1" si="79"/>
        <v>6.8486474338132197</v>
      </c>
      <c r="AB18" s="35">
        <f t="shared" ca="1" si="80"/>
        <v>1.7669510379238107</v>
      </c>
      <c r="AC18" s="35">
        <f t="shared" ca="1" si="81"/>
        <v>0.9159780892475462</v>
      </c>
      <c r="AD18" s="35">
        <f t="shared" ca="1" si="82"/>
        <v>2.5887887299813972</v>
      </c>
      <c r="AE18" s="35">
        <f t="shared" ca="1" si="83"/>
        <v>4.9515720946469575</v>
      </c>
      <c r="AF18" s="35">
        <f t="shared" ca="1" si="84"/>
        <v>1.2943943649906986</v>
      </c>
      <c r="AG18" s="35">
        <f t="shared" ca="1" si="85"/>
        <v>1.4817292620180895</v>
      </c>
      <c r="AH18" s="35">
        <f t="shared" ca="1" si="86"/>
        <v>6.3007556391081625</v>
      </c>
      <c r="AI18" s="35">
        <f t="shared" ca="1" si="87"/>
        <v>2.835340037598673</v>
      </c>
      <c r="AJ18" s="35">
        <f t="shared" ca="1" si="88"/>
        <v>0.64272412144680768</v>
      </c>
      <c r="AK18" s="35">
        <f t="shared" ca="1" si="89"/>
        <v>3.439004691082173</v>
      </c>
      <c r="AL18" s="35">
        <f t="shared" ca="1" si="90"/>
        <v>5.1638801650951676</v>
      </c>
      <c r="AM18" s="35">
        <f t="shared" ca="1" si="91"/>
        <v>4.8488423831397593</v>
      </c>
      <c r="AN18" s="35">
        <f t="shared" ca="1" si="92"/>
        <v>2.6467241214468076</v>
      </c>
      <c r="AO18" s="35">
        <f t="shared" ca="1" si="93"/>
        <v>1.3244104609382072</v>
      </c>
      <c r="AP18" s="35">
        <f t="shared" ca="1" si="94"/>
        <v>1.8491348071295695</v>
      </c>
      <c r="AQ18" s="35">
        <f t="shared" ca="1" si="95"/>
        <v>4.0680965756850522</v>
      </c>
      <c r="AR18" s="35">
        <f t="shared" ca="1" si="96"/>
        <v>0.92456740356478473</v>
      </c>
      <c r="AS18" s="35">
        <f t="shared" ca="1" si="97"/>
        <v>3.6331231775196788</v>
      </c>
      <c r="AT18" s="35">
        <f t="shared" ca="1" si="98"/>
        <v>1.1503241663957187</v>
      </c>
      <c r="AU18" s="35">
        <f t="shared" ca="1" si="99"/>
        <v>3.1116536981072729</v>
      </c>
      <c r="AV18" s="35">
        <f t="shared" ca="1" si="100"/>
        <v>0.57516208319785933</v>
      </c>
      <c r="AW18" s="35">
        <f t="shared" ca="1" si="101"/>
        <v>1.2943943649906986</v>
      </c>
      <c r="AX18" s="35">
        <f t="shared" ca="1" si="102"/>
        <v>2.7394589735252879</v>
      </c>
      <c r="AY18" s="35">
        <f t="shared" ca="1" si="103"/>
        <v>0.6471971824953493</v>
      </c>
      <c r="AZ18" s="35">
        <f t="shared" ca="1" si="104"/>
        <v>3.8486474338132193</v>
      </c>
      <c r="BA18" s="35">
        <f t="shared" ca="1" si="105"/>
        <v>2.2387078007547445</v>
      </c>
      <c r="BB18" s="35">
        <f t="shared" ca="1" si="106"/>
        <v>5.505604736031084</v>
      </c>
      <c r="BC18" s="35">
        <f t="shared" ca="1" si="107"/>
        <v>1.1193539003773723</v>
      </c>
      <c r="BD18" s="35">
        <f t="shared" ca="1" si="108"/>
        <v>1.9929564032396467</v>
      </c>
      <c r="BE18" s="35">
        <f t="shared" ca="1" si="109"/>
        <v>2.3833293069670005</v>
      </c>
      <c r="BF18" s="35">
        <f t="shared" ca="1" si="110"/>
        <v>3.3906583891894462</v>
      </c>
      <c r="BG18" s="35">
        <f t="shared" ca="1" si="111"/>
        <v>6.1444475686599525</v>
      </c>
      <c r="BH18" s="35">
        <f t="shared" ca="1" si="112"/>
        <v>2.1325240315489857</v>
      </c>
      <c r="BI18" s="35">
        <f t="shared" ca="1" si="113"/>
        <v>3.3215940053994113</v>
      </c>
      <c r="BJ18" s="35">
        <f t="shared" ca="1" si="114"/>
        <v>1.8080429225266901</v>
      </c>
      <c r="BK18" s="35">
        <f t="shared" ca="1" si="115"/>
        <v>1.4663346722828365</v>
      </c>
      <c r="BL18" s="35">
        <f t="shared" ca="1" si="116"/>
        <v>5.7147178571527544</v>
      </c>
      <c r="BM18" s="35">
        <f t="shared" ca="1" si="117"/>
        <v>0.46012966655828741</v>
      </c>
      <c r="BN18" s="35">
        <f t="shared" ca="1" si="118"/>
        <v>1.2327565380863794</v>
      </c>
      <c r="BO18" s="35">
        <f t="shared" ca="1" si="119"/>
        <v>0.46570802549929896</v>
      </c>
      <c r="BP18" s="35">
        <f t="shared" ca="1" si="120"/>
        <v>1.1738374673130318</v>
      </c>
      <c r="BQ18" s="35">
        <f t="shared" ca="1" si="121"/>
        <v>8.3793605998837997</v>
      </c>
      <c r="BR18" s="35">
        <f t="shared" ca="1" si="122"/>
        <v>1.1945674035647846</v>
      </c>
      <c r="BS18" s="35">
        <f t="shared" ca="1" si="123"/>
        <v>1.9450158712029542</v>
      </c>
      <c r="BT18" s="35">
        <f t="shared" ca="1" si="124"/>
        <v>1.6710699738504255</v>
      </c>
      <c r="BU18" s="35">
        <f t="shared" ca="1" si="125"/>
        <v>2.4284965307361412</v>
      </c>
      <c r="BV18" s="35">
        <f t="shared" ca="1" si="126"/>
        <v>5.8135394532628313</v>
      </c>
      <c r="BW18" s="35">
        <f t="shared" ca="1" si="127"/>
        <v>1.3095998202043564</v>
      </c>
      <c r="BX18" s="35">
        <f t="shared" ca="1" si="128"/>
        <v>1.5625508581281671</v>
      </c>
      <c r="BY18" s="35">
        <f t="shared" ca="1" si="129"/>
        <v>4.5591453130166872</v>
      </c>
      <c r="BZ18" s="35">
        <f t="shared" ca="1" si="130"/>
        <v>11.712577010473684</v>
      </c>
      <c r="CA18" s="35">
        <f t="shared" ca="1" si="131"/>
        <v>4.5591453130166872</v>
      </c>
      <c r="CB18" s="35">
        <f t="shared" ca="1" si="132"/>
        <v>5.6297073512656359</v>
      </c>
      <c r="CC18" s="35">
        <f t="shared" ca="1" si="133"/>
        <v>15.113798336890296</v>
      </c>
      <c r="CD18" s="35">
        <f t="shared" ca="1" si="134"/>
        <v>5.6297073512656359</v>
      </c>
      <c r="CE18" s="35">
        <f t="shared" ca="1" si="135"/>
        <v>0.96216185845330482</v>
      </c>
    </row>
    <row r="19" spans="1:83" x14ac:dyDescent="0.25">
      <c r="A19" t="str">
        <f>PLANTILLA!D20</f>
        <v>Emilio Rojas</v>
      </c>
      <c r="B19">
        <f>PLANTILLA!E20</f>
        <v>31</v>
      </c>
      <c r="C19" s="31">
        <f ca="1">PLANTILLA!F20</f>
        <v>41</v>
      </c>
      <c r="D19" s="216" t="str">
        <f>PLANTILLA!G20</f>
        <v>IMP</v>
      </c>
      <c r="E19" s="28">
        <f>PLANTILLA!M20</f>
        <v>43417</v>
      </c>
      <c r="F19" s="45">
        <f>PLANTILLA!Q20</f>
        <v>7</v>
      </c>
      <c r="G19" s="46">
        <f t="shared" ref="G19" si="136">(F19/7)^0.5</f>
        <v>1</v>
      </c>
      <c r="H19" s="46">
        <f t="shared" ref="H19" si="137">IF(F19=7,1,((F19+0.99)/7)^0.5)</f>
        <v>1</v>
      </c>
      <c r="I19" s="222">
        <f ca="1">PLANTILLA!N20</f>
        <v>0.76259398985696591</v>
      </c>
      <c r="J19" s="37">
        <f>PLANTILLA!I20</f>
        <v>6.3</v>
      </c>
      <c r="K19" s="44">
        <f>PLANTILLA!X20</f>
        <v>0</v>
      </c>
      <c r="L19" s="44">
        <f>PLANTILLA!Y20</f>
        <v>6</v>
      </c>
      <c r="M19" s="44">
        <f>PLANTILLA!Z20</f>
        <v>2</v>
      </c>
      <c r="N19" s="44">
        <f>PLANTILLA!AA20</f>
        <v>6</v>
      </c>
      <c r="O19" s="44">
        <f>PLANTILLA!AB20</f>
        <v>9</v>
      </c>
      <c r="P19" s="44">
        <f>PLANTILLA!AC20</f>
        <v>9</v>
      </c>
      <c r="Q19" s="44">
        <f>PLANTILLA!AD20</f>
        <v>13</v>
      </c>
      <c r="R19" s="44">
        <f t="shared" si="70"/>
        <v>3.375</v>
      </c>
      <c r="S19" s="44">
        <f t="shared" si="71"/>
        <v>0.84000000000000008</v>
      </c>
      <c r="T19" s="44">
        <f t="shared" si="72"/>
        <v>0.63000000000000012</v>
      </c>
      <c r="U19" s="44">
        <f t="shared" ca="1" si="73"/>
        <v>14.828381389128408</v>
      </c>
      <c r="V19" s="44">
        <f t="shared" ca="1" si="74"/>
        <v>14.828381389128408</v>
      </c>
      <c r="W19" s="35">
        <f t="shared" ca="1" si="75"/>
        <v>3.2521769527091005</v>
      </c>
      <c r="X19" s="35">
        <f t="shared" ca="1" si="76"/>
        <v>4.910440373364775</v>
      </c>
      <c r="Y19" s="35">
        <f t="shared" ca="1" si="77"/>
        <v>3.2521769527091005</v>
      </c>
      <c r="Z19" s="35">
        <f t="shared" ca="1" si="78"/>
        <v>4.0394447967902583</v>
      </c>
      <c r="AA19" s="35">
        <f t="shared" ca="1" si="79"/>
        <v>7.828381389128408</v>
      </c>
      <c r="AB19" s="35">
        <f t="shared" ca="1" si="80"/>
        <v>2.0197223983951291</v>
      </c>
      <c r="AC19" s="35">
        <f t="shared" ca="1" si="81"/>
        <v>0.911154770612561</v>
      </c>
      <c r="AD19" s="35">
        <f t="shared" ca="1" si="82"/>
        <v>2.9591281650905383</v>
      </c>
      <c r="AE19" s="35">
        <f t="shared" ca="1" si="83"/>
        <v>5.659919744339839</v>
      </c>
      <c r="AF19" s="35">
        <f t="shared" ca="1" si="84"/>
        <v>1.4795640825452692</v>
      </c>
      <c r="AG19" s="35">
        <f t="shared" ca="1" si="85"/>
        <v>1.4739268348144372</v>
      </c>
      <c r="AH19" s="35">
        <f t="shared" ca="1" si="86"/>
        <v>7.2021108779981358</v>
      </c>
      <c r="AI19" s="35">
        <f t="shared" ca="1" si="87"/>
        <v>3.2409498950991606</v>
      </c>
      <c r="AJ19" s="35">
        <f t="shared" ca="1" si="88"/>
        <v>0.63933969198444418</v>
      </c>
      <c r="AK19" s="35">
        <f t="shared" ca="1" si="89"/>
        <v>4.6030882568075038</v>
      </c>
      <c r="AL19" s="35">
        <f t="shared" ca="1" si="90"/>
        <v>5.9025995674028193</v>
      </c>
      <c r="AM19" s="35">
        <f t="shared" ca="1" si="91"/>
        <v>5.542494023502913</v>
      </c>
      <c r="AN19" s="35">
        <f t="shared" ca="1" si="92"/>
        <v>2.4763396919844443</v>
      </c>
      <c r="AO19" s="35">
        <f t="shared" ca="1" si="93"/>
        <v>1.4985738400689814</v>
      </c>
      <c r="AP19" s="35">
        <f t="shared" ca="1" si="94"/>
        <v>2.1136629750646705</v>
      </c>
      <c r="AQ19" s="35">
        <f t="shared" ca="1" si="95"/>
        <v>4.650058545142274</v>
      </c>
      <c r="AR19" s="35">
        <f t="shared" ca="1" si="96"/>
        <v>1.0568314875323352</v>
      </c>
      <c r="AS19" s="35">
        <f t="shared" ca="1" si="97"/>
        <v>3.6139920313372169</v>
      </c>
      <c r="AT19" s="35">
        <f t="shared" ca="1" si="98"/>
        <v>1.4076895805866931</v>
      </c>
      <c r="AU19" s="35">
        <f t="shared" ca="1" si="99"/>
        <v>3.1727157470146232</v>
      </c>
      <c r="AV19" s="35">
        <f t="shared" ca="1" si="100"/>
        <v>0.70384479029334657</v>
      </c>
      <c r="AW19" s="35">
        <f t="shared" ca="1" si="101"/>
        <v>1.4795640825452692</v>
      </c>
      <c r="AX19" s="35">
        <f t="shared" ca="1" si="102"/>
        <v>3.1313525556513633</v>
      </c>
      <c r="AY19" s="35">
        <f t="shared" ca="1" si="103"/>
        <v>0.73978204127263458</v>
      </c>
      <c r="AZ19" s="35">
        <f t="shared" ca="1" si="104"/>
        <v>3.828381389128408</v>
      </c>
      <c r="BA19" s="35">
        <f t="shared" ca="1" si="105"/>
        <v>2.7395804914494875</v>
      </c>
      <c r="BB19" s="35">
        <f t="shared" ca="1" si="106"/>
        <v>5.9664381454097537</v>
      </c>
      <c r="BC19" s="35">
        <f t="shared" ca="1" si="107"/>
        <v>1.3697902457247437</v>
      </c>
      <c r="BD19" s="35">
        <f t="shared" ca="1" si="108"/>
        <v>2.2780589842363668</v>
      </c>
      <c r="BE19" s="35">
        <f t="shared" ca="1" si="109"/>
        <v>2.7242767234166858</v>
      </c>
      <c r="BF19" s="35">
        <f t="shared" ca="1" si="110"/>
        <v>3.3728040038221274</v>
      </c>
      <c r="BG19" s="35">
        <f t="shared" ca="1" si="111"/>
        <v>7.904431054935154</v>
      </c>
      <c r="BH19" s="35">
        <f t="shared" ca="1" si="112"/>
        <v>2.6096399147799461</v>
      </c>
      <c r="BI19" s="35">
        <f t="shared" ca="1" si="113"/>
        <v>3.7967649737272779</v>
      </c>
      <c r="BJ19" s="35">
        <f t="shared" ca="1" si="114"/>
        <v>2.0666926867298998</v>
      </c>
      <c r="BK19" s="35">
        <f t="shared" ca="1" si="115"/>
        <v>1.4586133092579234</v>
      </c>
      <c r="BL19" s="35">
        <f t="shared" ca="1" si="116"/>
        <v>7.4450053340982292</v>
      </c>
      <c r="BM19" s="35">
        <f t="shared" ca="1" si="117"/>
        <v>0.56307583223467716</v>
      </c>
      <c r="BN19" s="35">
        <f t="shared" ca="1" si="118"/>
        <v>1.4091086500431134</v>
      </c>
      <c r="BO19" s="35">
        <f t="shared" ca="1" si="119"/>
        <v>0.53232993446073174</v>
      </c>
      <c r="BP19" s="35">
        <f t="shared" ca="1" si="120"/>
        <v>1.1676563236841644</v>
      </c>
      <c r="BQ19" s="35">
        <f t="shared" ca="1" si="121"/>
        <v>10.925298466419132</v>
      </c>
      <c r="BR19" s="35">
        <f t="shared" ca="1" si="122"/>
        <v>1.4618314875323353</v>
      </c>
      <c r="BS19" s="35">
        <f t="shared" ca="1" si="123"/>
        <v>2.2232603145124679</v>
      </c>
      <c r="BT19" s="35">
        <f t="shared" ca="1" si="124"/>
        <v>1.9101250589473315</v>
      </c>
      <c r="BU19" s="35">
        <f t="shared" ca="1" si="125"/>
        <v>2.4157086565400254</v>
      </c>
      <c r="BV19" s="35">
        <f t="shared" ca="1" si="126"/>
        <v>7.5854013432699245</v>
      </c>
      <c r="BW19" s="35">
        <f t="shared" ca="1" si="127"/>
        <v>1.6026004455910043</v>
      </c>
      <c r="BX19" s="35">
        <f t="shared" ca="1" si="128"/>
        <v>1.5543228439861339</v>
      </c>
      <c r="BY19" s="35">
        <f t="shared" ca="1" si="129"/>
        <v>5.2095867037359005</v>
      </c>
      <c r="BZ19" s="35">
        <f t="shared" ca="1" si="130"/>
        <v>12.192757444158588</v>
      </c>
      <c r="CA19" s="35">
        <f t="shared" ca="1" si="131"/>
        <v>5.2095867037359005</v>
      </c>
      <c r="CB19" s="35">
        <f t="shared" ca="1" si="132"/>
        <v>6.0830816054269983</v>
      </c>
      <c r="CC19" s="35">
        <f t="shared" ca="1" si="133"/>
        <v>14.82405412171679</v>
      </c>
      <c r="CD19" s="35">
        <f t="shared" ca="1" si="134"/>
        <v>6.0830816054269983</v>
      </c>
      <c r="CE19" s="35">
        <f t="shared" ca="1" si="135"/>
        <v>0.95709534728210199</v>
      </c>
    </row>
    <row r="20" spans="1:83" x14ac:dyDescent="0.25">
      <c r="A20" t="str">
        <f>PLANTILLA!D21</f>
        <v>Leo Hilpinen</v>
      </c>
      <c r="B20">
        <f>PLANTILLA!E21</f>
        <v>30</v>
      </c>
      <c r="C20" s="31">
        <f ca="1">PLANTILLA!F21</f>
        <v>16</v>
      </c>
      <c r="D20" s="216" t="str">
        <f>PLANTILLA!G21</f>
        <v>CAB</v>
      </c>
      <c r="E20" s="28">
        <f>PLANTILLA!M21</f>
        <v>43417</v>
      </c>
      <c r="F20" s="45">
        <f>PLANTILLA!Q21</f>
        <v>6</v>
      </c>
      <c r="G20" s="46">
        <f t="shared" ref="G20" si="138">(F20/7)^0.5</f>
        <v>0.92582009977255142</v>
      </c>
      <c r="H20" s="46">
        <f t="shared" ref="H20" si="139">IF(F20=7,1,((F20+0.99)/7)^0.5)</f>
        <v>0.99928545900129484</v>
      </c>
      <c r="I20" s="222">
        <f ca="1">PLANTILLA!N21</f>
        <v>0.76259398985696591</v>
      </c>
      <c r="J20" s="37">
        <f>PLANTILLA!I21</f>
        <v>5.9</v>
      </c>
      <c r="K20" s="44">
        <f>PLANTILLA!X21</f>
        <v>0</v>
      </c>
      <c r="L20" s="44">
        <f>PLANTILLA!Y21</f>
        <v>5</v>
      </c>
      <c r="M20" s="44">
        <f>PLANTILLA!Z21</f>
        <v>6</v>
      </c>
      <c r="N20" s="44">
        <f>PLANTILLA!AA21</f>
        <v>5</v>
      </c>
      <c r="O20" s="44">
        <f>PLANTILLA!AB21</f>
        <v>9</v>
      </c>
      <c r="P20" s="44">
        <f>PLANTILLA!AC21</f>
        <v>12</v>
      </c>
      <c r="Q20" s="44">
        <f>PLANTILLA!AD21</f>
        <v>0</v>
      </c>
      <c r="R20" s="44">
        <f t="shared" si="70"/>
        <v>3.25</v>
      </c>
      <c r="S20" s="44">
        <f t="shared" si="71"/>
        <v>0.6</v>
      </c>
      <c r="T20" s="44">
        <f t="shared" si="72"/>
        <v>0.2</v>
      </c>
      <c r="U20" s="44">
        <f t="shared" ca="1" si="73"/>
        <v>1.6575852255465269</v>
      </c>
      <c r="V20" s="44">
        <f t="shared" ca="1" si="74"/>
        <v>1.7891173602203692</v>
      </c>
      <c r="W20" s="35">
        <f t="shared" ca="1" si="75"/>
        <v>2.9430162946965872</v>
      </c>
      <c r="X20" s="35">
        <f t="shared" ca="1" si="76"/>
        <v>4.4364021036120205</v>
      </c>
      <c r="Y20" s="35">
        <f t="shared" ca="1" si="77"/>
        <v>2.9430162946965872</v>
      </c>
      <c r="Z20" s="35">
        <f t="shared" ca="1" si="78"/>
        <v>3.5038446827759899</v>
      </c>
      <c r="AA20" s="35">
        <f t="shared" ca="1" si="79"/>
        <v>6.7903966720464917</v>
      </c>
      <c r="AB20" s="35">
        <f t="shared" ca="1" si="80"/>
        <v>1.751922341387995</v>
      </c>
      <c r="AC20" s="35">
        <f t="shared" ca="1" si="81"/>
        <v>1.8541144079470648</v>
      </c>
      <c r="AD20" s="35">
        <f t="shared" ca="1" si="82"/>
        <v>2.5667699420335737</v>
      </c>
      <c r="AE20" s="35">
        <f t="shared" ca="1" si="83"/>
        <v>4.9094567938896132</v>
      </c>
      <c r="AF20" s="35">
        <f t="shared" ca="1" si="84"/>
        <v>1.2833849710167868</v>
      </c>
      <c r="AG20" s="35">
        <f t="shared" ca="1" si="85"/>
        <v>2.9993027187378996</v>
      </c>
      <c r="AH20" s="35">
        <f t="shared" ca="1" si="86"/>
        <v>6.247164938282773</v>
      </c>
      <c r="AI20" s="35">
        <f t="shared" ca="1" si="87"/>
        <v>2.8112242222272474</v>
      </c>
      <c r="AJ20" s="35">
        <f t="shared" ca="1" si="88"/>
        <v>1.3009962442317642</v>
      </c>
      <c r="AK20" s="35">
        <f t="shared" ca="1" si="89"/>
        <v>3.992753243163337</v>
      </c>
      <c r="AL20" s="35">
        <f t="shared" ca="1" si="90"/>
        <v>5.1199590907230546</v>
      </c>
      <c r="AM20" s="35">
        <f t="shared" ca="1" si="91"/>
        <v>4.8076008438089159</v>
      </c>
      <c r="AN20" s="35">
        <f t="shared" ca="1" si="92"/>
        <v>0.29899624423176413</v>
      </c>
      <c r="AO20" s="35">
        <f t="shared" ca="1" si="93"/>
        <v>1.4516342415493895</v>
      </c>
      <c r="AP20" s="35">
        <f t="shared" ca="1" si="94"/>
        <v>1.8334071014525528</v>
      </c>
      <c r="AQ20" s="35">
        <f t="shared" ca="1" si="95"/>
        <v>4.0334956231956163</v>
      </c>
      <c r="AR20" s="35">
        <f t="shared" ca="1" si="96"/>
        <v>0.91670355072627641</v>
      </c>
      <c r="AS20" s="35">
        <f t="shared" ca="1" si="97"/>
        <v>7.3541344584118882</v>
      </c>
      <c r="AT20" s="35">
        <f t="shared" ca="1" si="98"/>
        <v>1.4027515673660438</v>
      </c>
      <c r="AU20" s="35">
        <f t="shared" ca="1" si="99"/>
        <v>3.6805862249096215</v>
      </c>
      <c r="AV20" s="35">
        <f t="shared" ca="1" si="100"/>
        <v>0.70137578368302189</v>
      </c>
      <c r="AW20" s="35">
        <f t="shared" ca="1" si="101"/>
        <v>1.2833849710167868</v>
      </c>
      <c r="AX20" s="35">
        <f t="shared" ca="1" si="102"/>
        <v>2.716158668818597</v>
      </c>
      <c r="AY20" s="35">
        <f t="shared" ca="1" si="103"/>
        <v>0.64169248550839342</v>
      </c>
      <c r="AZ20" s="35">
        <f t="shared" ca="1" si="104"/>
        <v>7.7903966720464917</v>
      </c>
      <c r="BA20" s="35">
        <f t="shared" ca="1" si="105"/>
        <v>2.7299703580277623</v>
      </c>
      <c r="BB20" s="35">
        <f t="shared" ca="1" si="106"/>
        <v>6.5755085662976169</v>
      </c>
      <c r="BC20" s="35">
        <f t="shared" ca="1" si="107"/>
        <v>1.3649851790138812</v>
      </c>
      <c r="BD20" s="35">
        <f t="shared" ca="1" si="108"/>
        <v>1.9760054315655289</v>
      </c>
      <c r="BE20" s="35">
        <f t="shared" ca="1" si="109"/>
        <v>2.3630580418721787</v>
      </c>
      <c r="BF20" s="35">
        <f t="shared" ca="1" si="110"/>
        <v>6.8633394680729589</v>
      </c>
      <c r="BG20" s="35">
        <f t="shared" ca="1" si="111"/>
        <v>7.2966626414493305</v>
      </c>
      <c r="BH20" s="35">
        <f t="shared" ca="1" si="112"/>
        <v>2.6004855979632042</v>
      </c>
      <c r="BI20" s="35">
        <f t="shared" ca="1" si="113"/>
        <v>3.2933423859425486</v>
      </c>
      <c r="BJ20" s="35">
        <f t="shared" ca="1" si="114"/>
        <v>1.7926647214202738</v>
      </c>
      <c r="BK20" s="35">
        <f t="shared" ca="1" si="115"/>
        <v>2.9681411320497135</v>
      </c>
      <c r="BL20" s="35">
        <f t="shared" ca="1" si="116"/>
        <v>6.7388066913686338</v>
      </c>
      <c r="BM20" s="35">
        <f t="shared" ca="1" si="117"/>
        <v>0.56110062694641749</v>
      </c>
      <c r="BN20" s="35">
        <f t="shared" ca="1" si="118"/>
        <v>1.2222714009683684</v>
      </c>
      <c r="BO20" s="35">
        <f t="shared" ca="1" si="119"/>
        <v>0.46174697369916146</v>
      </c>
      <c r="BP20" s="35">
        <f t="shared" ca="1" si="120"/>
        <v>2.3760709849741799</v>
      </c>
      <c r="BQ20" s="35">
        <f t="shared" ca="1" si="121"/>
        <v>9.8764501202517874</v>
      </c>
      <c r="BR20" s="35">
        <f t="shared" ca="1" si="122"/>
        <v>1.4567035507262764</v>
      </c>
      <c r="BS20" s="35">
        <f t="shared" ca="1" si="123"/>
        <v>1.9284726548612035</v>
      </c>
      <c r="BT20" s="35">
        <f t="shared" ca="1" si="124"/>
        <v>1.6568567879793439</v>
      </c>
      <c r="BU20" s="35">
        <f t="shared" ca="1" si="125"/>
        <v>4.9157403000613362</v>
      </c>
      <c r="BV20" s="35">
        <f t="shared" ca="1" si="126"/>
        <v>6.8494050214816093</v>
      </c>
      <c r="BW20" s="35">
        <f t="shared" ca="1" si="127"/>
        <v>1.5969787074628805</v>
      </c>
      <c r="BX20" s="35">
        <f t="shared" ca="1" si="128"/>
        <v>3.162901048850876</v>
      </c>
      <c r="BY20" s="35">
        <f t="shared" ca="1" si="129"/>
        <v>5.4267966661362212</v>
      </c>
      <c r="BZ20" s="35">
        <f t="shared" ca="1" si="130"/>
        <v>13.89898665272435</v>
      </c>
      <c r="CA20" s="35">
        <f t="shared" ca="1" si="131"/>
        <v>5.4267966661362212</v>
      </c>
      <c r="CB20" s="35">
        <f t="shared" ca="1" si="132"/>
        <v>6.6184171266849638</v>
      </c>
      <c r="CC20" s="35">
        <f t="shared" ca="1" si="133"/>
        <v>17.772053044031647</v>
      </c>
      <c r="CD20" s="35">
        <f t="shared" ca="1" si="134"/>
        <v>6.6184171266849638</v>
      </c>
      <c r="CE20" s="35">
        <f t="shared" ca="1" si="135"/>
        <v>1.9475991680116229</v>
      </c>
    </row>
    <row r="21" spans="1:83" x14ac:dyDescent="0.25">
      <c r="M21" s="35"/>
      <c r="N21" s="35"/>
      <c r="AH21" s="35"/>
      <c r="AI21" s="35"/>
    </row>
    <row r="22" spans="1:83" ht="18.75" x14ac:dyDescent="0.3">
      <c r="A22" s="100" t="s">
        <v>160</v>
      </c>
      <c r="B22" s="100" t="s">
        <v>161</v>
      </c>
      <c r="C22" s="100"/>
      <c r="D22" s="101"/>
      <c r="Z22" s="35"/>
      <c r="AA22" s="35"/>
      <c r="BV22" s="35"/>
      <c r="BW22" s="35"/>
    </row>
    <row r="23" spans="1:83" x14ac:dyDescent="0.25">
      <c r="A23" s="102" t="s">
        <v>162</v>
      </c>
      <c r="B23" s="103">
        <v>1</v>
      </c>
      <c r="C23" s="105">
        <v>0.624</v>
      </c>
      <c r="D23" s="106">
        <v>0.245</v>
      </c>
      <c r="AH23" s="35"/>
      <c r="AI23" s="35"/>
    </row>
    <row r="24" spans="1:83" x14ac:dyDescent="0.25">
      <c r="A24" s="102" t="s">
        <v>163</v>
      </c>
      <c r="B24" s="103">
        <v>1</v>
      </c>
      <c r="C24" s="105">
        <v>1.002</v>
      </c>
      <c r="D24" s="106">
        <v>0.34</v>
      </c>
      <c r="AG24" s="111"/>
      <c r="AH24" s="112"/>
    </row>
    <row r="25" spans="1:83" x14ac:dyDescent="0.25">
      <c r="A25" s="102" t="s">
        <v>164</v>
      </c>
      <c r="B25" s="103">
        <v>1</v>
      </c>
      <c r="C25" s="105">
        <v>0.46800000000000003</v>
      </c>
      <c r="D25" s="106">
        <v>0.125</v>
      </c>
      <c r="Z25" s="35"/>
      <c r="AA25" s="35"/>
      <c r="AH25" s="113"/>
      <c r="AI25" s="113"/>
      <c r="BV25" s="35"/>
      <c r="BW25" s="35"/>
    </row>
    <row r="26" spans="1:83" x14ac:dyDescent="0.25">
      <c r="A26" s="102" t="s">
        <v>165</v>
      </c>
      <c r="B26" s="103">
        <v>1</v>
      </c>
      <c r="C26" s="105">
        <v>0.877</v>
      </c>
      <c r="D26" s="106">
        <v>0.25</v>
      </c>
      <c r="W26" s="112"/>
    </row>
    <row r="27" spans="1:83" x14ac:dyDescent="0.25">
      <c r="A27" s="102" t="s">
        <v>166</v>
      </c>
      <c r="B27" s="103">
        <v>1</v>
      </c>
      <c r="C27" s="105">
        <v>0.59299999999999997</v>
      </c>
      <c r="D27" s="106">
        <v>0.19</v>
      </c>
      <c r="W27" s="112"/>
    </row>
    <row r="29" spans="1:83" x14ac:dyDescent="0.25">
      <c r="Z29" s="112"/>
      <c r="AA29" s="112"/>
      <c r="BV29" s="112"/>
      <c r="BW29" s="112"/>
    </row>
  </sheetData>
  <conditionalFormatting sqref="U3:V20">
    <cfRule type="cellIs" dxfId="4" priority="20" operator="greaterThan">
      <formula>15</formula>
    </cfRule>
  </conditionalFormatting>
  <conditionalFormatting sqref="R3:R20">
    <cfRule type="cellIs" dxfId="3" priority="19" operator="greaterThan">
      <formula>3.2</formula>
    </cfRule>
  </conditionalFormatting>
  <conditionalFormatting sqref="S3:T20">
    <cfRule type="cellIs" dxfId="2" priority="18" operator="greaterThan">
      <formula>0.6</formula>
    </cfRule>
  </conditionalFormatting>
  <conditionalFormatting sqref="W3:AI20 AK3:AM20 AO3:BD20 BF3:CE20">
    <cfRule type="cellIs" dxfId="1" priority="17" operator="greaterThan">
      <formula>12.5</formula>
    </cfRule>
  </conditionalFormatting>
  <conditionalFormatting sqref="J3:J20">
    <cfRule type="cellIs" dxfId="0" priority="14" operator="greaterThan">
      <formula>7</formula>
    </cfRule>
  </conditionalFormatting>
  <conditionalFormatting sqref="K3:Q20">
    <cfRule type="colorScale" priority="5539">
      <colorScale>
        <cfvo type="min"/>
        <cfvo type="max"/>
        <color rgb="FFFCFCFF"/>
        <color rgb="FFF8696B"/>
      </colorScale>
    </cfRule>
  </conditionalFormatting>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249977111117893"/>
  </sheetPr>
  <dimension ref="A1:W35"/>
  <sheetViews>
    <sheetView zoomScale="120" zoomScaleNormal="120" workbookViewId="0">
      <selection activeCell="U17" sqref="U17"/>
    </sheetView>
  </sheetViews>
  <sheetFormatPr baseColWidth="10" defaultColWidth="11.42578125" defaultRowHeight="15" x14ac:dyDescent="0.25"/>
  <cols>
    <col min="1" max="1" width="4" bestFit="1" customWidth="1"/>
    <col min="2" max="2" width="18.28515625" bestFit="1" customWidth="1"/>
    <col min="3" max="3" width="5.5703125" bestFit="1" customWidth="1"/>
    <col min="4" max="4" width="5" bestFit="1" customWidth="1"/>
    <col min="5" max="11" width="5.5703125" bestFit="1" customWidth="1"/>
    <col min="12" max="12" width="6.42578125" bestFit="1" customWidth="1"/>
    <col min="13" max="13" width="5.5703125" bestFit="1" customWidth="1"/>
    <col min="14" max="14" width="8.140625" bestFit="1" customWidth="1"/>
    <col min="15" max="20" width="5.85546875" bestFit="1" customWidth="1"/>
    <col min="21" max="21" width="6.85546875" bestFit="1" customWidth="1"/>
    <col min="22" max="22" width="5" bestFit="1" customWidth="1"/>
    <col min="23" max="23" width="5.5703125" bestFit="1" customWidth="1"/>
  </cols>
  <sheetData>
    <row r="1" spans="1:23" x14ac:dyDescent="0.25">
      <c r="B1" t="s">
        <v>452</v>
      </c>
      <c r="L1" s="216"/>
      <c r="M1" s="216"/>
      <c r="N1" s="216"/>
      <c r="W1" s="62"/>
    </row>
    <row r="2" spans="1:23" x14ac:dyDescent="0.25">
      <c r="B2" s="28">
        <v>43636</v>
      </c>
      <c r="L2" s="216"/>
      <c r="M2" s="216"/>
      <c r="N2" s="216"/>
      <c r="U2" s="223"/>
      <c r="W2" s="62"/>
    </row>
    <row r="3" spans="1:23" x14ac:dyDescent="0.25">
      <c r="A3" s="10" t="s">
        <v>453</v>
      </c>
      <c r="B3" s="10" t="s">
        <v>3</v>
      </c>
      <c r="C3" s="10" t="s">
        <v>81</v>
      </c>
      <c r="D3" s="10" t="s">
        <v>5</v>
      </c>
      <c r="E3" s="10" t="str">
        <f>PLANTILLA!X3</f>
        <v>Po</v>
      </c>
      <c r="F3" s="10" t="str">
        <f>PLANTILLA!Y3</f>
        <v>De</v>
      </c>
      <c r="G3" s="10" t="str">
        <f>PLANTILLA!Z3</f>
        <v>Cr</v>
      </c>
      <c r="H3" s="10" t="str">
        <f>PLANTILLA!AA3</f>
        <v>Ex</v>
      </c>
      <c r="I3" s="10" t="str">
        <f>PLANTILLA!AB3</f>
        <v>Ps</v>
      </c>
      <c r="J3" s="10" t="str">
        <f>PLANTILLA!AC3</f>
        <v>An</v>
      </c>
      <c r="K3" s="10" t="str">
        <f>PLANTILLA!AD3</f>
        <v>PA</v>
      </c>
      <c r="L3" s="224">
        <v>1</v>
      </c>
      <c r="M3" s="224">
        <v>0.5</v>
      </c>
      <c r="N3" s="10" t="s">
        <v>454</v>
      </c>
      <c r="O3" s="226" t="s">
        <v>455</v>
      </c>
      <c r="P3" s="226" t="s">
        <v>456</v>
      </c>
      <c r="Q3" s="226" t="s">
        <v>47</v>
      </c>
      <c r="R3" s="226" t="s">
        <v>457</v>
      </c>
      <c r="S3" s="225" t="s">
        <v>80</v>
      </c>
      <c r="T3" s="231" t="s">
        <v>458</v>
      </c>
      <c r="U3" s="127" t="s">
        <v>116</v>
      </c>
      <c r="W3" s="62"/>
    </row>
    <row r="4" spans="1:23" x14ac:dyDescent="0.25">
      <c r="A4" s="227" t="str">
        <f>PLANTILLA!A4</f>
        <v>#1</v>
      </c>
      <c r="B4" s="228" t="str">
        <f>PLANTILLA!D4</f>
        <v>Cosme Fonteboa</v>
      </c>
      <c r="C4" s="227">
        <f>PLANTILLA!E4</f>
        <v>22</v>
      </c>
      <c r="D4" s="230">
        <f ca="1">PLANTILLA!F4</f>
        <v>48</v>
      </c>
      <c r="E4" s="44">
        <f>PLANTILLA!X4</f>
        <v>15</v>
      </c>
      <c r="F4" s="44">
        <f>PLANTILLA!Y4</f>
        <v>10.428571428571429</v>
      </c>
      <c r="G4" s="44">
        <f>PLANTILLA!Z4</f>
        <v>0</v>
      </c>
      <c r="H4" s="44">
        <f>PLANTILLA!AA4</f>
        <v>0</v>
      </c>
      <c r="I4" s="44">
        <f>PLANTILLA!AB4</f>
        <v>0</v>
      </c>
      <c r="J4" s="44">
        <f>PLANTILLA!AC4</f>
        <v>1</v>
      </c>
      <c r="K4" s="44">
        <f>PLANTILLA!AD4</f>
        <v>1</v>
      </c>
      <c r="L4" s="229"/>
      <c r="M4" s="229"/>
      <c r="N4" s="229"/>
      <c r="O4" s="114"/>
      <c r="P4" s="114"/>
      <c r="Q4" s="114"/>
      <c r="R4" s="114"/>
      <c r="S4" s="114"/>
      <c r="T4" s="114"/>
      <c r="U4" s="114"/>
      <c r="W4" s="62"/>
    </row>
    <row r="5" spans="1:23" x14ac:dyDescent="0.25">
      <c r="A5" s="227" t="str">
        <f>PLANTILLA!A5</f>
        <v>#19</v>
      </c>
      <c r="B5" s="228" t="str">
        <f>PLANTILLA!D5</f>
        <v>Nicolae Hornet</v>
      </c>
      <c r="C5" s="227">
        <f>PLANTILLA!E5</f>
        <v>22</v>
      </c>
      <c r="D5" s="230">
        <f ca="1">PLANTILLA!F5</f>
        <v>73</v>
      </c>
      <c r="E5" s="44">
        <f>PLANTILLA!X5</f>
        <v>6</v>
      </c>
      <c r="F5" s="44">
        <f>PLANTILLA!Y5</f>
        <v>4</v>
      </c>
      <c r="G5" s="44">
        <f>PLANTILLA!Z5</f>
        <v>0</v>
      </c>
      <c r="H5" s="44">
        <f>PLANTILLA!AA5</f>
        <v>3</v>
      </c>
      <c r="I5" s="44">
        <f>PLANTILLA!AB5</f>
        <v>0</v>
      </c>
      <c r="J5" s="44">
        <f>PLANTILLA!AC5</f>
        <v>1</v>
      </c>
      <c r="K5" s="44">
        <f>PLANTILLA!AD5</f>
        <v>1</v>
      </c>
      <c r="L5" s="229"/>
      <c r="M5" s="229"/>
      <c r="N5" s="229"/>
      <c r="O5" s="114"/>
      <c r="P5" s="114"/>
      <c r="Q5" s="114"/>
      <c r="R5" s="114"/>
      <c r="S5" s="114"/>
      <c r="T5" s="114"/>
      <c r="U5" s="114"/>
      <c r="W5" s="62"/>
    </row>
    <row r="6" spans="1:23" x14ac:dyDescent="0.25">
      <c r="A6" s="227" t="str">
        <f>PLANTILLA!A6</f>
        <v>#2</v>
      </c>
      <c r="B6" s="228" t="str">
        <f>PLANTILLA!D6</f>
        <v>Miguel Fernández</v>
      </c>
      <c r="C6" s="227">
        <f>PLANTILLA!E6</f>
        <v>22</v>
      </c>
      <c r="D6" s="230">
        <f ca="1">PLANTILLA!F6</f>
        <v>45</v>
      </c>
      <c r="E6" s="44">
        <f>PLANTILLA!X6</f>
        <v>0</v>
      </c>
      <c r="F6" s="44">
        <f>PLANTILLA!Y6</f>
        <v>14.5625</v>
      </c>
      <c r="G6" s="44">
        <f>PLANTILLA!Z6</f>
        <v>5</v>
      </c>
      <c r="H6" s="44">
        <f>PLANTILLA!AA6</f>
        <v>5.4</v>
      </c>
      <c r="I6" s="44">
        <f>PLANTILLA!AB6</f>
        <v>5</v>
      </c>
      <c r="J6" s="44">
        <f>PLANTILLA!AC6</f>
        <v>2</v>
      </c>
      <c r="K6" s="44">
        <f>PLANTILLA!AD6</f>
        <v>1</v>
      </c>
      <c r="L6" s="229">
        <f>1/3</f>
        <v>0.33333333333333331</v>
      </c>
      <c r="M6" s="229">
        <f t="shared" ref="M6:M15" si="0">L6/2</f>
        <v>0.16666666666666666</v>
      </c>
      <c r="N6" s="229">
        <f t="shared" ref="N6:N15" si="1">L6/8</f>
        <v>4.1666666666666664E-2</v>
      </c>
      <c r="O6" s="114">
        <f>L6*0.286</f>
        <v>9.5333333333333325E-2</v>
      </c>
      <c r="P6" s="114"/>
      <c r="Q6" s="114"/>
      <c r="R6" s="114"/>
      <c r="S6" s="114"/>
      <c r="T6" s="114"/>
      <c r="U6" s="114">
        <f t="shared" ref="U6:U9" si="2">MAX(O6:T6)</f>
        <v>9.5333333333333325E-2</v>
      </c>
      <c r="W6" s="62"/>
    </row>
    <row r="7" spans="1:23" x14ac:dyDescent="0.25">
      <c r="A7" s="227" t="str">
        <f>PLANTILLA!A7</f>
        <v>#13</v>
      </c>
      <c r="B7" s="228" t="str">
        <f>PLANTILLA!D7</f>
        <v>Iván Real Figueroa</v>
      </c>
      <c r="C7" s="227">
        <f>PLANTILLA!E7</f>
        <v>22</v>
      </c>
      <c r="D7" s="230">
        <f ca="1">PLANTILLA!F7</f>
        <v>26</v>
      </c>
      <c r="E7" s="44">
        <f>PLANTILLA!X7</f>
        <v>0</v>
      </c>
      <c r="F7" s="44">
        <f>PLANTILLA!Y7</f>
        <v>14.5</v>
      </c>
      <c r="G7" s="44">
        <f>PLANTILLA!Z7</f>
        <v>5</v>
      </c>
      <c r="H7" s="44">
        <f>PLANTILLA!AA7</f>
        <v>7</v>
      </c>
      <c r="I7" s="44">
        <f>PLANTILLA!AB7</f>
        <v>5</v>
      </c>
      <c r="J7" s="44">
        <f>PLANTILLA!AC7</f>
        <v>1</v>
      </c>
      <c r="K7" s="44">
        <f>PLANTILLA!AD7</f>
        <v>0</v>
      </c>
      <c r="L7" s="229">
        <f>1/4</f>
        <v>0.25</v>
      </c>
      <c r="M7" s="229">
        <f t="shared" si="0"/>
        <v>0.125</v>
      </c>
      <c r="N7" s="229">
        <f t="shared" si="1"/>
        <v>3.125E-2</v>
      </c>
      <c r="O7" s="114">
        <f>L7*0.286</f>
        <v>7.1499999999999994E-2</v>
      </c>
      <c r="P7" s="114"/>
      <c r="Q7" s="114"/>
      <c r="R7" s="114"/>
      <c r="S7" s="114"/>
      <c r="T7" s="114"/>
      <c r="U7" s="114">
        <f t="shared" si="2"/>
        <v>7.1499999999999994E-2</v>
      </c>
      <c r="W7" s="62"/>
    </row>
    <row r="8" spans="1:23" x14ac:dyDescent="0.25">
      <c r="A8" s="227" t="str">
        <f>PLANTILLA!A8</f>
        <v>#4</v>
      </c>
      <c r="B8" s="228" t="str">
        <f>PLANTILLA!D8</f>
        <v>Berto Abandero</v>
      </c>
      <c r="C8" s="227">
        <f>PLANTILLA!E8</f>
        <v>22</v>
      </c>
      <c r="D8" s="230">
        <f ca="1">PLANTILLA!F8</f>
        <v>76</v>
      </c>
      <c r="E8" s="44">
        <f>PLANTILLA!X8</f>
        <v>0</v>
      </c>
      <c r="F8" s="44">
        <f>PLANTILLA!Y8</f>
        <v>12.454545454545455</v>
      </c>
      <c r="G8" s="44">
        <f>PLANTILLA!Z8</f>
        <v>3</v>
      </c>
      <c r="H8" s="44">
        <f>PLANTILLA!AA8</f>
        <v>7.1999999999999993</v>
      </c>
      <c r="I8" s="44">
        <f>PLANTILLA!AB8</f>
        <v>10</v>
      </c>
      <c r="J8" s="44">
        <f>PLANTILLA!AC8</f>
        <v>3</v>
      </c>
      <c r="K8" s="44">
        <f>PLANTILLA!AD8</f>
        <v>2</v>
      </c>
      <c r="L8" s="229">
        <f>1/4</f>
        <v>0.25</v>
      </c>
      <c r="M8" s="229">
        <f t="shared" si="0"/>
        <v>0.125</v>
      </c>
      <c r="N8" s="229">
        <f t="shared" si="1"/>
        <v>3.125E-2</v>
      </c>
      <c r="O8" s="114">
        <f>L8*0.286</f>
        <v>7.1499999999999994E-2</v>
      </c>
      <c r="P8" s="114"/>
      <c r="Q8" s="114"/>
      <c r="R8" s="114"/>
      <c r="S8" s="114"/>
      <c r="T8" s="114"/>
      <c r="U8" s="114">
        <f t="shared" si="2"/>
        <v>7.1499999999999994E-2</v>
      </c>
      <c r="W8" s="62"/>
    </row>
    <row r="9" spans="1:23" x14ac:dyDescent="0.25">
      <c r="A9" s="227" t="str">
        <f>PLANTILLA!A9</f>
        <v>#2</v>
      </c>
      <c r="B9" s="228" t="str">
        <f>PLANTILLA!D9</f>
        <v>Guillermo Pedrajas</v>
      </c>
      <c r="C9" s="227">
        <f>PLANTILLA!E9</f>
        <v>22</v>
      </c>
      <c r="D9" s="230">
        <f ca="1">PLANTILLA!F9</f>
        <v>61</v>
      </c>
      <c r="E9" s="44">
        <f>PLANTILLA!X9</f>
        <v>0</v>
      </c>
      <c r="F9" s="44">
        <f>PLANTILLA!Y9</f>
        <v>10.333333333333334</v>
      </c>
      <c r="G9" s="44">
        <f>PLANTILLA!Z9</f>
        <v>11</v>
      </c>
      <c r="H9" s="44">
        <f>PLANTILLA!AA9</f>
        <v>4</v>
      </c>
      <c r="I9" s="44">
        <f>PLANTILLA!AB9</f>
        <v>9</v>
      </c>
      <c r="J9" s="44">
        <f>PLANTILLA!AC9</f>
        <v>4</v>
      </c>
      <c r="K9" s="44">
        <f>PLANTILLA!AD9</f>
        <v>1</v>
      </c>
      <c r="L9" s="229">
        <f>1/3</f>
        <v>0.33333333333333331</v>
      </c>
      <c r="M9" s="229">
        <f t="shared" si="0"/>
        <v>0.16666666666666666</v>
      </c>
      <c r="N9" s="229">
        <f t="shared" si="1"/>
        <v>4.1666666666666664E-2</v>
      </c>
      <c r="O9" s="114"/>
      <c r="P9" s="114"/>
      <c r="Q9" s="114"/>
      <c r="R9" s="114"/>
      <c r="S9" s="114"/>
      <c r="T9" s="114"/>
      <c r="U9" s="114">
        <f t="shared" si="2"/>
        <v>0</v>
      </c>
      <c r="W9" s="62"/>
    </row>
    <row r="10" spans="1:23" x14ac:dyDescent="0.25">
      <c r="A10" s="227" t="str">
        <f>PLANTILLA!A10</f>
        <v>#23</v>
      </c>
      <c r="B10" s="228" t="str">
        <f>PLANTILLA!D10</f>
        <v>Eckardt Hägerling</v>
      </c>
      <c r="C10" s="227">
        <f>PLANTILLA!E10</f>
        <v>22</v>
      </c>
      <c r="D10" s="230">
        <f ca="1">PLANTILLA!F10</f>
        <v>37</v>
      </c>
      <c r="E10" s="44">
        <f>PLANTILLA!X10</f>
        <v>0</v>
      </c>
      <c r="F10" s="44">
        <f>PLANTILLA!Y10</f>
        <v>6</v>
      </c>
      <c r="G10" s="44">
        <f>PLANTILLA!Z10</f>
        <v>3</v>
      </c>
      <c r="H10" s="44">
        <f>PLANTILLA!AA10</f>
        <v>6.15</v>
      </c>
      <c r="I10" s="44">
        <f>PLANTILLA!AB10</f>
        <v>3</v>
      </c>
      <c r="J10" s="44">
        <f>PLANTILLA!AC10</f>
        <v>4.6633333333333322</v>
      </c>
      <c r="K10" s="44">
        <f>PLANTILLA!AD10</f>
        <v>3</v>
      </c>
      <c r="L10" s="229"/>
      <c r="M10" s="229"/>
      <c r="N10" s="229"/>
      <c r="O10" s="114"/>
      <c r="P10" s="114"/>
      <c r="Q10" s="114"/>
      <c r="R10" s="114"/>
      <c r="S10" s="114"/>
      <c r="T10" s="114"/>
      <c r="U10" s="114"/>
      <c r="W10" s="62"/>
    </row>
    <row r="11" spans="1:23" x14ac:dyDescent="0.25">
      <c r="A11" s="227" t="str">
        <f>PLANTILLA!A11</f>
        <v>#9</v>
      </c>
      <c r="B11" s="228" t="str">
        <f>PLANTILLA!D11</f>
        <v>Francesc Añigas</v>
      </c>
      <c r="C11" s="227">
        <f>PLANTILLA!E11</f>
        <v>22</v>
      </c>
      <c r="D11" s="230">
        <f ca="1">PLANTILLA!F11</f>
        <v>41</v>
      </c>
      <c r="E11" s="44">
        <f>PLANTILLA!X11</f>
        <v>0</v>
      </c>
      <c r="F11" s="44">
        <f>PLANTILLA!Y11</f>
        <v>11.666666666666666</v>
      </c>
      <c r="G11" s="44">
        <f>PLANTILLA!Z11</f>
        <v>4</v>
      </c>
      <c r="H11" s="44">
        <f>PLANTILLA!AA11</f>
        <v>12.666666666666666</v>
      </c>
      <c r="I11" s="44">
        <f>PLANTILLA!AB11</f>
        <v>4.25</v>
      </c>
      <c r="J11" s="44">
        <f>PLANTILLA!AC11</f>
        <v>7</v>
      </c>
      <c r="K11" s="44">
        <f>PLANTILLA!AD11</f>
        <v>3</v>
      </c>
      <c r="L11" s="229">
        <f>1/7</f>
        <v>0.14285714285714285</v>
      </c>
      <c r="M11" s="229">
        <f t="shared" si="0"/>
        <v>7.1428571428571425E-2</v>
      </c>
      <c r="N11" s="229">
        <f t="shared" si="1"/>
        <v>1.7857142857142856E-2</v>
      </c>
      <c r="O11" s="114">
        <f>L11*0.286</f>
        <v>4.0857142857142849E-2</v>
      </c>
      <c r="P11" s="114">
        <f>L11*(0.588)</f>
        <v>8.3999999999999991E-2</v>
      </c>
      <c r="Q11" s="114">
        <f>L11*(0.574)</f>
        <v>8.199999999999999E-2</v>
      </c>
      <c r="R11" s="114">
        <f>L11*(0.864)</f>
        <v>0.12342857142857142</v>
      </c>
      <c r="S11" s="114">
        <f>L11*(0.144)</f>
        <v>2.057142857142857E-2</v>
      </c>
      <c r="T11" s="114">
        <f>L11*(0.607)</f>
        <v>8.6714285714285702E-2</v>
      </c>
      <c r="U11" s="114">
        <f>MAX(O11:T11)</f>
        <v>0.12342857142857142</v>
      </c>
      <c r="W11" s="62"/>
    </row>
    <row r="12" spans="1:23" x14ac:dyDescent="0.25">
      <c r="A12" s="227" t="str">
        <f>PLANTILLA!A12</f>
        <v>#3</v>
      </c>
      <c r="B12" s="228" t="str">
        <f>PLANTILLA!D12</f>
        <v>Will Duffill</v>
      </c>
      <c r="C12" s="227">
        <f>PLANTILLA!E12</f>
        <v>22</v>
      </c>
      <c r="D12" s="230">
        <f ca="1">PLANTILLA!F12</f>
        <v>2</v>
      </c>
      <c r="E12" s="44">
        <f>PLANTILLA!X12</f>
        <v>0</v>
      </c>
      <c r="F12" s="44">
        <f>PLANTILLA!Y12</f>
        <v>10.714285714285714</v>
      </c>
      <c r="G12" s="44">
        <f>PLANTILLA!Z12</f>
        <v>3</v>
      </c>
      <c r="H12" s="44">
        <f>PLANTILLA!AA12</f>
        <v>13</v>
      </c>
      <c r="I12" s="44">
        <f>PLANTILLA!AB12</f>
        <v>7</v>
      </c>
      <c r="J12" s="44">
        <f>PLANTILLA!AC12</f>
        <v>7</v>
      </c>
      <c r="K12" s="44">
        <f>PLANTILLA!AD12</f>
        <v>3</v>
      </c>
      <c r="L12" s="229">
        <f>1/8</f>
        <v>0.125</v>
      </c>
      <c r="M12" s="229">
        <f t="shared" si="0"/>
        <v>6.25E-2</v>
      </c>
      <c r="N12" s="229">
        <f t="shared" si="1"/>
        <v>1.5625E-2</v>
      </c>
      <c r="O12" s="114">
        <f>L12*0.286</f>
        <v>3.5749999999999997E-2</v>
      </c>
      <c r="P12" s="114">
        <f t="shared" ref="P12:P15" si="3">L12*(0.588)</f>
        <v>7.3499999999999996E-2</v>
      </c>
      <c r="Q12" s="114">
        <f t="shared" ref="Q12:Q15" si="4">L12*(0.574)</f>
        <v>7.1749999999999994E-2</v>
      </c>
      <c r="R12" s="114">
        <f t="shared" ref="R12:R15" si="5">L12*(0.864)</f>
        <v>0.108</v>
      </c>
      <c r="S12" s="114">
        <f t="shared" ref="S12:S15" si="6">L12*(0.144)</f>
        <v>1.7999999999999999E-2</v>
      </c>
      <c r="T12" s="114">
        <f t="shared" ref="T12:T15" si="7">L12*(0.607)</f>
        <v>7.5874999999999998E-2</v>
      </c>
      <c r="U12" s="114">
        <f t="shared" ref="U12:U15" si="8">MAX(O12:T12)</f>
        <v>0.108</v>
      </c>
      <c r="W12" s="62"/>
    </row>
    <row r="13" spans="1:23" x14ac:dyDescent="0.25">
      <c r="A13" s="227" t="str">
        <f>PLANTILLA!A13</f>
        <v>#5</v>
      </c>
      <c r="B13" s="228" t="str">
        <f>PLANTILLA!D13</f>
        <v>Valeri Gomis</v>
      </c>
      <c r="C13" s="227">
        <f>PLANTILLA!E13</f>
        <v>22</v>
      </c>
      <c r="D13" s="230">
        <f ca="1">PLANTILLA!F13</f>
        <v>41</v>
      </c>
      <c r="E13" s="44">
        <f>PLANTILLA!X13</f>
        <v>0</v>
      </c>
      <c r="F13" s="44">
        <f>PLANTILLA!Y13</f>
        <v>10.285714285714286</v>
      </c>
      <c r="G13" s="44">
        <f>PLANTILLA!Z13</f>
        <v>3</v>
      </c>
      <c r="H13" s="44">
        <f>PLANTILLA!AA13</f>
        <v>12</v>
      </c>
      <c r="I13" s="44">
        <f>PLANTILLA!AB13</f>
        <v>6.0000000000000009</v>
      </c>
      <c r="J13" s="44">
        <f>PLANTILLA!AC13</f>
        <v>7.25</v>
      </c>
      <c r="K13" s="44">
        <f>PLANTILLA!AD13</f>
        <v>3</v>
      </c>
      <c r="L13" s="229">
        <f>1/7</f>
        <v>0.14285714285714285</v>
      </c>
      <c r="M13" s="229">
        <f t="shared" si="0"/>
        <v>7.1428571428571425E-2</v>
      </c>
      <c r="N13" s="229">
        <f t="shared" si="1"/>
        <v>1.7857142857142856E-2</v>
      </c>
      <c r="O13" s="114">
        <f>L13*0.286</f>
        <v>4.0857142857142849E-2</v>
      </c>
      <c r="P13" s="114">
        <f t="shared" si="3"/>
        <v>8.3999999999999991E-2</v>
      </c>
      <c r="Q13" s="114">
        <f t="shared" si="4"/>
        <v>8.199999999999999E-2</v>
      </c>
      <c r="R13" s="114">
        <f t="shared" si="5"/>
        <v>0.12342857142857142</v>
      </c>
      <c r="S13" s="114">
        <f t="shared" si="6"/>
        <v>2.057142857142857E-2</v>
      </c>
      <c r="T13" s="114">
        <f t="shared" si="7"/>
        <v>8.6714285714285702E-2</v>
      </c>
      <c r="U13" s="114">
        <f t="shared" si="8"/>
        <v>0.12342857142857142</v>
      </c>
      <c r="W13" s="62"/>
    </row>
    <row r="14" spans="1:23" x14ac:dyDescent="0.25">
      <c r="A14" s="227" t="str">
        <f>PLANTILLA!A14</f>
        <v>#8</v>
      </c>
      <c r="B14" s="228" t="str">
        <f>PLANTILLA!D14</f>
        <v>Enrique Cubas</v>
      </c>
      <c r="C14" s="227">
        <f>PLANTILLA!E14</f>
        <v>22</v>
      </c>
      <c r="D14" s="230">
        <f ca="1">PLANTILLA!F14</f>
        <v>37</v>
      </c>
      <c r="E14" s="44">
        <f>PLANTILLA!X14</f>
        <v>0</v>
      </c>
      <c r="F14" s="44">
        <f>PLANTILLA!Y14</f>
        <v>8.8000000000000007</v>
      </c>
      <c r="G14" s="44">
        <f>PLANTILLA!Z14</f>
        <v>5.7</v>
      </c>
      <c r="H14" s="44">
        <f>PLANTILLA!AA14</f>
        <v>14.124999999999996</v>
      </c>
      <c r="I14" s="44">
        <f>PLANTILLA!AB14</f>
        <v>6</v>
      </c>
      <c r="J14" s="44">
        <f>PLANTILLA!AC14</f>
        <v>7.5</v>
      </c>
      <c r="K14" s="44">
        <f>PLANTILLA!AD14</f>
        <v>5</v>
      </c>
      <c r="L14" s="229">
        <f>1/9</f>
        <v>0.1111111111111111</v>
      </c>
      <c r="M14" s="229">
        <f t="shared" si="0"/>
        <v>5.5555555555555552E-2</v>
      </c>
      <c r="N14" s="229">
        <f t="shared" si="1"/>
        <v>1.3888888888888888E-2</v>
      </c>
      <c r="O14" s="114">
        <f>L14*0.286</f>
        <v>3.1777777777777773E-2</v>
      </c>
      <c r="P14" s="114">
        <f t="shared" si="3"/>
        <v>6.5333333333333327E-2</v>
      </c>
      <c r="Q14" s="114">
        <f t="shared" si="4"/>
        <v>6.3777777777777767E-2</v>
      </c>
      <c r="R14" s="114">
        <f t="shared" si="5"/>
        <v>9.5999999999999988E-2</v>
      </c>
      <c r="S14" s="114">
        <f t="shared" si="6"/>
        <v>1.5999999999999997E-2</v>
      </c>
      <c r="T14" s="114">
        <f t="shared" si="7"/>
        <v>6.7444444444444446E-2</v>
      </c>
      <c r="U14" s="114">
        <f t="shared" si="8"/>
        <v>9.5999999999999988E-2</v>
      </c>
      <c r="W14" s="62"/>
    </row>
    <row r="15" spans="1:23" x14ac:dyDescent="0.25">
      <c r="A15" s="227" t="str">
        <f>PLANTILLA!A15</f>
        <v>#11</v>
      </c>
      <c r="B15" s="228" t="str">
        <f>PLANTILLA!D15</f>
        <v>J. G. Peñuela</v>
      </c>
      <c r="C15" s="227">
        <f>PLANTILLA!E15</f>
        <v>22</v>
      </c>
      <c r="D15" s="230">
        <f ca="1">PLANTILLA!F15</f>
        <v>37</v>
      </c>
      <c r="E15" s="44">
        <f>PLANTILLA!X15</f>
        <v>0</v>
      </c>
      <c r="F15" s="44">
        <f>PLANTILLA!Y15</f>
        <v>9.2857142857142865</v>
      </c>
      <c r="G15" s="44">
        <f>PLANTILLA!Z15</f>
        <v>5</v>
      </c>
      <c r="H15" s="44">
        <f>PLANTILLA!AA15</f>
        <v>13.19</v>
      </c>
      <c r="I15" s="44">
        <f>PLANTILLA!AB15</f>
        <v>5</v>
      </c>
      <c r="J15" s="44">
        <f>PLANTILLA!AC15</f>
        <v>7.8016666666666676</v>
      </c>
      <c r="K15" s="44">
        <f>PLANTILLA!AD15</f>
        <v>3</v>
      </c>
      <c r="L15" s="229">
        <f>1/8</f>
        <v>0.125</v>
      </c>
      <c r="M15" s="229">
        <f t="shared" si="0"/>
        <v>6.25E-2</v>
      </c>
      <c r="N15" s="229">
        <f t="shared" si="1"/>
        <v>1.5625E-2</v>
      </c>
      <c r="O15" s="114">
        <f>L15*0.286</f>
        <v>3.5749999999999997E-2</v>
      </c>
      <c r="P15" s="114">
        <f t="shared" si="3"/>
        <v>7.3499999999999996E-2</v>
      </c>
      <c r="Q15" s="114">
        <f t="shared" si="4"/>
        <v>7.1749999999999994E-2</v>
      </c>
      <c r="R15" s="114">
        <f t="shared" si="5"/>
        <v>0.108</v>
      </c>
      <c r="S15" s="114">
        <f t="shared" si="6"/>
        <v>1.7999999999999999E-2</v>
      </c>
      <c r="T15" s="114">
        <f t="shared" si="7"/>
        <v>7.5874999999999998E-2</v>
      </c>
      <c r="U15" s="114">
        <f t="shared" si="8"/>
        <v>0.108</v>
      </c>
      <c r="W15" s="62"/>
    </row>
    <row r="16" spans="1:23" x14ac:dyDescent="0.25">
      <c r="A16" s="227" t="str">
        <f>PLANTILLA!A16</f>
        <v>#12</v>
      </c>
      <c r="B16" s="228" t="str">
        <f>PLANTILLA!D16</f>
        <v>David Garcia-Spiess</v>
      </c>
      <c r="C16" s="227">
        <f>PLANTILLA!E16</f>
        <v>30</v>
      </c>
      <c r="D16" s="230">
        <f ca="1">PLANTILLA!F16</f>
        <v>6</v>
      </c>
      <c r="E16" s="44">
        <f>PLANTILLA!X16</f>
        <v>0</v>
      </c>
      <c r="F16" s="44">
        <f>PLANTILLA!Y16</f>
        <v>9</v>
      </c>
      <c r="G16" s="44">
        <f>PLANTILLA!Z16</f>
        <v>13</v>
      </c>
      <c r="H16" s="44">
        <f>PLANTILLA!AA16</f>
        <v>6</v>
      </c>
      <c r="I16" s="44">
        <f>PLANTILLA!AB16</f>
        <v>7</v>
      </c>
      <c r="J16" s="44">
        <f>PLANTILLA!AC16</f>
        <v>7</v>
      </c>
      <c r="K16" s="44">
        <f>PLANTILLA!AD16</f>
        <v>17</v>
      </c>
      <c r="L16" s="229"/>
      <c r="M16" s="229"/>
      <c r="N16" s="229"/>
      <c r="O16" s="114"/>
      <c r="P16" s="114"/>
      <c r="Q16" s="114"/>
      <c r="R16" s="114"/>
      <c r="S16" s="114"/>
      <c r="T16" s="114"/>
      <c r="U16" s="114"/>
      <c r="W16" s="62"/>
    </row>
    <row r="17" spans="1:23" x14ac:dyDescent="0.25">
      <c r="A17" s="227" t="str">
        <f>PLANTILLA!A17</f>
        <v>#26</v>
      </c>
      <c r="B17" s="228" t="str">
        <f>PLANTILLA!D17</f>
        <v>Fabien Fabre</v>
      </c>
      <c r="C17" s="227">
        <f>PLANTILLA!E17</f>
        <v>31</v>
      </c>
      <c r="D17" s="230">
        <f ca="1">PLANTILLA!F17</f>
        <v>11</v>
      </c>
      <c r="E17" s="44">
        <f>PLANTILLA!X17</f>
        <v>0</v>
      </c>
      <c r="F17" s="44">
        <f>PLANTILLA!Y17</f>
        <v>5</v>
      </c>
      <c r="G17" s="44">
        <f>PLANTILLA!Z17</f>
        <v>11</v>
      </c>
      <c r="H17" s="44">
        <f>PLANTILLA!AA17</f>
        <v>2</v>
      </c>
      <c r="I17" s="44">
        <f>PLANTILLA!AB17</f>
        <v>4</v>
      </c>
      <c r="J17" s="44">
        <f>PLANTILLA!AC17</f>
        <v>5</v>
      </c>
      <c r="K17" s="44">
        <f>PLANTILLA!AD17</f>
        <v>12</v>
      </c>
      <c r="L17" s="229"/>
      <c r="M17" s="229"/>
      <c r="N17" s="229"/>
      <c r="O17" s="114"/>
      <c r="P17" s="114"/>
      <c r="Q17" s="114"/>
      <c r="R17" s="114"/>
      <c r="S17" s="114"/>
      <c r="T17" s="114"/>
      <c r="U17" s="114"/>
      <c r="W17" s="62"/>
    </row>
    <row r="18" spans="1:23" x14ac:dyDescent="0.25">
      <c r="A18" s="227" t="str">
        <f>PLANTILLA!A18</f>
        <v>#21</v>
      </c>
      <c r="B18" s="228" t="str">
        <f>PLANTILLA!D18</f>
        <v>Fernando Gazón</v>
      </c>
      <c r="C18" s="227">
        <f>PLANTILLA!E18</f>
        <v>22</v>
      </c>
      <c r="D18" s="230">
        <f ca="1">PLANTILLA!F18</f>
        <v>78</v>
      </c>
      <c r="E18" s="44">
        <f>PLANTILLA!X18</f>
        <v>0</v>
      </c>
      <c r="F18" s="44">
        <f>PLANTILLA!Y18</f>
        <v>4</v>
      </c>
      <c r="G18" s="44">
        <f>PLANTILLA!Z18</f>
        <v>6</v>
      </c>
      <c r="H18" s="44">
        <f>PLANTILLA!AA18</f>
        <v>6</v>
      </c>
      <c r="I18" s="44">
        <f>PLANTILLA!AB18</f>
        <v>4.25</v>
      </c>
      <c r="J18" s="44">
        <f>PLANTILLA!AC18</f>
        <v>5.6190261437908475</v>
      </c>
      <c r="K18" s="44">
        <f>PLANTILLA!AD18</f>
        <v>3</v>
      </c>
      <c r="L18" s="229"/>
      <c r="M18" s="229"/>
      <c r="N18" s="229"/>
      <c r="O18" s="114"/>
      <c r="P18" s="114"/>
      <c r="Q18" s="114"/>
      <c r="R18" s="114"/>
      <c r="S18" s="114"/>
      <c r="T18" s="114"/>
      <c r="U18" s="114"/>
      <c r="W18" s="62"/>
    </row>
    <row r="19" spans="1:23" x14ac:dyDescent="0.25">
      <c r="A19" s="227" t="str">
        <f>PLANTILLA!A19</f>
        <v>#36</v>
      </c>
      <c r="B19" s="228" t="str">
        <f>PLANTILLA!D19</f>
        <v>Miklós Gábriel</v>
      </c>
      <c r="C19" s="227">
        <f>PLANTILLA!E19</f>
        <v>31</v>
      </c>
      <c r="D19" s="230">
        <f ca="1">PLANTILLA!F19</f>
        <v>3</v>
      </c>
      <c r="E19" s="44">
        <f>PLANTILLA!X19</f>
        <v>0</v>
      </c>
      <c r="F19" s="44">
        <f>PLANTILLA!Y19</f>
        <v>5</v>
      </c>
      <c r="G19" s="44">
        <f>PLANTILLA!Z19</f>
        <v>2</v>
      </c>
      <c r="H19" s="44">
        <f>PLANTILLA!AA19</f>
        <v>4</v>
      </c>
      <c r="I19" s="44">
        <f>PLANTILLA!AB19</f>
        <v>7</v>
      </c>
      <c r="J19" s="44">
        <f>PLANTILLA!AC19</f>
        <v>10</v>
      </c>
      <c r="K19" s="44">
        <f>PLANTILLA!AD19</f>
        <v>14</v>
      </c>
      <c r="L19" s="229"/>
      <c r="M19" s="229"/>
      <c r="N19" s="229"/>
      <c r="O19" s="114"/>
      <c r="P19" s="114"/>
      <c r="Q19" s="114"/>
      <c r="R19" s="114"/>
      <c r="S19" s="114"/>
      <c r="T19" s="114"/>
      <c r="U19" s="114"/>
      <c r="W19" s="62"/>
    </row>
    <row r="20" spans="1:23" x14ac:dyDescent="0.25">
      <c r="A20" s="227" t="str">
        <f>PLANTILLA!A20</f>
        <v>#38</v>
      </c>
      <c r="B20" s="228" t="str">
        <f>PLANTILLA!D20</f>
        <v>Emilio Rojas</v>
      </c>
      <c r="C20" s="227">
        <f>PLANTILLA!E20</f>
        <v>31</v>
      </c>
      <c r="D20" s="230">
        <f ca="1">PLANTILLA!F20</f>
        <v>41</v>
      </c>
      <c r="E20" s="44">
        <f>PLANTILLA!X20</f>
        <v>0</v>
      </c>
      <c r="F20" s="44">
        <f>PLANTILLA!Y20</f>
        <v>6</v>
      </c>
      <c r="G20" s="44">
        <f>PLANTILLA!Z20</f>
        <v>2</v>
      </c>
      <c r="H20" s="44">
        <f>PLANTILLA!AA20</f>
        <v>6</v>
      </c>
      <c r="I20" s="44">
        <f>PLANTILLA!AB20</f>
        <v>9</v>
      </c>
      <c r="J20" s="44">
        <f>PLANTILLA!AC20</f>
        <v>9</v>
      </c>
      <c r="K20" s="44">
        <f>PLANTILLA!AD20</f>
        <v>13</v>
      </c>
      <c r="L20" s="229"/>
      <c r="M20" s="229"/>
      <c r="N20" s="229"/>
      <c r="O20" s="114"/>
      <c r="P20" s="114"/>
      <c r="Q20" s="114"/>
      <c r="R20" s="114"/>
      <c r="S20" s="114"/>
      <c r="T20" s="114"/>
      <c r="U20" s="114"/>
      <c r="W20" s="62"/>
    </row>
    <row r="21" spans="1:23" x14ac:dyDescent="0.25">
      <c r="A21" s="227" t="str">
        <f>PLANTILLA!A21</f>
        <v>#25</v>
      </c>
      <c r="B21" s="228" t="str">
        <f>PLANTILLA!D21</f>
        <v>Leo Hilpinen</v>
      </c>
      <c r="C21" s="227">
        <f>PLANTILLA!E21</f>
        <v>30</v>
      </c>
      <c r="D21" s="230">
        <f ca="1">PLANTILLA!F21</f>
        <v>16</v>
      </c>
      <c r="E21" s="44">
        <f>PLANTILLA!X21</f>
        <v>0</v>
      </c>
      <c r="F21" s="44">
        <f>PLANTILLA!Y21</f>
        <v>5</v>
      </c>
      <c r="G21" s="44">
        <f>PLANTILLA!Z21</f>
        <v>6</v>
      </c>
      <c r="H21" s="44">
        <f>PLANTILLA!AA21</f>
        <v>5</v>
      </c>
      <c r="I21" s="44">
        <f>PLANTILLA!AB21</f>
        <v>9</v>
      </c>
      <c r="J21" s="44">
        <f>PLANTILLA!AC21</f>
        <v>12</v>
      </c>
      <c r="K21" s="44">
        <f>PLANTILLA!AD21</f>
        <v>0</v>
      </c>
      <c r="L21" s="229"/>
      <c r="M21" s="229"/>
      <c r="N21" s="229"/>
      <c r="O21" s="114"/>
      <c r="P21" s="114"/>
      <c r="Q21" s="114"/>
      <c r="R21" s="114"/>
      <c r="S21" s="114"/>
      <c r="T21" s="114"/>
      <c r="U21" s="114"/>
      <c r="W21" s="62"/>
    </row>
    <row r="22" spans="1:23" x14ac:dyDescent="0.25">
      <c r="C22" s="132"/>
      <c r="D22" s="107"/>
      <c r="G22" s="62"/>
      <c r="H22" s="49"/>
      <c r="J22" s="62"/>
      <c r="K22" s="62"/>
      <c r="M22" s="133"/>
      <c r="Q22" s="62"/>
      <c r="R22" s="62"/>
      <c r="S22" s="62"/>
      <c r="T22" s="216"/>
      <c r="U22" s="62"/>
      <c r="V22" s="62"/>
      <c r="W22" s="62"/>
    </row>
    <row r="23" spans="1:23" x14ac:dyDescent="0.25">
      <c r="C23" s="132"/>
      <c r="D23" s="107"/>
      <c r="G23" s="62"/>
      <c r="H23" s="49"/>
      <c r="J23" s="62"/>
      <c r="K23" s="62"/>
      <c r="M23" s="133"/>
      <c r="Q23" s="62"/>
      <c r="R23" s="62"/>
      <c r="S23" s="62"/>
      <c r="T23" s="216"/>
      <c r="U23" s="62"/>
      <c r="V23" s="62"/>
      <c r="W23" s="62"/>
    </row>
    <row r="24" spans="1:23" x14ac:dyDescent="0.25">
      <c r="C24" s="132"/>
      <c r="D24" s="107"/>
      <c r="G24" s="62"/>
      <c r="H24" s="49"/>
      <c r="J24" s="62"/>
      <c r="K24" s="62"/>
      <c r="M24" s="133"/>
      <c r="Q24" s="62"/>
      <c r="R24" s="62"/>
      <c r="S24" s="62"/>
      <c r="T24" s="216"/>
      <c r="U24" s="62"/>
      <c r="V24" s="62"/>
      <c r="W24" s="62"/>
    </row>
    <row r="25" spans="1:23" x14ac:dyDescent="0.25">
      <c r="C25" s="132"/>
      <c r="D25" s="107"/>
      <c r="G25" s="62"/>
      <c r="H25" s="49"/>
      <c r="J25" s="62"/>
      <c r="K25" s="62"/>
      <c r="M25" s="133"/>
      <c r="Q25" s="62"/>
      <c r="R25" s="62"/>
      <c r="S25" s="62"/>
      <c r="T25" s="216"/>
      <c r="U25" s="62"/>
      <c r="V25" s="62"/>
      <c r="W25" s="62"/>
    </row>
    <row r="26" spans="1:23" x14ac:dyDescent="0.25">
      <c r="C26" s="132"/>
      <c r="D26" s="107"/>
      <c r="G26" s="62"/>
      <c r="H26" s="49"/>
      <c r="J26" s="62"/>
      <c r="K26" s="62"/>
      <c r="M26" s="133"/>
      <c r="Q26" s="62"/>
      <c r="R26" s="62"/>
      <c r="S26" s="62"/>
      <c r="T26" s="216"/>
      <c r="U26" s="62"/>
      <c r="V26" s="62"/>
      <c r="W26" s="62"/>
    </row>
    <row r="27" spans="1:23" x14ac:dyDescent="0.25">
      <c r="C27" s="132"/>
      <c r="D27" s="107"/>
      <c r="G27" s="62"/>
      <c r="H27" s="49"/>
      <c r="J27" s="62"/>
      <c r="K27" s="62"/>
      <c r="M27" s="133"/>
      <c r="Q27" s="62"/>
      <c r="R27" s="62"/>
      <c r="S27" s="62"/>
      <c r="T27" s="216"/>
      <c r="U27" s="62"/>
      <c r="V27" s="62"/>
      <c r="W27" s="62"/>
    </row>
    <row r="28" spans="1:23" x14ac:dyDescent="0.25">
      <c r="C28" s="132"/>
      <c r="D28" s="107"/>
      <c r="G28" s="62"/>
      <c r="H28" s="49"/>
      <c r="J28" s="62"/>
      <c r="K28" s="62"/>
      <c r="M28" s="133"/>
      <c r="Q28" s="62"/>
      <c r="R28" s="62"/>
      <c r="S28" s="62"/>
      <c r="T28" s="216"/>
      <c r="U28" s="62"/>
      <c r="V28" s="62"/>
      <c r="W28" s="62"/>
    </row>
    <row r="29" spans="1:23" x14ac:dyDescent="0.25">
      <c r="C29" s="132"/>
      <c r="D29" s="107"/>
      <c r="G29" s="62"/>
      <c r="H29" s="49"/>
      <c r="J29" s="62"/>
      <c r="K29" s="62"/>
      <c r="M29" s="133"/>
      <c r="Q29" s="62"/>
      <c r="R29" s="62"/>
      <c r="S29" s="62"/>
      <c r="T29" s="216"/>
      <c r="U29" s="62"/>
      <c r="V29" s="62"/>
      <c r="W29" s="62"/>
    </row>
    <row r="30" spans="1:23" x14ac:dyDescent="0.25">
      <c r="C30" s="132"/>
      <c r="D30" s="107"/>
      <c r="G30" s="62"/>
      <c r="H30" s="49"/>
      <c r="J30" s="62"/>
      <c r="K30" s="62"/>
      <c r="M30" s="133"/>
      <c r="Q30" s="62"/>
      <c r="R30" s="62"/>
      <c r="S30" s="62"/>
      <c r="T30" s="216"/>
      <c r="U30" s="62"/>
      <c r="V30" s="62"/>
      <c r="W30" s="62"/>
    </row>
    <row r="31" spans="1:23" x14ac:dyDescent="0.25">
      <c r="C31" s="132"/>
      <c r="D31" s="107"/>
      <c r="G31" s="62"/>
      <c r="H31" s="49"/>
      <c r="J31" s="62"/>
      <c r="K31" s="62"/>
      <c r="M31" s="133"/>
      <c r="Q31" s="62"/>
      <c r="R31" s="62"/>
      <c r="S31" s="62"/>
      <c r="T31" s="216"/>
      <c r="U31" s="62"/>
      <c r="V31" s="62"/>
      <c r="W31" s="62"/>
    </row>
    <row r="32" spans="1:23" x14ac:dyDescent="0.25">
      <c r="C32" s="132"/>
      <c r="D32" s="107"/>
      <c r="G32" s="62"/>
      <c r="H32" s="49"/>
      <c r="J32" s="62"/>
      <c r="K32" s="62"/>
      <c r="M32" s="133"/>
      <c r="Q32" s="62"/>
      <c r="R32" s="62"/>
      <c r="S32" s="62"/>
      <c r="T32" s="216"/>
      <c r="U32" s="62"/>
      <c r="V32" s="62"/>
      <c r="W32" s="62"/>
    </row>
    <row r="33" spans="3:23" x14ac:dyDescent="0.25">
      <c r="C33" s="132"/>
      <c r="D33" s="107"/>
      <c r="G33" s="62"/>
      <c r="H33" s="49"/>
      <c r="J33" s="62"/>
      <c r="K33" s="62"/>
      <c r="M33" s="133"/>
      <c r="Q33" s="62"/>
      <c r="R33" s="62"/>
      <c r="S33" s="62"/>
      <c r="T33" s="216"/>
      <c r="U33" s="62"/>
      <c r="V33" s="62"/>
      <c r="W33" s="62"/>
    </row>
    <row r="34" spans="3:23" x14ac:dyDescent="0.25">
      <c r="C34" s="132"/>
      <c r="D34" s="107"/>
      <c r="G34" s="62"/>
      <c r="H34" s="49"/>
      <c r="J34" s="62"/>
      <c r="K34" s="62"/>
      <c r="M34" s="133"/>
      <c r="Q34" s="62"/>
      <c r="R34" s="62"/>
      <c r="S34" s="62"/>
      <c r="T34" s="216"/>
      <c r="U34" s="62"/>
      <c r="V34" s="62"/>
      <c r="W34" s="62"/>
    </row>
    <row r="35" spans="3:23" x14ac:dyDescent="0.25">
      <c r="C35" s="132"/>
      <c r="D35" s="107"/>
      <c r="G35" s="62"/>
      <c r="H35" s="49"/>
      <c r="J35" s="62"/>
      <c r="K35" s="62"/>
      <c r="M35" s="133"/>
      <c r="Q35" s="62"/>
      <c r="R35" s="62"/>
      <c r="S35" s="62"/>
      <c r="T35" s="216"/>
      <c r="U35" s="62"/>
      <c r="V35" s="62"/>
      <c r="W35" s="62"/>
    </row>
  </sheetData>
  <conditionalFormatting sqref="U4:U21">
    <cfRule type="dataBar" priority="5542">
      <dataBar>
        <cfvo type="min"/>
        <cfvo type="max"/>
        <color rgb="FF008AEF"/>
      </dataBar>
      <extLst>
        <ext xmlns:x14="http://schemas.microsoft.com/office/spreadsheetml/2009/9/main" uri="{B025F937-C7B1-47D3-B67F-A62EFF666E3E}">
          <x14:id>{59CFE6A9-5CCE-4730-B05F-88A2697B1533}</x14:id>
        </ext>
      </extLst>
    </cfRule>
  </conditionalFormatting>
  <conditionalFormatting sqref="E4:K21">
    <cfRule type="colorScale" priority="5544">
      <colorScale>
        <cfvo type="min"/>
        <cfvo type="max"/>
        <color rgb="FFFCFCFF"/>
        <color rgb="FFF8696B"/>
      </colorScale>
    </cfRule>
  </conditionalFormatting>
  <conditionalFormatting sqref="L4:N21">
    <cfRule type="colorScale" priority="5547">
      <colorScale>
        <cfvo type="min"/>
        <cfvo type="max"/>
        <color rgb="FFFFEF9C"/>
        <color rgb="FF63BE7B"/>
      </colorScale>
    </cfRule>
  </conditionalFormatting>
  <conditionalFormatting sqref="O4:T21">
    <cfRule type="dataBar" priority="1">
      <dataBar>
        <cfvo type="min"/>
        <cfvo type="max"/>
        <color rgb="FF638EC6"/>
      </dataBar>
      <extLst>
        <ext xmlns:x14="http://schemas.microsoft.com/office/spreadsheetml/2009/9/main" uri="{B025F937-C7B1-47D3-B67F-A62EFF666E3E}">
          <x14:id>{59468704-0BD1-4E74-BC36-F8B1BE6B11B2}</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59CFE6A9-5CCE-4730-B05F-88A2697B1533}">
            <x14:dataBar minLength="0" maxLength="100" border="1" negativeBarBorderColorSameAsPositive="0">
              <x14:cfvo type="autoMin"/>
              <x14:cfvo type="autoMax"/>
              <x14:borderColor rgb="FF008AEF"/>
              <x14:negativeFillColor rgb="FFFF0000"/>
              <x14:negativeBorderColor rgb="FFFF0000"/>
              <x14:axisColor rgb="FF000000"/>
            </x14:dataBar>
          </x14:cfRule>
          <xm:sqref>U4:U21</xm:sqref>
        </x14:conditionalFormatting>
        <x14:conditionalFormatting xmlns:xm="http://schemas.microsoft.com/office/excel/2006/main">
          <x14:cfRule type="dataBar" id="{59468704-0BD1-4E74-BC36-F8B1BE6B11B2}">
            <x14:dataBar minLength="0" maxLength="100" border="1" negativeBarBorderColorSameAsPositive="0">
              <x14:cfvo type="autoMin"/>
              <x14:cfvo type="autoMax"/>
              <x14:borderColor rgb="FF638EC6"/>
              <x14:negativeFillColor rgb="FFFF0000"/>
              <x14:negativeBorderColor rgb="FFFF0000"/>
              <x14:axisColor rgb="FF000000"/>
            </x14:dataBar>
          </x14:cfRule>
          <xm:sqref>O4:T21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Resistencia</vt:lpstr>
      <vt:lpstr>CambioENTRENADOR</vt:lpstr>
      <vt:lpstr>Hall_of_Fame</vt:lpstr>
      <vt:lpstr>CA_Calcutator</vt:lpstr>
      <vt:lpstr>PLANNING</vt:lpstr>
      <vt:lpstr>PLANTILLA</vt:lpstr>
      <vt:lpstr>CAPITAN</vt:lpstr>
      <vt:lpstr>Evaluacion Jugadores</vt:lpstr>
      <vt:lpstr>LAT</vt:lpstr>
      <vt:lpstr>Calculador de Sueldo</vt:lpstr>
      <vt:lpstr>Empleados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2019-06-21T10:13:07Z</dcterms:modified>
</cp:coreProperties>
</file>