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C8DF6D1B-9233-4FB7-A062-3A2563981AD9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Tacticas" sheetId="12" r:id="rId5"/>
    <sheet name="Porteria" sheetId="8" r:id="rId6"/>
    <sheet name="Economia" sheetId="5" r:id="rId7"/>
    <sheet name="Ahch-To" sheetId="4" r:id="rId8"/>
    <sheet name="Banderas" sheetId="9" r:id="rId9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26" i="3" l="1"/>
  <c r="AU14" i="3"/>
  <c r="AU27" i="3"/>
  <c r="AU25" i="3"/>
  <c r="AU21" i="3"/>
  <c r="AU13" i="3"/>
  <c r="AU16" i="3"/>
  <c r="AU19" i="3"/>
  <c r="AU17" i="3"/>
  <c r="AU18" i="3"/>
  <c r="AU20" i="3"/>
  <c r="AU12" i="3"/>
  <c r="AU15" i="3"/>
  <c r="AU7" i="3"/>
  <c r="AU5" i="3"/>
  <c r="AU8" i="3"/>
  <c r="AU4" i="3"/>
  <c r="AU6" i="3"/>
  <c r="AU24" i="3"/>
  <c r="AU11" i="3"/>
  <c r="AO11" i="3"/>
  <c r="AO24" i="3" s="1"/>
  <c r="AP11" i="3"/>
  <c r="AP24" i="3" s="1"/>
  <c r="AQ11" i="3"/>
  <c r="AQ24" i="3" s="1"/>
  <c r="AR11" i="3"/>
  <c r="AR24" i="3" s="1"/>
  <c r="AS11" i="3"/>
  <c r="AS24" i="3" s="1"/>
  <c r="AT11" i="3"/>
  <c r="AT24" i="3" s="1"/>
  <c r="AN11" i="3"/>
  <c r="AN24" i="3" s="1"/>
  <c r="Q31" i="12" l="1"/>
  <c r="Q18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28" i="12"/>
  <c r="Q27" i="12"/>
  <c r="Q26" i="12"/>
  <c r="Q25" i="12"/>
  <c r="Q24" i="12"/>
  <c r="Q23" i="12"/>
  <c r="Q22" i="12"/>
  <c r="Q21" i="12"/>
  <c r="Q20" i="12"/>
  <c r="Q1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2" i="12" l="1"/>
  <c r="C2" i="8" l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4" i="8"/>
  <c r="H5" i="8" s="1"/>
  <c r="G2" i="8"/>
  <c r="L32" i="6"/>
  <c r="W5" i="1"/>
  <c r="W4" i="1"/>
  <c r="H19" i="8" l="1"/>
  <c r="H20" i="8" s="1"/>
  <c r="W19" i="3"/>
  <c r="V19" i="3"/>
  <c r="E19" i="3"/>
  <c r="Z13" i="6" l="1"/>
  <c r="AA13" i="6" s="1"/>
  <c r="W6" i="5" l="1"/>
  <c r="AH11" i="3"/>
  <c r="AH24" i="3" s="1"/>
  <c r="AI11" i="3"/>
  <c r="AI24" i="3" s="1"/>
  <c r="AJ11" i="3"/>
  <c r="AJ24" i="3" s="1"/>
  <c r="AK11" i="3"/>
  <c r="AK24" i="3" s="1"/>
  <c r="AL11" i="3"/>
  <c r="AL24" i="3" s="1"/>
  <c r="AG11" i="3"/>
  <c r="AG24" i="3" s="1"/>
  <c r="AE2" i="1" l="1"/>
  <c r="AD2" i="1"/>
  <c r="B21" i="4" l="1"/>
  <c r="B20" i="4"/>
  <c r="B19" i="4"/>
  <c r="B18" i="4"/>
  <c r="U7" i="5" l="1"/>
  <c r="U6" i="5"/>
  <c r="S6" i="5"/>
  <c r="Q6" i="5"/>
  <c r="T11" i="5"/>
  <c r="T6" i="5"/>
  <c r="Z9" i="6"/>
  <c r="AA9" i="6" s="1"/>
  <c r="Z11" i="6"/>
  <c r="AA11" i="6" s="1"/>
  <c r="Z12" i="6"/>
  <c r="AA12" i="6" s="1"/>
  <c r="V4" i="3" l="1"/>
  <c r="V18" i="3"/>
  <c r="Z7" i="6" l="1"/>
  <c r="AA7" i="6" s="1"/>
  <c r="V11" i="3" l="1"/>
  <c r="V24" i="3" s="1"/>
  <c r="V25" i="3"/>
  <c r="V26" i="3"/>
  <c r="V8" i="3"/>
  <c r="V14" i="3"/>
  <c r="V20" i="3"/>
  <c r="V27" i="3"/>
  <c r="V12" i="3"/>
  <c r="V16" i="3"/>
  <c r="V15" i="3"/>
  <c r="V13" i="3"/>
  <c r="V17" i="3"/>
  <c r="V21" i="3"/>
  <c r="V7" i="3"/>
  <c r="V5" i="3"/>
  <c r="V6" i="3"/>
  <c r="E3" i="8" l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8" i="8" s="1"/>
  <c r="E19" i="8" s="1"/>
  <c r="E20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O17" i="6" l="1"/>
  <c r="O20" i="6"/>
  <c r="O19" i="6"/>
  <c r="O14" i="6"/>
  <c r="O9" i="6"/>
  <c r="W25" i="3" l="1"/>
  <c r="W4" i="3"/>
  <c r="W8" i="3"/>
  <c r="W18" i="3"/>
  <c r="W12" i="3"/>
  <c r="W16" i="3"/>
  <c r="W15" i="3"/>
  <c r="W27" i="3"/>
  <c r="W20" i="3"/>
  <c r="W13" i="3"/>
  <c r="W14" i="3"/>
  <c r="W5" i="3"/>
  <c r="W26" i="3"/>
  <c r="W17" i="3"/>
  <c r="W7" i="3"/>
  <c r="W6" i="3"/>
  <c r="R11" i="5" l="1"/>
  <c r="Q11" i="5"/>
  <c r="B26" i="6"/>
  <c r="O12" i="6"/>
  <c r="O11" i="6"/>
  <c r="O7" i="6"/>
  <c r="O18" i="6" l="1"/>
  <c r="O6" i="6"/>
  <c r="O15" i="6"/>
  <c r="O8" i="6"/>
  <c r="O16" i="6"/>
  <c r="O10" i="6"/>
  <c r="O13" i="6"/>
  <c r="Z10" i="6"/>
  <c r="AA10" i="6" s="1"/>
  <c r="Z6" i="6"/>
  <c r="AA6" i="6" s="1"/>
  <c r="Z8" i="6"/>
  <c r="AA8" i="6" s="1"/>
  <c r="R16" i="5" l="1"/>
  <c r="S16" i="5" s="1"/>
  <c r="T16" i="5" s="1"/>
  <c r="U16" i="5" s="1"/>
  <c r="V16" i="5" s="1"/>
  <c r="W16" i="5" s="1"/>
  <c r="X16" i="5" s="1"/>
  <c r="Z16" i="5" s="1"/>
  <c r="AA16" i="5" s="1"/>
  <c r="AB16" i="5" s="1"/>
  <c r="AC16" i="5" s="1"/>
  <c r="AD16" i="5" s="1"/>
  <c r="AE16" i="5" s="1"/>
  <c r="I3" i="8" l="1"/>
  <c r="E14" i="3"/>
  <c r="I4" i="8" l="1"/>
  <c r="P6" i="5"/>
  <c r="I5" i="8" l="1"/>
  <c r="Q18" i="5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C15" i="5"/>
  <c r="AD15" i="5" s="1"/>
  <c r="AE15" i="5" s="1"/>
  <c r="I6" i="8" l="1"/>
  <c r="E6" i="3"/>
  <c r="I7" i="8" l="1"/>
  <c r="N1" i="5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AC7" i="5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I8" i="8" l="1"/>
  <c r="R3" i="5"/>
  <c r="M7" i="5"/>
  <c r="E6" i="5"/>
  <c r="E5" i="5" s="1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15" i="5"/>
  <c r="Q13" i="5"/>
  <c r="R13" i="5" s="1"/>
  <c r="S13" i="5" s="1"/>
  <c r="T13" i="5" s="1"/>
  <c r="U13" i="5" s="1"/>
  <c r="E22" i="5"/>
  <c r="I9" i="8" l="1"/>
  <c r="V13" i="5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Z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I10" i="8" l="1"/>
  <c r="T3" i="5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I11" i="8" l="1"/>
  <c r="V14" i="5"/>
  <c r="I12" i="8" l="1"/>
  <c r="W14" i="5"/>
  <c r="I13" i="8" l="1"/>
  <c r="X14" i="5"/>
  <c r="I14" i="8" l="1"/>
  <c r="Y14" i="5"/>
  <c r="I15" i="8" l="1"/>
  <c r="Z14" i="5"/>
  <c r="I16" i="8" l="1"/>
  <c r="AA14" i="5"/>
  <c r="I17" i="8" l="1"/>
  <c r="AB14" i="5"/>
  <c r="I19" i="8" l="1"/>
  <c r="AC14" i="5"/>
  <c r="I20" i="8" l="1"/>
  <c r="AD14" i="5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1" i="1"/>
  <c r="S21" i="1"/>
  <c r="C16" i="4" l="1"/>
  <c r="D16" i="4" l="1"/>
  <c r="C18" i="4"/>
  <c r="C20" i="4"/>
  <c r="C21" i="4"/>
  <c r="C19" i="4"/>
  <c r="AJ29" i="4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E7" i="3"/>
  <c r="E27" i="3"/>
  <c r="W21" i="3"/>
  <c r="E21" i="3"/>
  <c r="E12" i="3"/>
  <c r="E15" i="3"/>
  <c r="E5" i="3"/>
  <c r="E20" i="3"/>
  <c r="E18" i="3"/>
  <c r="E8" i="3"/>
  <c r="E13" i="3"/>
  <c r="E26" i="3"/>
  <c r="E4" i="3"/>
  <c r="E25" i="3"/>
  <c r="E16" i="3"/>
  <c r="E17" i="3"/>
  <c r="AV11" i="3"/>
  <c r="AV24" i="3" s="1"/>
  <c r="X11" i="3"/>
  <c r="X24" i="3" s="1"/>
  <c r="W11" i="3"/>
  <c r="W24" i="3" s="1"/>
  <c r="AM11" i="3"/>
  <c r="AM24" i="3" s="1"/>
  <c r="F11" i="3"/>
  <c r="F24" i="3" s="1"/>
  <c r="AY20" i="1"/>
  <c r="AK20" i="1"/>
  <c r="AJ20" i="1"/>
  <c r="V20" i="1"/>
  <c r="T20" i="1"/>
  <c r="R20" i="1"/>
  <c r="Q20" i="1"/>
  <c r="N20" i="1"/>
  <c r="L20" i="1"/>
  <c r="K20" i="1"/>
  <c r="J20" i="1"/>
  <c r="AH20" i="1" s="1"/>
  <c r="AQ20" i="1"/>
  <c r="AY19" i="1"/>
  <c r="AK19" i="1"/>
  <c r="AJ19" i="1"/>
  <c r="V19" i="1"/>
  <c r="T19" i="1"/>
  <c r="R19" i="1"/>
  <c r="Q19" i="1"/>
  <c r="N19" i="1"/>
  <c r="L19" i="1"/>
  <c r="K19" i="1"/>
  <c r="J19" i="1"/>
  <c r="AQ19" i="1"/>
  <c r="AY18" i="1"/>
  <c r="AK18" i="1"/>
  <c r="AJ18" i="1"/>
  <c r="V18" i="1"/>
  <c r="T18" i="1"/>
  <c r="R18" i="1"/>
  <c r="Q18" i="1"/>
  <c r="N18" i="1"/>
  <c r="L18" i="1"/>
  <c r="K18" i="1"/>
  <c r="J18" i="1"/>
  <c r="AL18" i="1" s="1"/>
  <c r="AQ18" i="1"/>
  <c r="AY17" i="1"/>
  <c r="AK17" i="1"/>
  <c r="AJ17" i="1"/>
  <c r="V17" i="1"/>
  <c r="T17" i="1"/>
  <c r="R17" i="1"/>
  <c r="Q17" i="1"/>
  <c r="AF17" i="1" s="1"/>
  <c r="N17" i="1"/>
  <c r="L17" i="1"/>
  <c r="K17" i="1"/>
  <c r="J17" i="1"/>
  <c r="AL17" i="1" s="1"/>
  <c r="AQ17" i="1"/>
  <c r="AY16" i="1"/>
  <c r="AK16" i="1"/>
  <c r="AJ16" i="1"/>
  <c r="V16" i="1"/>
  <c r="T16" i="1"/>
  <c r="R16" i="1"/>
  <c r="Q16" i="1"/>
  <c r="N16" i="1"/>
  <c r="L16" i="1"/>
  <c r="K16" i="1"/>
  <c r="J16" i="1"/>
  <c r="AN16" i="1" s="1"/>
  <c r="AQ16" i="1"/>
  <c r="AY15" i="1"/>
  <c r="AK15" i="1"/>
  <c r="AJ15" i="1"/>
  <c r="V15" i="1"/>
  <c r="T15" i="1"/>
  <c r="R15" i="1"/>
  <c r="Q15" i="1"/>
  <c r="AF15" i="1" s="1"/>
  <c r="N15" i="1"/>
  <c r="L15" i="1"/>
  <c r="K15" i="1"/>
  <c r="J15" i="1"/>
  <c r="AI15" i="1" s="1"/>
  <c r="AQ15" i="1"/>
  <c r="AY14" i="1"/>
  <c r="AK14" i="1"/>
  <c r="AJ14" i="1"/>
  <c r="V14" i="1"/>
  <c r="T14" i="1"/>
  <c r="R14" i="1"/>
  <c r="Q14" i="1"/>
  <c r="N14" i="1"/>
  <c r="L14" i="1"/>
  <c r="K14" i="1"/>
  <c r="J14" i="1"/>
  <c r="AQ14" i="1"/>
  <c r="AY13" i="1"/>
  <c r="AK13" i="1"/>
  <c r="AJ13" i="1"/>
  <c r="V13" i="1"/>
  <c r="T13" i="1"/>
  <c r="R13" i="1"/>
  <c r="Q13" i="1"/>
  <c r="N13" i="1"/>
  <c r="L13" i="1"/>
  <c r="K13" i="1"/>
  <c r="J13" i="1"/>
  <c r="AM13" i="1" s="1"/>
  <c r="AQ13" i="1"/>
  <c r="AY12" i="1"/>
  <c r="AK12" i="1"/>
  <c r="AJ12" i="1"/>
  <c r="V12" i="1"/>
  <c r="T12" i="1"/>
  <c r="R12" i="1"/>
  <c r="Q12" i="1"/>
  <c r="N12" i="1"/>
  <c r="L12" i="1"/>
  <c r="K12" i="1"/>
  <c r="J12" i="1"/>
  <c r="AQ12" i="1"/>
  <c r="AY11" i="1"/>
  <c r="AK11" i="1"/>
  <c r="AJ11" i="1"/>
  <c r="V11" i="1"/>
  <c r="T11" i="1"/>
  <c r="R11" i="1"/>
  <c r="Q11" i="1"/>
  <c r="AF11" i="1" s="1"/>
  <c r="N11" i="1"/>
  <c r="L11" i="1"/>
  <c r="K11" i="1"/>
  <c r="J11" i="1"/>
  <c r="AQ11" i="1"/>
  <c r="AY10" i="1"/>
  <c r="AK10" i="1"/>
  <c r="AJ10" i="1"/>
  <c r="V10" i="1"/>
  <c r="T10" i="1"/>
  <c r="R10" i="1"/>
  <c r="Q10" i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AF9" i="1" s="1"/>
  <c r="N9" i="1"/>
  <c r="L9" i="1"/>
  <c r="K9" i="1"/>
  <c r="J9" i="1"/>
  <c r="AL9" i="1" s="1"/>
  <c r="AQ9" i="1"/>
  <c r="AY8" i="1"/>
  <c r="AK8" i="1"/>
  <c r="AJ8" i="1"/>
  <c r="V8" i="1"/>
  <c r="T8" i="1"/>
  <c r="R8" i="1"/>
  <c r="Q8" i="1"/>
  <c r="N8" i="1"/>
  <c r="L8" i="1"/>
  <c r="K8" i="1"/>
  <c r="J8" i="1"/>
  <c r="AQ8" i="1"/>
  <c r="AY7" i="1"/>
  <c r="AK7" i="1"/>
  <c r="AJ7" i="1"/>
  <c r="V7" i="1"/>
  <c r="T7" i="1"/>
  <c r="R7" i="1"/>
  <c r="Q7" i="1"/>
  <c r="N7" i="1"/>
  <c r="L7" i="1"/>
  <c r="K7" i="1"/>
  <c r="J7" i="1"/>
  <c r="AQ7" i="1"/>
  <c r="AY6" i="1"/>
  <c r="AK6" i="1"/>
  <c r="AJ6" i="1"/>
  <c r="V6" i="1"/>
  <c r="T6" i="1"/>
  <c r="R6" i="1"/>
  <c r="Q6" i="1"/>
  <c r="N6" i="1"/>
  <c r="L6" i="1"/>
  <c r="K6" i="1"/>
  <c r="J6" i="1"/>
  <c r="AQ6" i="1"/>
  <c r="AY5" i="1"/>
  <c r="AK5" i="1"/>
  <c r="AJ5" i="1"/>
  <c r="V5" i="1"/>
  <c r="T5" i="1"/>
  <c r="R5" i="1"/>
  <c r="Q5" i="1"/>
  <c r="AF5" i="1" s="1"/>
  <c r="N5" i="1"/>
  <c r="L5" i="1"/>
  <c r="K5" i="1"/>
  <c r="J5" i="1"/>
  <c r="AN5" i="1" s="1"/>
  <c r="AQ5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C25" i="3" l="1"/>
  <c r="C16" i="3"/>
  <c r="C19" i="3"/>
  <c r="F4" i="1"/>
  <c r="F5" i="1"/>
  <c r="AG5" i="1"/>
  <c r="AG17" i="1"/>
  <c r="AG15" i="1"/>
  <c r="AG6" i="1"/>
  <c r="AF6" i="1"/>
  <c r="AF20" i="1"/>
  <c r="AG20" i="1"/>
  <c r="AF19" i="1"/>
  <c r="AG19" i="1"/>
  <c r="AF18" i="1"/>
  <c r="AG18" i="1"/>
  <c r="AF14" i="1"/>
  <c r="AG14" i="1"/>
  <c r="AF10" i="1"/>
  <c r="AG10" i="1"/>
  <c r="AF13" i="1"/>
  <c r="AG13" i="1"/>
  <c r="AH12" i="1"/>
  <c r="AG12" i="1"/>
  <c r="AF12" i="1"/>
  <c r="AG11" i="1"/>
  <c r="AF16" i="1"/>
  <c r="AG16" i="1"/>
  <c r="AG9" i="1"/>
  <c r="AN7" i="1"/>
  <c r="AF7" i="1"/>
  <c r="AG7" i="1"/>
  <c r="C12" i="3"/>
  <c r="E16" i="4"/>
  <c r="D20" i="4"/>
  <c r="D19" i="4"/>
  <c r="D21" i="4"/>
  <c r="D18" i="4"/>
  <c r="C15" i="3"/>
  <c r="C4" i="3"/>
  <c r="AN8" i="1"/>
  <c r="AG8" i="1"/>
  <c r="AF8" i="1"/>
  <c r="AF4" i="1"/>
  <c r="AG4" i="1"/>
  <c r="C26" i="3"/>
  <c r="B12" i="4"/>
  <c r="C13" i="3"/>
  <c r="C21" i="3"/>
  <c r="C18" i="3"/>
  <c r="C5" i="3"/>
  <c r="C8" i="3"/>
  <c r="C27" i="3"/>
  <c r="F7" i="1"/>
  <c r="C7" i="1" s="1"/>
  <c r="F12" i="1"/>
  <c r="C12" i="1" s="1"/>
  <c r="F17" i="1"/>
  <c r="C17" i="1" s="1"/>
  <c r="F8" i="1"/>
  <c r="C8" i="1" s="1"/>
  <c r="C14" i="3"/>
  <c r="C7" i="3"/>
  <c r="F11" i="1"/>
  <c r="C11" i="1" s="1"/>
  <c r="F16" i="1"/>
  <c r="C16" i="1" s="1"/>
  <c r="F10" i="1"/>
  <c r="C10" i="1" s="1"/>
  <c r="F9" i="1"/>
  <c r="C9" i="1" s="1"/>
  <c r="Q2" i="1"/>
  <c r="C6" i="3"/>
  <c r="T21" i="1"/>
  <c r="J8" i="4"/>
  <c r="K8" i="4"/>
  <c r="I12" i="4"/>
  <c r="R2" i="1"/>
  <c r="B17" i="4"/>
  <c r="I10" i="4"/>
  <c r="C9" i="4"/>
  <c r="AN15" i="1"/>
  <c r="AM10" i="1"/>
  <c r="AM4" i="1"/>
  <c r="V21" i="1"/>
  <c r="AM16" i="1"/>
  <c r="AM6" i="1"/>
  <c r="AM14" i="1"/>
  <c r="AM18" i="1"/>
  <c r="F13" i="1"/>
  <c r="C13" i="1" s="1"/>
  <c r="F20" i="1"/>
  <c r="C20" i="1" s="1"/>
  <c r="AM8" i="1"/>
  <c r="AH7" i="1"/>
  <c r="AI6" i="1"/>
  <c r="AI10" i="1"/>
  <c r="AL15" i="1"/>
  <c r="AI14" i="1"/>
  <c r="AI18" i="1"/>
  <c r="AL13" i="1"/>
  <c r="AI12" i="1"/>
  <c r="AI8" i="1"/>
  <c r="AM12" i="1"/>
  <c r="AH9" i="1"/>
  <c r="AN13" i="1"/>
  <c r="AI20" i="1"/>
  <c r="AI4" i="1"/>
  <c r="AI16" i="1"/>
  <c r="AM20" i="1"/>
  <c r="F6" i="1"/>
  <c r="C6" i="1" s="1"/>
  <c r="C17" i="3"/>
  <c r="C20" i="3"/>
  <c r="A31" i="3"/>
  <c r="AL7" i="1"/>
  <c r="AM5" i="1"/>
  <c r="AL5" i="1"/>
  <c r="AI5" i="1"/>
  <c r="AH5" i="1"/>
  <c r="AN19" i="1"/>
  <c r="AM19" i="1"/>
  <c r="AL19" i="1"/>
  <c r="AI19" i="1"/>
  <c r="AH19" i="1"/>
  <c r="AM11" i="1"/>
  <c r="AL11" i="1"/>
  <c r="AI11" i="1"/>
  <c r="AN11" i="1"/>
  <c r="AI7" i="1"/>
  <c r="AM7" i="1"/>
  <c r="AN9" i="1"/>
  <c r="AM9" i="1"/>
  <c r="AI9" i="1"/>
  <c r="AH11" i="1"/>
  <c r="AN17" i="1"/>
  <c r="AM17" i="1"/>
  <c r="AI17" i="1"/>
  <c r="AH17" i="1"/>
  <c r="F14" i="1"/>
  <c r="C14" i="1" s="1"/>
  <c r="F15" i="1"/>
  <c r="C15" i="1" s="1"/>
  <c r="F18" i="1"/>
  <c r="C18" i="1" s="1"/>
  <c r="F19" i="1"/>
  <c r="C19" i="1" s="1"/>
  <c r="B13" i="4"/>
  <c r="B10" i="4" s="1"/>
  <c r="AN4" i="1"/>
  <c r="AH6" i="1"/>
  <c r="AN10" i="1"/>
  <c r="AL12" i="1"/>
  <c r="AH14" i="1"/>
  <c r="AM15" i="1"/>
  <c r="AN18" i="1"/>
  <c r="AL20" i="1"/>
  <c r="AL6" i="1"/>
  <c r="AH8" i="1"/>
  <c r="AN12" i="1"/>
  <c r="AL14" i="1"/>
  <c r="AH16" i="1"/>
  <c r="AN20" i="1"/>
  <c r="AH13" i="1"/>
  <c r="AH4" i="1"/>
  <c r="AN6" i="1"/>
  <c r="AL8" i="1"/>
  <c r="AH10" i="1"/>
  <c r="AI13" i="1"/>
  <c r="AN14" i="1"/>
  <c r="AL16" i="1"/>
  <c r="AH18" i="1"/>
  <c r="B30" i="4"/>
  <c r="C30" i="4" s="1"/>
  <c r="AH15" i="1"/>
  <c r="C24" i="4"/>
  <c r="C25" i="4"/>
  <c r="B22" i="4"/>
  <c r="B26" i="4" s="1"/>
  <c r="C10" i="4"/>
  <c r="C11" i="4"/>
  <c r="I13" i="4"/>
  <c r="F16" i="4" l="1"/>
  <c r="E19" i="4"/>
  <c r="E18" i="4"/>
  <c r="E20" i="4"/>
  <c r="E21" i="4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C5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G16" i="4" l="1"/>
  <c r="F19" i="4"/>
  <c r="F21" i="4"/>
  <c r="F18" i="4"/>
  <c r="F20" i="4"/>
  <c r="C32" i="4"/>
  <c r="C33" i="4" s="1"/>
  <c r="F17" i="8"/>
  <c r="F18" i="8" s="1"/>
  <c r="F19" i="8" s="1"/>
  <c r="F20" i="8" s="1"/>
  <c r="D17" i="4"/>
  <c r="D22" i="4"/>
  <c r="D26" i="4" s="1"/>
  <c r="D31" i="4" s="1"/>
  <c r="E31" i="4"/>
  <c r="F30" i="4"/>
  <c r="G30" i="4" s="1"/>
  <c r="E25" i="4"/>
  <c r="E23" i="4"/>
  <c r="E24" i="4"/>
  <c r="D32" i="4" l="1"/>
  <c r="H16" i="4"/>
  <c r="G19" i="4"/>
  <c r="G21" i="4"/>
  <c r="G20" i="4"/>
  <c r="G18" i="4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I16" i="4" l="1"/>
  <c r="H19" i="4"/>
  <c r="H21" i="4"/>
  <c r="H20" i="4"/>
  <c r="H18" i="4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J16" i="4" l="1"/>
  <c r="I18" i="4"/>
  <c r="I19" i="4"/>
  <c r="I21" i="4"/>
  <c r="I20" i="4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K16" i="4" l="1"/>
  <c r="J19" i="4"/>
  <c r="J21" i="4"/>
  <c r="J18" i="4"/>
  <c r="J20" i="4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L16" i="4" l="1"/>
  <c r="K18" i="4"/>
  <c r="K20" i="4"/>
  <c r="K19" i="4"/>
  <c r="K21" i="4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M16" i="4" l="1"/>
  <c r="L18" i="4"/>
  <c r="L20" i="4"/>
  <c r="L19" i="4"/>
  <c r="L21" i="4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N16" i="4" l="1"/>
  <c r="M21" i="4"/>
  <c r="M18" i="4"/>
  <c r="M20" i="4"/>
  <c r="M19" i="4"/>
  <c r="J3" i="8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6" i="4" l="1"/>
  <c r="N21" i="4"/>
  <c r="N18" i="4"/>
  <c r="N20" i="4"/>
  <c r="N19" i="4"/>
  <c r="J4" i="8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P16" i="4" l="1"/>
  <c r="O19" i="4"/>
  <c r="O21" i="4"/>
  <c r="O18" i="4"/>
  <c r="O20" i="4"/>
  <c r="J5" i="8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Q16" i="4" l="1"/>
  <c r="P19" i="4"/>
  <c r="P21" i="4"/>
  <c r="P18" i="4"/>
  <c r="P20" i="4"/>
  <c r="J6" i="8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R16" i="4" l="1"/>
  <c r="Q19" i="4"/>
  <c r="Q21" i="4"/>
  <c r="Q18" i="4"/>
  <c r="Q20" i="4"/>
  <c r="J7" i="8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S16" i="4" l="1"/>
  <c r="R18" i="4"/>
  <c r="R20" i="4"/>
  <c r="R19" i="4"/>
  <c r="R21" i="4"/>
  <c r="J8" i="8"/>
  <c r="O33" i="4"/>
  <c r="Q24" i="4"/>
  <c r="Q23" i="4"/>
  <c r="Q25" i="4"/>
  <c r="AC31" i="4"/>
  <c r="AD30" i="4"/>
  <c r="P22" i="4"/>
  <c r="P26" i="4" s="1"/>
  <c r="P31" i="4" s="1"/>
  <c r="P32" i="4" s="1"/>
  <c r="P17" i="4"/>
  <c r="T16" i="4" l="1"/>
  <c r="S18" i="4"/>
  <c r="S20" i="4"/>
  <c r="S21" i="4"/>
  <c r="S19" i="4"/>
  <c r="J9" i="8"/>
  <c r="R24" i="4"/>
  <c r="R28" i="4" s="1"/>
  <c r="R23" i="4"/>
  <c r="R27" i="4" s="1"/>
  <c r="R25" i="4"/>
  <c r="R29" i="4" s="1"/>
  <c r="Q22" i="4"/>
  <c r="Q17" i="4"/>
  <c r="Q32" i="4"/>
  <c r="P33" i="4"/>
  <c r="U16" i="4" l="1"/>
  <c r="T18" i="4"/>
  <c r="T20" i="4"/>
  <c r="T19" i="4"/>
  <c r="T21" i="4"/>
  <c r="J10" i="8"/>
  <c r="Q33" i="4"/>
  <c r="R17" i="4"/>
  <c r="R22" i="4"/>
  <c r="R26" i="4" s="1"/>
  <c r="R31" i="4" s="1"/>
  <c r="R32" i="4" s="1"/>
  <c r="S24" i="4"/>
  <c r="S25" i="4"/>
  <c r="S23" i="4"/>
  <c r="V16" i="4" l="1"/>
  <c r="U18" i="4"/>
  <c r="U20" i="4"/>
  <c r="U19" i="4"/>
  <c r="U21" i="4"/>
  <c r="J11" i="8"/>
  <c r="S32" i="4"/>
  <c r="R33" i="4"/>
  <c r="S22" i="4"/>
  <c r="S17" i="4"/>
  <c r="T25" i="4"/>
  <c r="T29" i="4" s="1"/>
  <c r="T24" i="4"/>
  <c r="T28" i="4" s="1"/>
  <c r="T23" i="4"/>
  <c r="T27" i="4" s="1"/>
  <c r="W16" i="4" l="1"/>
  <c r="V19" i="4"/>
  <c r="V18" i="4"/>
  <c r="V20" i="4"/>
  <c r="V21" i="4"/>
  <c r="J12" i="8"/>
  <c r="U25" i="4"/>
  <c r="U23" i="4"/>
  <c r="U24" i="4"/>
  <c r="T17" i="4"/>
  <c r="T22" i="4"/>
  <c r="T26" i="4" s="1"/>
  <c r="T31" i="4" s="1"/>
  <c r="T32" i="4" s="1"/>
  <c r="S33" i="4"/>
  <c r="X16" i="4" l="1"/>
  <c r="W19" i="4"/>
  <c r="W21" i="4"/>
  <c r="W18" i="4"/>
  <c r="W20" i="4"/>
  <c r="J13" i="8"/>
  <c r="T33" i="4"/>
  <c r="U32" i="4"/>
  <c r="V25" i="4"/>
  <c r="V29" i="4" s="1"/>
  <c r="V23" i="4"/>
  <c r="V27" i="4" s="1"/>
  <c r="V24" i="4"/>
  <c r="V28" i="4" s="1"/>
  <c r="U17" i="4"/>
  <c r="U22" i="4"/>
  <c r="Y16" i="4" l="1"/>
  <c r="X19" i="4"/>
  <c r="X21" i="4"/>
  <c r="X20" i="4"/>
  <c r="X18" i="4"/>
  <c r="J14" i="8"/>
  <c r="V22" i="4"/>
  <c r="V26" i="4" s="1"/>
  <c r="V31" i="4" s="1"/>
  <c r="V32" i="4" s="1"/>
  <c r="V17" i="4"/>
  <c r="W23" i="4"/>
  <c r="W25" i="4"/>
  <c r="W24" i="4"/>
  <c r="U33" i="4"/>
  <c r="Z16" i="4" l="1"/>
  <c r="Y20" i="4"/>
  <c r="Y19" i="4"/>
  <c r="Y21" i="4"/>
  <c r="Y18" i="4"/>
  <c r="J15" i="8"/>
  <c r="W22" i="4"/>
  <c r="W17" i="4"/>
  <c r="X23" i="4"/>
  <c r="X27" i="4" s="1"/>
  <c r="X24" i="4"/>
  <c r="X28" i="4" s="1"/>
  <c r="X25" i="4"/>
  <c r="X29" i="4" s="1"/>
  <c r="V33" i="4"/>
  <c r="W32" i="4"/>
  <c r="AA16" i="4" l="1"/>
  <c r="Z18" i="4"/>
  <c r="Z19" i="4"/>
  <c r="Z21" i="4"/>
  <c r="Z20" i="4"/>
  <c r="J16" i="8"/>
  <c r="Y24" i="4"/>
  <c r="Y23" i="4"/>
  <c r="Y25" i="4"/>
  <c r="X22" i="4"/>
  <c r="X26" i="4" s="1"/>
  <c r="X31" i="4" s="1"/>
  <c r="X32" i="4" s="1"/>
  <c r="X17" i="4"/>
  <c r="W33" i="4"/>
  <c r="AB16" i="4" l="1"/>
  <c r="AA18" i="4"/>
  <c r="AA20" i="4"/>
  <c r="AA19" i="4"/>
  <c r="AA21" i="4"/>
  <c r="J17" i="8"/>
  <c r="Y32" i="4"/>
  <c r="X33" i="4"/>
  <c r="Z24" i="4"/>
  <c r="Z28" i="4" s="1"/>
  <c r="Z23" i="4"/>
  <c r="Z27" i="4" s="1"/>
  <c r="Z25" i="4"/>
  <c r="Z29" i="4" s="1"/>
  <c r="Y22" i="4"/>
  <c r="Y17" i="4"/>
  <c r="AC16" i="4" l="1"/>
  <c r="AB18" i="4"/>
  <c r="AB20" i="4"/>
  <c r="AB19" i="4"/>
  <c r="AB21" i="4"/>
  <c r="J18" i="8"/>
  <c r="AA24" i="4"/>
  <c r="AA25" i="4"/>
  <c r="AA23" i="4"/>
  <c r="Z17" i="4"/>
  <c r="Z22" i="4"/>
  <c r="Z26" i="4" s="1"/>
  <c r="Z31" i="4" s="1"/>
  <c r="Z32" i="4" s="1"/>
  <c r="Y33" i="4"/>
  <c r="AD16" i="4" l="1"/>
  <c r="AC19" i="4"/>
  <c r="AC21" i="4"/>
  <c r="AC18" i="4"/>
  <c r="AC20" i="4"/>
  <c r="J19" i="8"/>
  <c r="AA32" i="4"/>
  <c r="Z33" i="4"/>
  <c r="AB25" i="4"/>
  <c r="AB29" i="4" s="1"/>
  <c r="AB24" i="4"/>
  <c r="AB28" i="4" s="1"/>
  <c r="AB23" i="4"/>
  <c r="AB27" i="4" s="1"/>
  <c r="AA22" i="4"/>
  <c r="AA17" i="4"/>
  <c r="AD19" i="4" l="1"/>
  <c r="AD21" i="4"/>
  <c r="AD18" i="4"/>
  <c r="AD20" i="4"/>
  <c r="J20" i="8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8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9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<sst xmlns="http://schemas.openxmlformats.org/spreadsheetml/2006/main" count="792" uniqueCount="365">
  <si>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</si>
  <si>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</si>
  <si>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</si>
  <si>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</si>
  <si>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</si>
  <si>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</si>
  <si>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</si>
  <si>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</si>
  <si>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</si>
  <si>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</si>
  <si>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</si>
  <si>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</si>
  <si>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</si>
  <si>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</si>
  <si>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</si>
  <si>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</si>
  <si>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</si>
  <si>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</si>
  <si>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</si>
  <si>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</si>
  <si>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</si>
  <si>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</si>
  <si>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</si>
  <si>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</si>
  <si>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</si>
  <si>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</si>
  <si>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</si>
  <si>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</si>
  <si>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</si>
  <si>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</si>
  <si>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</si>
  <si>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</si>
  <si>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</si>
  <si>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</si>
  <si>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</si>
  <si>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</si>
  <si>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</si>
  <si>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</si>
  <si>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</si>
  <si>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</si>
  <si>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</si>
  <si>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</si>
  <si>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</si>
  <si>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</si>
  <si>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</si>
  <si>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</si>
  <si>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</si>
  <si>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</si>
  <si>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</si>
  <si>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</si>
  <si>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</si>
  <si>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</si>
  <si>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</si>
  <si>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</si>
  <si>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</si>
  <si>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</si>
  <si>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</si>
  <si>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</si>
  <si>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</si>
  <si>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</si>
  <si>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</si>
  <si>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</si>
  <si>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</si>
  <si>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</si>
  <si>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</si>
  <si>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</si>
  <si>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</si>
  <si>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</si>
  <si>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</si>
  <si>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</si>
  <si>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</si>
  <si>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</si>
  <si>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</si>
  <si>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</si>
  <si>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</si>
  <si>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</si>
  <si>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</si>
  <si>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</si>
  <si>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</si>
  <si>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</si>
  <si>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</si>
  <si>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</si>
  <si>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</si>
  <si>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</si>
  <si>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</si>
  <si>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</si>
  <si>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</si>
  <si>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</si>
  <si>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</si>
  <si>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</si>
  <si>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</si>
  <si>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</si>
  <si>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</si>
  <si>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</si>
  <si>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</si>
  <si>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</si>
  <si>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</si>
  <si>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</si>
  <si>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</si>
  <si>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</si>
  <si>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</si>
  <si>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</si>
  <si>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</si>
  <si>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</si>
  <si>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</si>
  <si>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</si>
  <si>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</si>
  <si>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</si>
  <si>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</si>
  <si>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</si>
  <si>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</si>
  <si>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</si>
  <si>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</si>
  <si>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</si>
  <si>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</si>
  <si>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</si>
  <si>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</si>
  <si>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</si>
  <si>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</si>
  <si>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</si>
  <si>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</si>
  <si>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</si>
  <si>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</si>
  <si>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</si>
  <si>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</si>
  <si>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</si>
  <si>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</si>
  <si>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</si>
  <si>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</si>
  <si>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</si>
  <si>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</si>
  <si>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</si>
  <si>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</si>
  <si>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</si>
  <si>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</si>
  <si>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</si>
  <si>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</si>
  <si>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</si>
  <si>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</si>
  <si>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</si>
  <si>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</si>
  <si>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</si>
  <si>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</si>
  <si>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</si>
  <si>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</si>
  <si>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</si>
  <si>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</si>
  <si>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</si>
  <si>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</si>
  <si>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</si>
  <si>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</si>
  <si>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</si>
  <si>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</si>
  <si>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</si>
  <si>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</si>
  <si>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</si>
  <si>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</si>
  <si>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</si>
  <si>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</si>
  <si>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</si>
  <si>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</si>
  <si>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</si>
  <si>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</si>
  <si>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</si>
  <si>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</si>
  <si>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</si>
  <si>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</si>
  <si>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</si>
  <si>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</si>
  <si>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</si>
  <si>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</si>
  <si>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</si>
  <si>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</si>
  <si>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</si>
  <si>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</si>
  <si>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FF-3</t>
  </si>
  <si>
    <t>M-B. Ortega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</si>
  <si>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</si>
  <si>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</si>
  <si>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</si>
  <si>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</si>
  <si>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</si>
  <si>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</si>
  <si>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</si>
  <si>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</si>
  <si>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</si>
  <si>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</si>
  <si>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</si>
  <si>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</si>
  <si>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</si>
  <si>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</si>
  <si>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</si>
  <si>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</si>
  <si>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</si>
  <si>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</si>
  <si>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</si>
  <si>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</si>
  <si>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</si>
  <si>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</si>
  <si>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</si>
  <si>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</si>
  <si>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</si>
  <si>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</si>
  <si>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</si>
  <si>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</si>
  <si>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</si>
  <si>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</si>
  <si>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</si>
  <si>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</si>
  <si>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</si>
  <si>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</si>
  <si>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</si>
  <si>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</si>
  <si>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</si>
  <si>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</si>
  <si>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</si>
  <si>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</si>
  <si>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</si>
  <si>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</si>
  <si>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</si>
  <si>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</si>
  <si>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</si>
  <si>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</si>
  <si>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</si>
  <si>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</si>
  <si>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</si>
  <si>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</si>
  <si>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</si>
  <si>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</si>
  <si>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</si>
  <si>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</si>
  <si>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</si>
  <si>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</si>
  <si>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</si>
  <si>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</si>
  <si>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</si>
  <si>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</si>
  <si>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</si>
  <si>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</si>
  <si>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</si>
  <si>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</si>
  <si>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</si>
  <si>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</si>
  <si>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</si>
  <si>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</si>
  <si>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</si>
  <si>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</si>
  <si>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</si>
  <si>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</si>
  <si>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</si>
  <si>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</si>
  <si>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</si>
  <si>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</si>
  <si>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</si>
  <si>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</si>
  <si>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</si>
  <si>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</si>
  <si>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</si>
  <si>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</si>
  <si>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</si>
  <si>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</si>
  <si>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</si>
  <si>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</si>
  <si>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</si>
  <si>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</si>
  <si>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</si>
  <si>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</si>
  <si>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</si>
  <si>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</si>
  <si>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</si>
  <si>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</si>
  <si>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</si>
  <si>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</si>
  <si>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</si>
  <si>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</si>
  <si>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</si>
  <si>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</si>
  <si>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</si>
  <si>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</si>
  <si>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</si>
  <si>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</si>
  <si>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</si>
  <si>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</si>
  <si>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</si>
  <si>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</si>
  <si>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</si>
  <si>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</si>
  <si>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</si>
  <si>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</si>
  <si>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</si>
  <si>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</si>
  <si>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</si>
  <si>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</si>
  <si>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</si>
  <si>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</si>
  <si>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</si>
  <si>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</si>
  <si>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</si>
  <si>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</si>
  <si>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</si>
  <si>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</si>
  <si>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</si>
  <si>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</si>
  <si>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</si>
  <si>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</si>
  <si>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</si>
  <si>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</si>
  <si>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</si>
  <si>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</si>
  <si>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</si>
  <si>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</si>
  <si>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</si>
  <si>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</si>
  <si>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</si>
  <si>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</si>
  <si>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</si>
  <si>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</si>
  <si>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</si>
  <si>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</si>
  <si>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Insuf</t>
  </si>
  <si>
    <t>FF(R3)</t>
  </si>
  <si>
    <t>FF+2S</t>
  </si>
  <si>
    <t>FC+6S</t>
  </si>
  <si>
    <t>Hab</t>
  </si>
  <si>
    <t>J-L. Maillochon</t>
  </si>
  <si>
    <t>T. Orozco</t>
  </si>
  <si>
    <t>Acep</t>
  </si>
  <si>
    <t>R. Hamelin</t>
  </si>
  <si>
    <t>Més vegades millor jugador</t>
  </si>
  <si>
    <t>23(79)</t>
  </si>
  <si>
    <t>FF+5S</t>
  </si>
  <si>
    <t>Pmn</t>
  </si>
  <si>
    <t>PMx</t>
  </si>
  <si>
    <t>DD</t>
  </si>
  <si>
    <t>EM</t>
  </si>
  <si>
    <t>DL</t>
  </si>
  <si>
    <t>23(87)</t>
  </si>
  <si>
    <t>J. Rius</t>
  </si>
  <si>
    <t>FC-1S</t>
  </si>
  <si>
    <t>¿pot?</t>
  </si>
  <si>
    <t>23(27)</t>
  </si>
  <si>
    <t>R. Camarero</t>
  </si>
  <si>
    <t>Arsequell &gt; Camarero &gt; Lluch &gt; Aloy</t>
  </si>
  <si>
    <t>Luke JC - Sahuquillo C.F.</t>
  </si>
  <si>
    <t>185 hts</t>
  </si>
  <si>
    <t>L. Leman</t>
  </si>
  <si>
    <t>Aloy  &gt; Arsequell &gt; Velayo</t>
  </si>
  <si>
    <t>D. Gau</t>
  </si>
  <si>
    <t>Entrenar a "Eusebi Tarrida" fins a Clase Mundial Porteria.</t>
  </si>
  <si>
    <t>23(25)</t>
  </si>
  <si>
    <t>E_Po</t>
  </si>
  <si>
    <t>E_De</t>
  </si>
  <si>
    <t>E_Cr</t>
  </si>
  <si>
    <t>E_Ex</t>
  </si>
  <si>
    <t>E_Ps</t>
  </si>
  <si>
    <t>E_An</t>
  </si>
  <si>
    <t>E_PA</t>
  </si>
  <si>
    <t>E_TOTAL</t>
  </si>
  <si>
    <t>#2</t>
  </si>
  <si>
    <t>352 Normal</t>
  </si>
  <si>
    <t>253 AIM</t>
  </si>
  <si>
    <t>532 CA</t>
  </si>
  <si>
    <t>INN</t>
  </si>
  <si>
    <t>DC/INN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</si>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</sst>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b/>
      <sz val="8"/>
      <name val="Verdana"/>
      <family val="2"/>
    </font>
  </fonts>
  <fills count="59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36F2B"/>
      </patternFill>
    </fill>
    <fill>
      <patternFill patternType="solid">
        <fgColor theme="5" tint="0.39997558519241921"/>
        <bgColor rgb="FFF1A78B"/>
      </patternFill>
    </fill>
    <fill>
      <patternFill patternType="solid">
        <fgColor theme="2" tint="-0.249977111117893"/>
        <bgColor rgb="FF000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rgb="FF000080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501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6" borderId="1" xfId="0" applyFont="1" applyFill="1" applyBorder="1" applyAlignment="1">
      <alignment horizontal="center"/>
    </xf>
    <xf numFmtId="167" fontId="4" fillId="16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6" borderId="1" xfId="0" applyFont="1" applyFill="1" applyBorder="1" applyAlignment="1">
      <alignment horizontal="right"/>
    </xf>
    <xf numFmtId="173" fontId="4" fillId="16" borderId="1" xfId="2" applyNumberFormat="1" applyFont="1" applyFill="1" applyBorder="1" applyAlignment="1" applyProtection="1">
      <alignment horizontal="center" wrapText="1"/>
    </xf>
    <xf numFmtId="166" fontId="4" fillId="16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7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left"/>
    </xf>
    <xf numFmtId="0" fontId="30" fillId="17" borderId="0" xfId="4" applyFont="1" applyFill="1" applyBorder="1" applyAlignment="1">
      <alignment horizontal="center"/>
    </xf>
    <xf numFmtId="0" fontId="6" fillId="17" borderId="0" xfId="4" applyFont="1" applyFill="1" applyBorder="1" applyAlignment="1">
      <alignment horizontal="left"/>
    </xf>
    <xf numFmtId="0" fontId="6" fillId="17" borderId="0" xfId="4" applyFont="1" applyFill="1" applyBorder="1" applyAlignment="1">
      <alignment horizontal="center"/>
    </xf>
    <xf numFmtId="0" fontId="32" fillId="17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37" fillId="0" borderId="0" xfId="4"/>
    <xf numFmtId="1" fontId="37" fillId="0" borderId="0" xfId="4" applyNumberFormat="1"/>
    <xf numFmtId="0" fontId="33" fillId="0" borderId="0" xfId="4" applyFont="1" applyAlignment="1">
      <alignment horizontal="center"/>
    </xf>
    <xf numFmtId="14" fontId="4" fillId="0" borderId="1" xfId="4" applyNumberFormat="1" applyFont="1" applyBorder="1"/>
    <xf numFmtId="14" fontId="37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2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3" borderId="0" xfId="0" applyFont="1" applyFill="1" applyAlignment="1">
      <alignment horizontal="center" wrapText="1"/>
    </xf>
    <xf numFmtId="0" fontId="35" fillId="23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3" borderId="3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4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5" borderId="0" xfId="0" applyFont="1" applyFill="1" applyAlignment="1">
      <alignment horizontal="center"/>
    </xf>
    <xf numFmtId="0" fontId="0" fillId="21" borderId="0" xfId="0" applyFont="1" applyFill="1"/>
    <xf numFmtId="1" fontId="0" fillId="21" borderId="0" xfId="0" applyNumberFormat="1" applyFill="1"/>
    <xf numFmtId="0" fontId="0" fillId="24" borderId="0" xfId="0" applyFont="1" applyFill="1" applyAlignment="1">
      <alignment horizontal="right"/>
    </xf>
    <xf numFmtId="1" fontId="0" fillId="24" borderId="0" xfId="0" applyNumberFormat="1" applyFill="1"/>
    <xf numFmtId="0" fontId="0" fillId="18" borderId="0" xfId="0" applyFont="1" applyFill="1" applyBorder="1" applyAlignment="1">
      <alignment horizontal="right" wrapText="1"/>
    </xf>
    <xf numFmtId="171" fontId="0" fillId="18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1" borderId="0" xfId="0" applyFont="1" applyFill="1" applyBorder="1" applyAlignment="1">
      <alignment horizontal="right" wrapText="1"/>
    </xf>
    <xf numFmtId="171" fontId="23" fillId="21" borderId="0" xfId="0" applyNumberFormat="1" applyFont="1" applyFill="1"/>
    <xf numFmtId="0" fontId="9" fillId="0" borderId="0" xfId="0" applyFont="1" applyBorder="1"/>
    <xf numFmtId="0" fontId="23" fillId="21" borderId="0" xfId="0" applyFont="1" applyFill="1" applyBorder="1" applyAlignment="1">
      <alignment horizontal="right" wrapText="1"/>
    </xf>
    <xf numFmtId="0" fontId="0" fillId="26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6" borderId="1" xfId="4" applyFont="1" applyFill="1" applyBorder="1" applyAlignment="1">
      <alignment horizontal="right"/>
    </xf>
    <xf numFmtId="0" fontId="39" fillId="29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/>
    <xf numFmtId="0" fontId="0" fillId="34" borderId="12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174" fontId="0" fillId="35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8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7" borderId="12" xfId="0" applyFill="1" applyBorder="1" applyAlignment="1">
      <alignment horizontal="right"/>
    </xf>
    <xf numFmtId="174" fontId="0" fillId="27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39" borderId="1" xfId="0" applyNumberFormat="1" applyFill="1" applyBorder="1"/>
    <xf numFmtId="169" fontId="0" fillId="39" borderId="1" xfId="0" applyNumberFormat="1" applyFont="1" applyFill="1" applyBorder="1"/>
    <xf numFmtId="169" fontId="0" fillId="39" borderId="1" xfId="0" applyNumberFormat="1" applyFill="1" applyBorder="1" applyAlignment="1">
      <alignment horizontal="center"/>
    </xf>
    <xf numFmtId="0" fontId="4" fillId="39" borderId="1" xfId="0" applyFont="1" applyFill="1" applyBorder="1" applyAlignment="1">
      <alignment wrapText="1"/>
    </xf>
    <xf numFmtId="0" fontId="4" fillId="40" borderId="1" xfId="0" applyFont="1" applyFill="1" applyBorder="1" applyAlignment="1">
      <alignment wrapText="1"/>
    </xf>
    <xf numFmtId="0" fontId="4" fillId="40" borderId="1" xfId="0" applyFont="1" applyFill="1" applyBorder="1"/>
    <xf numFmtId="0" fontId="27" fillId="40" borderId="1" xfId="0" applyFont="1" applyFill="1" applyBorder="1" applyAlignment="1">
      <alignment wrapText="1"/>
    </xf>
    <xf numFmtId="0" fontId="27" fillId="40" borderId="1" xfId="0" applyFont="1" applyFill="1" applyBorder="1"/>
    <xf numFmtId="169" fontId="0" fillId="40" borderId="1" xfId="0" applyNumberFormat="1" applyFill="1" applyBorder="1"/>
    <xf numFmtId="169" fontId="27" fillId="40" borderId="1" xfId="0" applyNumberFormat="1" applyFont="1" applyFill="1" applyBorder="1"/>
    <xf numFmtId="14" fontId="23" fillId="36" borderId="0" xfId="0" applyNumberFormat="1" applyFont="1" applyFill="1" applyAlignment="1">
      <alignment horizontal="center"/>
    </xf>
    <xf numFmtId="0" fontId="4" fillId="41" borderId="1" xfId="0" applyFont="1" applyFill="1" applyBorder="1" applyAlignment="1">
      <alignment horizontal="center" wrapText="1"/>
    </xf>
    <xf numFmtId="1" fontId="4" fillId="41" borderId="1" xfId="0" applyNumberFormat="1" applyFont="1" applyFill="1" applyBorder="1" applyAlignment="1">
      <alignment horizontal="center" wrapText="1"/>
    </xf>
    <xf numFmtId="0" fontId="24" fillId="42" borderId="4" xfId="0" applyFont="1" applyFill="1" applyBorder="1"/>
    <xf numFmtId="169" fontId="24" fillId="42" borderId="4" xfId="0" applyNumberFormat="1" applyFont="1" applyFill="1" applyBorder="1"/>
    <xf numFmtId="169" fontId="24" fillId="42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3" fillId="0" borderId="0" xfId="3" applyNumberFormat="1" applyFont="1" applyBorder="1"/>
    <xf numFmtId="174" fontId="0" fillId="34" borderId="0" xfId="0" applyNumberFormat="1" applyFill="1" applyBorder="1"/>
    <xf numFmtId="170" fontId="3" fillId="0" borderId="2" xfId="3" applyNumberFormat="1" applyFont="1" applyBorder="1"/>
    <xf numFmtId="169" fontId="4" fillId="43" borderId="1" xfId="0" applyNumberFormat="1" applyFont="1" applyFill="1" applyBorder="1"/>
    <xf numFmtId="174" fontId="0" fillId="0" borderId="0" xfId="0" applyNumberFormat="1" applyBorder="1"/>
    <xf numFmtId="174" fontId="0" fillId="27" borderId="0" xfId="0" applyNumberFormat="1" applyFill="1" applyBorder="1" applyAlignment="1">
      <alignment horizontal="right"/>
    </xf>
    <xf numFmtId="0" fontId="44" fillId="27" borderId="12" xfId="0" applyFont="1" applyFill="1" applyBorder="1" applyAlignment="1">
      <alignment horizontal="right"/>
    </xf>
    <xf numFmtId="174" fontId="44" fillId="27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49" fillId="0" borderId="0" xfId="0" applyFont="1"/>
    <xf numFmtId="0" fontId="50" fillId="0" borderId="0" xfId="0" applyFont="1"/>
    <xf numFmtId="170" fontId="49" fillId="0" borderId="1" xfId="0" applyNumberFormat="1" applyFont="1" applyBorder="1"/>
    <xf numFmtId="0" fontId="0" fillId="0" borderId="5" xfId="0" applyBorder="1"/>
    <xf numFmtId="169" fontId="49" fillId="43" borderId="1" xfId="0" applyNumberFormat="1" applyFont="1" applyFill="1" applyBorder="1"/>
    <xf numFmtId="0" fontId="0" fillId="37" borderId="12" xfId="0" applyFill="1" applyBorder="1" applyAlignment="1">
      <alignment horizontal="right"/>
    </xf>
    <xf numFmtId="174" fontId="0" fillId="37" borderId="0" xfId="0" applyNumberFormat="1" applyFill="1" applyBorder="1"/>
    <xf numFmtId="0" fontId="44" fillId="36" borderId="12" xfId="0" applyFont="1" applyFill="1" applyBorder="1" applyAlignment="1">
      <alignment horizontal="right"/>
    </xf>
    <xf numFmtId="174" fontId="44" fillId="36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8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8" borderId="0" xfId="0" applyNumberFormat="1" applyFill="1" applyBorder="1"/>
    <xf numFmtId="174" fontId="44" fillId="0" borderId="0" xfId="0" applyNumberFormat="1" applyFont="1" applyFill="1" applyBorder="1"/>
    <xf numFmtId="0" fontId="0" fillId="27" borderId="16" xfId="0" applyFill="1" applyBorder="1" applyAlignment="1">
      <alignment horizontal="right"/>
    </xf>
    <xf numFmtId="174" fontId="0" fillId="27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4" fillId="44" borderId="1" xfId="0" applyNumberFormat="1" applyFont="1" applyFill="1" applyBorder="1"/>
    <xf numFmtId="169" fontId="49" fillId="39" borderId="1" xfId="0" applyNumberFormat="1" applyFont="1" applyFill="1" applyBorder="1"/>
    <xf numFmtId="169" fontId="4" fillId="45" borderId="1" xfId="0" applyNumberFormat="1" applyFont="1" applyFill="1" applyBorder="1"/>
    <xf numFmtId="0" fontId="49" fillId="39" borderId="1" xfId="0" applyFont="1" applyFill="1" applyBorder="1"/>
    <xf numFmtId="0" fontId="49" fillId="39" borderId="1" xfId="0" applyFont="1" applyFill="1" applyBorder="1" applyAlignment="1">
      <alignment wrapText="1"/>
    </xf>
    <xf numFmtId="170" fontId="4" fillId="44" borderId="1" xfId="3" applyNumberFormat="1" applyFont="1" applyFill="1" applyBorder="1" applyAlignment="1" applyProtection="1"/>
    <xf numFmtId="170" fontId="4" fillId="45" borderId="1" xfId="3" applyNumberFormat="1" applyFont="1" applyFill="1" applyBorder="1" applyAlignment="1" applyProtection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2" fillId="7" borderId="0" xfId="4" applyFont="1" applyFill="1" applyBorder="1" applyAlignment="1">
      <alignment horizontal="right"/>
    </xf>
    <xf numFmtId="0" fontId="13" fillId="46" borderId="1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37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3" fillId="0" borderId="0" xfId="0" applyFont="1"/>
    <xf numFmtId="170" fontId="43" fillId="0" borderId="0" xfId="3" applyNumberFormat="1" applyFont="1"/>
    <xf numFmtId="0" fontId="0" fillId="0" borderId="0" xfId="0" applyFont="1"/>
    <xf numFmtId="0" fontId="43" fillId="0" borderId="0" xfId="0" applyFont="1" applyAlignment="1">
      <alignment horizontal="left"/>
    </xf>
    <xf numFmtId="0" fontId="41" fillId="27" borderId="0" xfId="0" applyFont="1" applyFill="1" applyAlignment="1">
      <alignment horizontal="center"/>
    </xf>
    <xf numFmtId="0" fontId="41" fillId="27" borderId="0" xfId="0" applyFon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0" fillId="28" borderId="0" xfId="0" applyFont="1" applyFill="1" applyBorder="1"/>
    <xf numFmtId="0" fontId="44" fillId="28" borderId="0" xfId="0" applyFont="1" applyFill="1" applyBorder="1" applyAlignment="1">
      <alignment horizontal="center"/>
    </xf>
    <xf numFmtId="0" fontId="44" fillId="28" borderId="0" xfId="0" applyFont="1" applyFill="1" applyBorder="1"/>
    <xf numFmtId="14" fontId="44" fillId="28" borderId="0" xfId="0" applyNumberFormat="1" applyFont="1" applyFill="1" applyBorder="1"/>
    <xf numFmtId="0" fontId="0" fillId="28" borderId="0" xfId="0" applyFill="1" applyBorder="1" applyAlignment="1">
      <alignment horizontal="center"/>
    </xf>
    <xf numFmtId="0" fontId="0" fillId="28" borderId="0" xfId="0" applyFill="1" applyBorder="1"/>
    <xf numFmtId="14" fontId="0" fillId="28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/>
    <xf numFmtId="14" fontId="4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3" fillId="0" borderId="0" xfId="0" applyFont="1" applyBorder="1"/>
    <xf numFmtId="0" fontId="51" fillId="28" borderId="0" xfId="0" applyFont="1" applyFill="1" applyBorder="1"/>
    <xf numFmtId="0" fontId="43" fillId="0" borderId="0" xfId="0" applyFont="1" applyAlignment="1">
      <alignment horizontal="center"/>
    </xf>
    <xf numFmtId="0" fontId="51" fillId="28" borderId="0" xfId="0" applyFont="1" applyFill="1" applyBorder="1" applyAlignment="1">
      <alignment horizontal="center"/>
    </xf>
    <xf numFmtId="0" fontId="44" fillId="28" borderId="0" xfId="0" applyNumberFormat="1" applyFont="1" applyFill="1" applyBorder="1" applyAlignment="1">
      <alignment horizontal="center"/>
    </xf>
    <xf numFmtId="0" fontId="51" fillId="28" borderId="0" xfId="0" applyNumberFormat="1" applyFont="1" applyFill="1" applyAlignment="1">
      <alignment horizontal="center"/>
    </xf>
    <xf numFmtId="0" fontId="0" fillId="28" borderId="0" xfId="0" applyFont="1" applyFill="1" applyBorder="1" applyAlignment="1">
      <alignment horizontal="center"/>
    </xf>
    <xf numFmtId="14" fontId="0" fillId="28" borderId="0" xfId="0" applyNumberFormat="1" applyFill="1" applyBorder="1" applyAlignment="1">
      <alignment horizontal="center"/>
    </xf>
    <xf numFmtId="2" fontId="0" fillId="28" borderId="0" xfId="0" applyNumberFormat="1" applyFill="1" applyBorder="1"/>
    <xf numFmtId="2" fontId="44" fillId="28" borderId="0" xfId="0" applyNumberFormat="1" applyFont="1" applyFill="1" applyBorder="1"/>
    <xf numFmtId="0" fontId="51" fillId="0" borderId="0" xfId="0" applyFont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54" fillId="0" borderId="0" xfId="0" applyFont="1"/>
    <xf numFmtId="0" fontId="0" fillId="46" borderId="0" xfId="4" applyFont="1" applyFill="1" applyBorder="1" applyAlignment="1">
      <alignment horizontal="right"/>
    </xf>
    <xf numFmtId="0" fontId="13" fillId="46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46" borderId="0" xfId="4" applyFont="1" applyFill="1" applyBorder="1" applyAlignment="1">
      <alignment horizontal="right"/>
    </xf>
    <xf numFmtId="0" fontId="53" fillId="27" borderId="0" xfId="0" applyFont="1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54" fillId="38" borderId="19" xfId="0" applyFont="1" applyFill="1" applyBorder="1" applyAlignment="1">
      <alignment horizontal="center"/>
    </xf>
    <xf numFmtId="0" fontId="54" fillId="38" borderId="17" xfId="0" applyFont="1" applyFill="1" applyBorder="1" applyAlignment="1">
      <alignment horizontal="center"/>
    </xf>
    <xf numFmtId="0" fontId="54" fillId="27" borderId="19" xfId="0" applyFont="1" applyFill="1" applyBorder="1" applyAlignment="1">
      <alignment horizontal="center"/>
    </xf>
    <xf numFmtId="0" fontId="54" fillId="27" borderId="17" xfId="0" applyFont="1" applyFill="1" applyBorder="1" applyAlignment="1">
      <alignment horizontal="center"/>
    </xf>
    <xf numFmtId="0" fontId="54" fillId="35" borderId="19" xfId="0" applyFont="1" applyFill="1" applyBorder="1" applyAlignment="1">
      <alignment horizontal="center"/>
    </xf>
    <xf numFmtId="14" fontId="13" fillId="0" borderId="0" xfId="4" applyNumberFormat="1" applyFont="1" applyBorder="1" applyAlignment="1">
      <alignment horizontal="center"/>
    </xf>
    <xf numFmtId="0" fontId="52" fillId="46" borderId="0" xfId="4" applyFont="1" applyFill="1" applyBorder="1" applyAlignment="1">
      <alignment horizontal="right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8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8" borderId="12" xfId="4" applyFont="1" applyFill="1" applyBorder="1" applyAlignment="1">
      <alignment horizontal="center"/>
    </xf>
    <xf numFmtId="0" fontId="0" fillId="28" borderId="0" xfId="0" applyFill="1" applyBorder="1" applyAlignment="1"/>
    <xf numFmtId="0" fontId="51" fillId="28" borderId="0" xfId="0" applyFont="1" applyFill="1" applyBorder="1" applyAlignment="1"/>
    <xf numFmtId="0" fontId="43" fillId="0" borderId="0" xfId="0" applyFont="1" applyAlignment="1">
      <alignment horizontal="left"/>
    </xf>
    <xf numFmtId="0" fontId="0" fillId="28" borderId="0" xfId="0" applyFill="1" applyBorder="1" applyAlignment="1">
      <alignment horizontal="left"/>
    </xf>
    <xf numFmtId="169" fontId="22" fillId="0" borderId="0" xfId="0" applyNumberFormat="1" applyFont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20" xfId="4" applyFont="1" applyFill="1" applyBorder="1" applyAlignment="1">
      <alignment horizontal="left"/>
    </xf>
    <xf numFmtId="0" fontId="29" fillId="13" borderId="21" xfId="4" applyFont="1" applyFill="1" applyBorder="1" applyAlignment="1">
      <alignment horizontal="left"/>
    </xf>
    <xf numFmtId="0" fontId="6" fillId="13" borderId="20" xfId="4" applyFont="1" applyFill="1" applyBorder="1" applyAlignment="1">
      <alignment horizontal="left"/>
    </xf>
    <xf numFmtId="0" fontId="6" fillId="13" borderId="21" xfId="4" applyFont="1" applyFill="1" applyBorder="1" applyAlignment="1">
      <alignment horizontal="left"/>
    </xf>
    <xf numFmtId="2" fontId="51" fillId="0" borderId="28" xfId="4" applyNumberFormat="1" applyFont="1" applyBorder="1" applyAlignment="1">
      <alignment horizontal="center"/>
    </xf>
    <xf numFmtId="2" fontId="52" fillId="19" borderId="29" xfId="4" applyNumberFormat="1" applyFont="1" applyFill="1" applyBorder="1" applyAlignment="1">
      <alignment horizontal="center"/>
    </xf>
    <xf numFmtId="2" fontId="55" fillId="19" borderId="30" xfId="4" applyNumberFormat="1" applyFont="1" applyFill="1" applyBorder="1" applyAlignment="1">
      <alignment horizontal="center"/>
    </xf>
    <xf numFmtId="2" fontId="55" fillId="48" borderId="29" xfId="4" applyNumberFormat="1" applyFont="1" applyFill="1" applyBorder="1" applyAlignment="1">
      <alignment horizontal="center"/>
    </xf>
    <xf numFmtId="2" fontId="51" fillId="0" borderId="30" xfId="4" applyNumberFormat="1" applyFont="1" applyBorder="1" applyAlignment="1">
      <alignment horizontal="center"/>
    </xf>
    <xf numFmtId="2" fontId="51" fillId="0" borderId="29" xfId="4" applyNumberFormat="1" applyFont="1" applyFill="1" applyBorder="1" applyAlignment="1">
      <alignment horizontal="center"/>
    </xf>
    <xf numFmtId="2" fontId="51" fillId="0" borderId="30" xfId="4" applyNumberFormat="1" applyFont="1" applyFill="1" applyBorder="1" applyAlignment="1">
      <alignment horizontal="center"/>
    </xf>
    <xf numFmtId="2" fontId="51" fillId="0" borderId="29" xfId="4" applyNumberFormat="1" applyFont="1" applyBorder="1" applyAlignment="1">
      <alignment horizontal="center"/>
    </xf>
    <xf numFmtId="2" fontId="55" fillId="19" borderId="29" xfId="4" applyNumberFormat="1" applyFont="1" applyFill="1" applyBorder="1" applyAlignment="1">
      <alignment horizontal="center"/>
    </xf>
    <xf numFmtId="2" fontId="52" fillId="19" borderId="30" xfId="4" applyNumberFormat="1" applyFont="1" applyFill="1" applyBorder="1" applyAlignment="1">
      <alignment horizontal="center"/>
    </xf>
    <xf numFmtId="2" fontId="55" fillId="47" borderId="30" xfId="4" applyNumberFormat="1" applyFont="1" applyFill="1" applyBorder="1" applyAlignment="1">
      <alignment horizontal="center"/>
    </xf>
    <xf numFmtId="2" fontId="55" fillId="47" borderId="29" xfId="4" applyNumberFormat="1" applyFont="1" applyFill="1" applyBorder="1" applyAlignment="1">
      <alignment horizontal="center"/>
    </xf>
    <xf numFmtId="2" fontId="52" fillId="47" borderId="30" xfId="4" applyNumberFormat="1" applyFont="1" applyFill="1" applyBorder="1" applyAlignment="1">
      <alignment horizontal="center"/>
    </xf>
    <xf numFmtId="2" fontId="52" fillId="47" borderId="29" xfId="4" applyNumberFormat="1" applyFont="1" applyFill="1" applyBorder="1" applyAlignment="1">
      <alignment horizontal="center"/>
    </xf>
    <xf numFmtId="2" fontId="56" fillId="0" borderId="30" xfId="4" applyNumberFormat="1" applyFont="1" applyBorder="1" applyAlignment="1">
      <alignment horizontal="center"/>
    </xf>
    <xf numFmtId="2" fontId="57" fillId="0" borderId="28" xfId="4" applyNumberFormat="1" applyFont="1" applyBorder="1" applyAlignment="1">
      <alignment horizontal="center"/>
    </xf>
    <xf numFmtId="2" fontId="57" fillId="0" borderId="29" xfId="4" applyNumberFormat="1" applyFont="1" applyBorder="1" applyAlignment="1">
      <alignment horizontal="center"/>
    </xf>
    <xf numFmtId="2" fontId="57" fillId="0" borderId="30" xfId="4" applyNumberFormat="1" applyFont="1" applyBorder="1" applyAlignment="1">
      <alignment horizontal="center"/>
    </xf>
    <xf numFmtId="0" fontId="4" fillId="0" borderId="1" xfId="4" applyFont="1" applyBorder="1"/>
    <xf numFmtId="0" fontId="6" fillId="49" borderId="25" xfId="4" applyFont="1" applyFill="1" applyBorder="1" applyAlignment="1">
      <alignment horizontal="left"/>
    </xf>
    <xf numFmtId="0" fontId="6" fillId="49" borderId="26" xfId="4" applyFont="1" applyFill="1" applyBorder="1" applyAlignment="1">
      <alignment horizontal="left"/>
    </xf>
    <xf numFmtId="0" fontId="6" fillId="50" borderId="27" xfId="4" applyFont="1" applyFill="1" applyBorder="1" applyAlignment="1">
      <alignment horizontal="left"/>
    </xf>
    <xf numFmtId="0" fontId="6" fillId="50" borderId="26" xfId="4" applyFont="1" applyFill="1" applyBorder="1" applyAlignment="1">
      <alignment horizontal="left"/>
    </xf>
    <xf numFmtId="0" fontId="6" fillId="49" borderId="27" xfId="4" applyFont="1" applyFill="1" applyBorder="1" applyAlignment="1">
      <alignment horizontal="left"/>
    </xf>
    <xf numFmtId="0" fontId="6" fillId="53" borderId="22" xfId="4" applyFont="1" applyFill="1" applyBorder="1" applyAlignment="1">
      <alignment horizontal="left"/>
    </xf>
    <xf numFmtId="0" fontId="6" fillId="53" borderId="23" xfId="4" applyFont="1" applyFill="1" applyBorder="1" applyAlignment="1">
      <alignment horizontal="left"/>
    </xf>
    <xf numFmtId="0" fontId="6" fillId="53" borderId="24" xfId="4" applyFont="1" applyFill="1" applyBorder="1" applyAlignment="1">
      <alignment horizontal="left"/>
    </xf>
    <xf numFmtId="0" fontId="13" fillId="0" borderId="12" xfId="4" applyFont="1" applyBorder="1" applyAlignment="1">
      <alignment horizontal="center"/>
    </xf>
    <xf numFmtId="0" fontId="52" fillId="46" borderId="1" xfId="4" applyFont="1" applyFill="1" applyBorder="1" applyAlignment="1">
      <alignment horizontal="right"/>
    </xf>
    <xf numFmtId="2" fontId="51" fillId="0" borderId="31" xfId="4" applyNumberFormat="1" applyFont="1" applyBorder="1" applyAlignment="1">
      <alignment horizontal="center"/>
    </xf>
    <xf numFmtId="2" fontId="52" fillId="19" borderId="32" xfId="4" applyNumberFormat="1" applyFont="1" applyFill="1" applyBorder="1" applyAlignment="1">
      <alignment horizontal="center"/>
    </xf>
    <xf numFmtId="2" fontId="55" fillId="19" borderId="33" xfId="4" applyNumberFormat="1" applyFont="1" applyFill="1" applyBorder="1" applyAlignment="1">
      <alignment horizontal="center"/>
    </xf>
    <xf numFmtId="2" fontId="55" fillId="48" borderId="32" xfId="4" applyNumberFormat="1" applyFont="1" applyFill="1" applyBorder="1" applyAlignment="1">
      <alignment horizontal="center"/>
    </xf>
    <xf numFmtId="2" fontId="51" fillId="0" borderId="33" xfId="4" applyNumberFormat="1" applyFont="1" applyBorder="1" applyAlignment="1">
      <alignment horizontal="center"/>
    </xf>
    <xf numFmtId="2" fontId="51" fillId="0" borderId="32" xfId="4" applyNumberFormat="1" applyFont="1" applyFill="1" applyBorder="1" applyAlignment="1">
      <alignment horizontal="center"/>
    </xf>
    <xf numFmtId="2" fontId="51" fillId="0" borderId="33" xfId="4" applyNumberFormat="1" applyFont="1" applyFill="1" applyBorder="1" applyAlignment="1">
      <alignment horizontal="center"/>
    </xf>
    <xf numFmtId="2" fontId="51" fillId="0" borderId="32" xfId="4" applyNumberFormat="1" applyFont="1" applyBorder="1" applyAlignment="1">
      <alignment horizontal="center"/>
    </xf>
    <xf numFmtId="0" fontId="6" fillId="51" borderId="25" xfId="4" applyFont="1" applyFill="1" applyBorder="1" applyAlignment="1">
      <alignment horizontal="left"/>
    </xf>
    <xf numFmtId="0" fontId="6" fillId="51" borderId="26" xfId="4" applyFont="1" applyFill="1" applyBorder="1" applyAlignment="1">
      <alignment horizontal="left"/>
    </xf>
    <xf numFmtId="0" fontId="6" fillId="52" borderId="27" xfId="4" applyFont="1" applyFill="1" applyBorder="1" applyAlignment="1">
      <alignment horizontal="left"/>
    </xf>
    <xf numFmtId="0" fontId="6" fillId="52" borderId="26" xfId="4" applyFont="1" applyFill="1" applyBorder="1" applyAlignment="1">
      <alignment horizontal="left"/>
    </xf>
    <xf numFmtId="0" fontId="6" fillId="51" borderId="27" xfId="4" applyFont="1" applyFill="1" applyBorder="1" applyAlignment="1">
      <alignment horizontal="left"/>
    </xf>
    <xf numFmtId="0" fontId="44" fillId="28" borderId="0" xfId="0" applyFont="1" applyFill="1" applyBorder="1" applyAlignment="1">
      <alignment horizontal="left"/>
    </xf>
    <xf numFmtId="165" fontId="37" fillId="0" borderId="0" xfId="3"/>
    <xf numFmtId="2" fontId="58" fillId="47" borderId="30" xfId="4" applyNumberFormat="1" applyFont="1" applyFill="1" applyBorder="1" applyAlignment="1">
      <alignment horizontal="center"/>
    </xf>
    <xf numFmtId="2" fontId="58" fillId="47" borderId="29" xfId="4" applyNumberFormat="1" applyFont="1" applyFill="1" applyBorder="1" applyAlignment="1">
      <alignment horizontal="center"/>
    </xf>
    <xf numFmtId="2" fontId="59" fillId="11" borderId="33" xfId="4" applyNumberFormat="1" applyFont="1" applyFill="1" applyBorder="1" applyAlignment="1">
      <alignment horizontal="center"/>
    </xf>
    <xf numFmtId="2" fontId="59" fillId="11" borderId="32" xfId="4" applyNumberFormat="1" applyFont="1" applyFill="1" applyBorder="1" applyAlignment="1">
      <alignment horizontal="center"/>
    </xf>
    <xf numFmtId="2" fontId="58" fillId="11" borderId="30" xfId="4" applyNumberFormat="1" applyFont="1" applyFill="1" applyBorder="1" applyAlignment="1">
      <alignment horizontal="center"/>
    </xf>
    <xf numFmtId="2" fontId="58" fillId="11" borderId="29" xfId="4" applyNumberFormat="1" applyFont="1" applyFill="1" applyBorder="1" applyAlignment="1">
      <alignment horizontal="center"/>
    </xf>
    <xf numFmtId="2" fontId="59" fillId="47" borderId="30" xfId="4" applyNumberFormat="1" applyFont="1" applyFill="1" applyBorder="1" applyAlignment="1">
      <alignment horizontal="center"/>
    </xf>
    <xf numFmtId="2" fontId="59" fillId="47" borderId="29" xfId="4" applyNumberFormat="1" applyFont="1" applyFill="1" applyBorder="1" applyAlignment="1">
      <alignment horizontal="center"/>
    </xf>
    <xf numFmtId="0" fontId="37" fillId="0" borderId="3" xfId="4" applyBorder="1" applyAlignment="1">
      <alignment horizontal="center"/>
    </xf>
    <xf numFmtId="0" fontId="0" fillId="0" borderId="6" xfId="0" applyBorder="1" applyAlignment="1">
      <alignment horizontal="center"/>
    </xf>
    <xf numFmtId="0" fontId="33" fillId="0" borderId="2" xfId="4" applyFon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2" fontId="60" fillId="47" borderId="30" xfId="4" applyNumberFormat="1" applyFont="1" applyFill="1" applyBorder="1" applyAlignment="1">
      <alignment horizontal="center"/>
    </xf>
    <xf numFmtId="2" fontId="61" fillId="47" borderId="29" xfId="4" applyNumberFormat="1" applyFont="1" applyFill="1" applyBorder="1" applyAlignment="1">
      <alignment horizontal="center"/>
    </xf>
    <xf numFmtId="2" fontId="60" fillId="47" borderId="29" xfId="4" applyNumberFormat="1" applyFont="1" applyFill="1" applyBorder="1" applyAlignment="1">
      <alignment horizontal="center"/>
    </xf>
    <xf numFmtId="2" fontId="60" fillId="19" borderId="30" xfId="4" applyNumberFormat="1" applyFont="1" applyFill="1" applyBorder="1" applyAlignment="1">
      <alignment horizontal="center"/>
    </xf>
    <xf numFmtId="2" fontId="61" fillId="19" borderId="29" xfId="4" applyNumberFormat="1" applyFont="1" applyFill="1" applyBorder="1" applyAlignment="1">
      <alignment horizontal="center"/>
    </xf>
    <xf numFmtId="0" fontId="0" fillId="0" borderId="0" xfId="4" applyFont="1"/>
    <xf numFmtId="0" fontId="51" fillId="38" borderId="0" xfId="0" applyFont="1" applyFill="1" applyBorder="1"/>
    <xf numFmtId="0" fontId="51" fillId="38" borderId="0" xfId="0" applyFont="1" applyFill="1" applyBorder="1" applyAlignment="1">
      <alignment horizontal="center"/>
    </xf>
    <xf numFmtId="14" fontId="51" fillId="38" borderId="0" xfId="0" applyNumberFormat="1" applyFont="1" applyFill="1" applyBorder="1"/>
    <xf numFmtId="0" fontId="0" fillId="38" borderId="0" xfId="0" applyFill="1" applyBorder="1" applyAlignment="1">
      <alignment horizontal="center"/>
    </xf>
    <xf numFmtId="0" fontId="2" fillId="38" borderId="0" xfId="0" applyFont="1" applyFill="1" applyBorder="1" applyAlignment="1">
      <alignment horizontal="center"/>
    </xf>
    <xf numFmtId="0" fontId="0" fillId="38" borderId="0" xfId="0" applyFill="1" applyBorder="1"/>
    <xf numFmtId="14" fontId="0" fillId="38" borderId="0" xfId="0" applyNumberFormat="1" applyFill="1" applyBorder="1"/>
    <xf numFmtId="0" fontId="62" fillId="54" borderId="1" xfId="0" applyFont="1" applyFill="1" applyBorder="1" applyAlignment="1">
      <alignment horizontal="center" vertical="center"/>
    </xf>
    <xf numFmtId="0" fontId="44" fillId="55" borderId="1" xfId="0" applyFont="1" applyFill="1" applyBorder="1" applyAlignment="1">
      <alignment horizontal="center"/>
    </xf>
    <xf numFmtId="164" fontId="63" fillId="57" borderId="1" xfId="0" applyNumberFormat="1" applyFont="1" applyFill="1" applyBorder="1" applyAlignment="1">
      <alignment horizontal="center" vertical="center"/>
    </xf>
    <xf numFmtId="164" fontId="63" fillId="56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64" fillId="30" borderId="1" xfId="0" applyFont="1" applyFill="1" applyBorder="1" applyAlignment="1">
      <alignment horizontal="center" vertic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2" xfId="4" applyFont="1" applyBorder="1" applyAlignment="1">
      <alignment horizontal="center"/>
    </xf>
    <xf numFmtId="0" fontId="0" fillId="27" borderId="2" xfId="4" applyFont="1" applyFill="1" applyBorder="1" applyAlignment="1">
      <alignment horizontal="center"/>
    </xf>
    <xf numFmtId="0" fontId="0" fillId="28" borderId="2" xfId="4" applyFont="1" applyFill="1" applyBorder="1" applyAlignment="1">
      <alignment horizontal="center"/>
    </xf>
    <xf numFmtId="0" fontId="6" fillId="49" borderId="0" xfId="4" applyFont="1" applyFill="1" applyBorder="1" applyAlignment="1">
      <alignment horizontal="center"/>
    </xf>
    <xf numFmtId="0" fontId="6" fillId="51" borderId="0" xfId="4" applyFont="1" applyFill="1" applyBorder="1" applyAlignment="1">
      <alignment horizontal="center"/>
    </xf>
    <xf numFmtId="0" fontId="6" fillId="58" borderId="0" xfId="4" applyFont="1" applyFill="1" applyBorder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1" fillId="28" borderId="0" xfId="0" applyFont="1" applyFill="1" applyAlignment="1">
      <alignment horizontal="center"/>
    </xf>
    <xf numFmtId="14" fontId="0" fillId="28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42" fillId="30" borderId="6" xfId="0" applyFont="1" applyFill="1" applyBorder="1" applyAlignment="1">
      <alignment horizontal="center"/>
    </xf>
    <xf numFmtId="0" fontId="42" fillId="30" borderId="13" xfId="0" applyFont="1" applyFill="1" applyBorder="1" applyAlignment="1">
      <alignment horizontal="center"/>
    </xf>
    <xf numFmtId="0" fontId="42" fillId="30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1" borderId="14" xfId="0" applyFont="1" applyFill="1" applyBorder="1" applyAlignment="1">
      <alignment horizontal="center"/>
    </xf>
    <xf numFmtId="0" fontId="43" fillId="31" borderId="15" xfId="0" applyFont="1" applyFill="1" applyBorder="1" applyAlignment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39" borderId="7" xfId="0" applyFont="1" applyFill="1" applyBorder="1" applyAlignment="1">
      <alignment horizontal="left" vertical="top" wrapText="1"/>
    </xf>
    <xf numFmtId="0" fontId="4" fillId="39" borderId="2" xfId="0" applyFont="1" applyFill="1" applyBorder="1" applyAlignment="1">
      <alignment horizontal="left" vertical="top" wrapText="1"/>
    </xf>
    <xf numFmtId="0" fontId="4" fillId="39" borderId="4" xfId="0" applyFont="1" applyFill="1" applyBorder="1" applyAlignment="1">
      <alignment horizontal="left" vertical="top"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center" vertical="top" wrapText="1"/>
    </xf>
    <xf numFmtId="169" fontId="26" fillId="44" borderId="1" xfId="0" applyNumberFormat="1" applyFont="1" applyFill="1" applyBorder="1" applyAlignment="1">
      <alignment horizontal="center"/>
    </xf>
    <xf numFmtId="169" fontId="27" fillId="45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2" fontId="51" fillId="28" borderId="28" xfId="4" applyNumberFormat="1" applyFont="1" applyFill="1" applyBorder="1" applyAlignment="1">
      <alignment horizontal="center"/>
    </xf>
    <xf numFmtId="2" fontId="51" fillId="28" borderId="29" xfId="4" applyNumberFormat="1" applyFont="1" applyFill="1" applyBorder="1" applyAlignment="1">
      <alignment horizontal="center"/>
    </xf>
    <xf numFmtId="2" fontId="51" fillId="28" borderId="30" xfId="4" applyNumberFormat="1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85725</xdr:rowOff>
    </xdr:from>
    <xdr:to>
      <xdr:col>7</xdr:col>
      <xdr:colOff>76200</xdr:colOff>
      <xdr:row>20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B078E8-B07B-432E-BDB0-71906CC57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44" t="28052" r="20390" b="41781"/>
        <a:stretch/>
      </xdr:blipFill>
      <xdr:spPr>
        <a:xfrm>
          <a:off x="161925" y="276225"/>
          <a:ext cx="5248275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A31" sqref="A31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67" t="s">
        <v>270</v>
      </c>
      <c r="B1" s="467"/>
      <c r="C1" s="467"/>
      <c r="E1" s="466" t="s">
        <v>271</v>
      </c>
      <c r="F1" s="466"/>
      <c r="G1" s="466"/>
      <c r="H1" s="466"/>
    </row>
    <row r="2" spans="1:27" x14ac:dyDescent="0.25">
      <c r="A2" s="468">
        <v>43732</v>
      </c>
      <c r="B2" s="468"/>
      <c r="C2" s="468"/>
      <c r="E2" s="62" t="s">
        <v>299</v>
      </c>
      <c r="F2" s="347" t="s">
        <v>344</v>
      </c>
      <c r="G2" s="301">
        <v>43723</v>
      </c>
      <c r="H2" t="s">
        <v>343</v>
      </c>
    </row>
    <row r="3" spans="1:27" x14ac:dyDescent="0.25">
      <c r="E3" s="62" t="s">
        <v>300</v>
      </c>
      <c r="F3" s="347" t="s">
        <v>314</v>
      </c>
      <c r="G3" s="301">
        <v>43670</v>
      </c>
      <c r="H3" t="s">
        <v>315</v>
      </c>
    </row>
    <row r="4" spans="1:27" ht="18.75" x14ac:dyDescent="0.3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29"/>
      <c r="W4" s="329"/>
    </row>
    <row r="5" spans="1:27" ht="18.75" x14ac:dyDescent="0.3">
      <c r="A5" s="302"/>
      <c r="B5" s="465" t="s">
        <v>272</v>
      </c>
      <c r="C5" s="465"/>
      <c r="E5" s="302"/>
      <c r="F5" s="302"/>
      <c r="G5" s="465" t="s">
        <v>273</v>
      </c>
      <c r="H5" s="465"/>
      <c r="I5" s="465"/>
      <c r="J5" s="303"/>
      <c r="K5" s="303"/>
      <c r="L5" s="465" t="s">
        <v>274</v>
      </c>
      <c r="M5" s="465"/>
      <c r="O5" s="230" t="s">
        <v>275</v>
      </c>
      <c r="P5" s="302"/>
      <c r="Q5" s="302"/>
      <c r="R5" s="465" t="s">
        <v>276</v>
      </c>
      <c r="S5" s="465"/>
      <c r="T5" s="302"/>
      <c r="U5" s="302"/>
      <c r="V5" s="466" t="s">
        <v>295</v>
      </c>
      <c r="W5" s="466"/>
      <c r="X5" s="329" t="s">
        <v>296</v>
      </c>
      <c r="Y5" s="329" t="s">
        <v>297</v>
      </c>
      <c r="Z5" s="329" t="s">
        <v>47</v>
      </c>
      <c r="AA5" s="329" t="s">
        <v>298</v>
      </c>
    </row>
    <row r="6" spans="1:27" x14ac:dyDescent="0.25">
      <c r="A6" s="183">
        <v>1</v>
      </c>
      <c r="B6" s="342">
        <v>8</v>
      </c>
      <c r="C6" s="315" t="s">
        <v>293</v>
      </c>
      <c r="D6" s="316" t="s">
        <v>56</v>
      </c>
      <c r="F6" s="317">
        <v>1</v>
      </c>
      <c r="G6" s="324">
        <v>17</v>
      </c>
      <c r="H6" s="315" t="s">
        <v>293</v>
      </c>
      <c r="I6" s="316" t="s">
        <v>56</v>
      </c>
      <c r="K6" s="337">
        <v>1</v>
      </c>
      <c r="L6" s="311">
        <v>20</v>
      </c>
      <c r="M6" s="315" t="s">
        <v>280</v>
      </c>
      <c r="N6" s="315" t="s">
        <v>89</v>
      </c>
      <c r="O6" s="336">
        <f>L6/G7</f>
        <v>1.1764705882352942</v>
      </c>
      <c r="Q6" s="328">
        <v>1</v>
      </c>
      <c r="R6" s="311">
        <v>5.5</v>
      </c>
      <c r="S6" s="312" t="s">
        <v>278</v>
      </c>
      <c r="T6" s="313" t="s">
        <v>89</v>
      </c>
      <c r="V6" s="330">
        <v>1</v>
      </c>
      <c r="W6" s="364" t="s">
        <v>280</v>
      </c>
      <c r="X6" s="314">
        <v>4</v>
      </c>
      <c r="Y6" s="314">
        <v>0</v>
      </c>
      <c r="Z6" s="332">
        <f>Y6+X6</f>
        <v>4</v>
      </c>
      <c r="AA6" s="424">
        <f>Z6/G7</f>
        <v>0.23529411764705882</v>
      </c>
    </row>
    <row r="7" spans="1:27" x14ac:dyDescent="0.25">
      <c r="A7" s="448">
        <v>2</v>
      </c>
      <c r="B7" s="447">
        <v>5</v>
      </c>
      <c r="C7" s="448" t="s">
        <v>290</v>
      </c>
      <c r="D7" s="449" t="s">
        <v>56</v>
      </c>
      <c r="F7" s="317">
        <v>1</v>
      </c>
      <c r="G7" s="321">
        <v>17</v>
      </c>
      <c r="H7" s="315" t="s">
        <v>280</v>
      </c>
      <c r="I7" s="315" t="s">
        <v>89</v>
      </c>
      <c r="K7" s="337">
        <v>2</v>
      </c>
      <c r="L7" s="314">
        <v>12</v>
      </c>
      <c r="M7" s="315" t="s">
        <v>306</v>
      </c>
      <c r="N7" s="316" t="s">
        <v>89</v>
      </c>
      <c r="O7" s="335">
        <f>L15/G15</f>
        <v>0.38461538461538464</v>
      </c>
      <c r="Q7" s="310">
        <v>1</v>
      </c>
      <c r="R7" s="314">
        <v>5.5</v>
      </c>
      <c r="S7" s="315" t="s">
        <v>280</v>
      </c>
      <c r="T7" s="315" t="s">
        <v>89</v>
      </c>
      <c r="V7" s="333">
        <v>2</v>
      </c>
      <c r="W7" s="364" t="s">
        <v>281</v>
      </c>
      <c r="X7" s="314">
        <v>3</v>
      </c>
      <c r="Y7" s="314">
        <v>0</v>
      </c>
      <c r="Z7" s="332">
        <f>Y7+X7</f>
        <v>3</v>
      </c>
      <c r="AA7" s="424">
        <f>Z7/G11</f>
        <v>0.21428571428571427</v>
      </c>
    </row>
    <row r="8" spans="1:27" x14ac:dyDescent="0.25">
      <c r="A8" s="183">
        <v>3</v>
      </c>
      <c r="B8" s="321">
        <v>1</v>
      </c>
      <c r="C8" s="315" t="s">
        <v>294</v>
      </c>
      <c r="D8" s="316" t="s">
        <v>56</v>
      </c>
      <c r="F8" s="317">
        <v>1</v>
      </c>
      <c r="G8" s="321">
        <v>17</v>
      </c>
      <c r="H8" s="312" t="s">
        <v>282</v>
      </c>
      <c r="I8" s="312" t="s">
        <v>152</v>
      </c>
      <c r="K8" s="337">
        <v>3</v>
      </c>
      <c r="L8" s="311">
        <v>10</v>
      </c>
      <c r="M8" s="315" t="s">
        <v>279</v>
      </c>
      <c r="N8" s="315" t="s">
        <v>84</v>
      </c>
      <c r="O8" s="336">
        <f>L8/G11</f>
        <v>0.7142857142857143</v>
      </c>
      <c r="Q8" s="443">
        <v>1</v>
      </c>
      <c r="R8" s="444">
        <v>5.5</v>
      </c>
      <c r="S8" s="443" t="s">
        <v>290</v>
      </c>
      <c r="T8" s="445" t="s">
        <v>56</v>
      </c>
      <c r="V8" s="333">
        <v>3</v>
      </c>
      <c r="W8" s="365" t="s">
        <v>288</v>
      </c>
      <c r="X8" s="311">
        <v>1</v>
      </c>
      <c r="Y8" s="331">
        <v>1</v>
      </c>
      <c r="Z8" s="332">
        <f>Y8+X8</f>
        <v>2</v>
      </c>
      <c r="AA8" s="424">
        <f>Z8/G16</f>
        <v>0.18181818181818182</v>
      </c>
    </row>
    <row r="9" spans="1:27" ht="18.75" x14ac:dyDescent="0.3">
      <c r="A9" s="183">
        <v>4</v>
      </c>
      <c r="B9" s="321"/>
      <c r="C9" s="322"/>
      <c r="D9" s="322"/>
      <c r="E9" s="302"/>
      <c r="F9" s="317">
        <v>1</v>
      </c>
      <c r="G9" s="321">
        <v>17</v>
      </c>
      <c r="H9" s="315" t="s">
        <v>286</v>
      </c>
      <c r="I9" s="316" t="s">
        <v>152</v>
      </c>
      <c r="J9" s="302"/>
      <c r="K9" s="300">
        <v>4</v>
      </c>
      <c r="L9" s="333">
        <v>9</v>
      </c>
      <c r="M9" s="312" t="s">
        <v>282</v>
      </c>
      <c r="N9" s="312" t="s">
        <v>152</v>
      </c>
      <c r="O9" s="335">
        <f>L9/G8</f>
        <v>0.52941176470588236</v>
      </c>
      <c r="P9" s="302"/>
      <c r="Q9" s="310">
        <v>4</v>
      </c>
      <c r="R9" s="314">
        <v>5</v>
      </c>
      <c r="S9" s="315" t="s">
        <v>306</v>
      </c>
      <c r="T9" s="316" t="s">
        <v>89</v>
      </c>
      <c r="U9" s="302"/>
      <c r="V9" s="333">
        <v>3</v>
      </c>
      <c r="W9" s="367" t="s">
        <v>283</v>
      </c>
      <c r="X9" s="311">
        <v>2</v>
      </c>
      <c r="Y9" s="311">
        <v>0</v>
      </c>
      <c r="Z9" s="332">
        <f>Y9+X9</f>
        <v>2</v>
      </c>
      <c r="AA9" s="424">
        <f>Z9/G10</f>
        <v>0.125</v>
      </c>
    </row>
    <row r="10" spans="1:27" x14ac:dyDescent="0.25">
      <c r="A10" s="183">
        <v>5</v>
      </c>
      <c r="B10" s="320"/>
      <c r="C10" s="326"/>
      <c r="D10" s="326"/>
      <c r="F10" s="317">
        <v>5</v>
      </c>
      <c r="G10" s="325">
        <v>16</v>
      </c>
      <c r="H10" s="312" t="s">
        <v>283</v>
      </c>
      <c r="I10" s="313" t="s">
        <v>69</v>
      </c>
      <c r="K10" s="300">
        <v>4</v>
      </c>
      <c r="L10" s="338">
        <v>9</v>
      </c>
      <c r="M10" s="328" t="s">
        <v>288</v>
      </c>
      <c r="N10" s="316" t="s">
        <v>69</v>
      </c>
      <c r="O10" s="335">
        <f>L10/G16</f>
        <v>0.81818181818181823</v>
      </c>
      <c r="Q10" s="310">
        <v>4</v>
      </c>
      <c r="R10" s="314">
        <v>5</v>
      </c>
      <c r="S10" s="312" t="s">
        <v>284</v>
      </c>
      <c r="T10" s="312" t="s">
        <v>84</v>
      </c>
      <c r="V10" s="333">
        <v>3</v>
      </c>
      <c r="W10" s="364" t="s">
        <v>286</v>
      </c>
      <c r="X10" s="314">
        <v>0</v>
      </c>
      <c r="Y10" s="314">
        <v>1</v>
      </c>
      <c r="Z10" s="332">
        <f>Y10+X10</f>
        <v>1</v>
      </c>
      <c r="AA10" s="424">
        <f>Z10/G9</f>
        <v>5.8823529411764705E-2</v>
      </c>
    </row>
    <row r="11" spans="1:27" x14ac:dyDescent="0.25">
      <c r="A11" s="183">
        <v>6</v>
      </c>
      <c r="B11" s="321"/>
      <c r="C11" s="322"/>
      <c r="D11" s="322"/>
      <c r="F11" s="317">
        <v>6</v>
      </c>
      <c r="G11" s="321">
        <v>14</v>
      </c>
      <c r="H11" s="315" t="s">
        <v>279</v>
      </c>
      <c r="I11" s="315" t="s">
        <v>84</v>
      </c>
      <c r="K11" s="300">
        <v>6</v>
      </c>
      <c r="L11" s="314">
        <v>7</v>
      </c>
      <c r="M11" s="315" t="s">
        <v>286</v>
      </c>
      <c r="N11" s="316" t="s">
        <v>152</v>
      </c>
      <c r="O11" s="335">
        <f>L11/G9</f>
        <v>0.41176470588235292</v>
      </c>
      <c r="Q11" s="310">
        <v>4</v>
      </c>
      <c r="R11" s="314">
        <v>5</v>
      </c>
      <c r="S11" s="312" t="s">
        <v>283</v>
      </c>
      <c r="T11" s="313" t="s">
        <v>69</v>
      </c>
      <c r="V11" s="333">
        <v>6</v>
      </c>
      <c r="W11" s="315" t="s">
        <v>306</v>
      </c>
      <c r="X11" s="311">
        <v>1</v>
      </c>
      <c r="Y11" s="311">
        <v>0</v>
      </c>
      <c r="Z11" s="332">
        <f t="shared" ref="Z11:Z13" si="0">Y11+X11</f>
        <v>1</v>
      </c>
      <c r="AA11" s="424">
        <f>Z11/G15</f>
        <v>7.6923076923076927E-2</v>
      </c>
    </row>
    <row r="12" spans="1:27" x14ac:dyDescent="0.25">
      <c r="A12" s="183"/>
      <c r="B12" s="62"/>
      <c r="F12" s="317">
        <v>6</v>
      </c>
      <c r="G12" s="325">
        <v>14</v>
      </c>
      <c r="H12" s="312" t="s">
        <v>284</v>
      </c>
      <c r="I12" s="312" t="s">
        <v>84</v>
      </c>
      <c r="K12" s="300">
        <v>7</v>
      </c>
      <c r="L12" s="333">
        <v>6</v>
      </c>
      <c r="M12" s="312" t="s">
        <v>284</v>
      </c>
      <c r="N12" s="312" t="s">
        <v>84</v>
      </c>
      <c r="O12" s="335">
        <f>L12/G12</f>
        <v>0.42857142857142855</v>
      </c>
      <c r="Q12" s="310">
        <v>4</v>
      </c>
      <c r="R12" s="314">
        <v>5</v>
      </c>
      <c r="S12" s="315" t="s">
        <v>291</v>
      </c>
      <c r="T12" s="316" t="s">
        <v>84</v>
      </c>
      <c r="V12" s="333">
        <v>6</v>
      </c>
      <c r="W12" s="315" t="s">
        <v>279</v>
      </c>
      <c r="X12" s="311">
        <v>1</v>
      </c>
      <c r="Y12" s="311">
        <v>0</v>
      </c>
      <c r="Z12" s="332">
        <f t="shared" si="0"/>
        <v>1</v>
      </c>
      <c r="AA12" s="424">
        <f>Z12/G11</f>
        <v>7.1428571428571425E-2</v>
      </c>
    </row>
    <row r="13" spans="1:27" ht="18.75" x14ac:dyDescent="0.3">
      <c r="A13" s="327"/>
      <c r="B13" s="305" t="s">
        <v>277</v>
      </c>
      <c r="C13" s="305"/>
      <c r="E13" s="302"/>
      <c r="F13" s="317">
        <v>6</v>
      </c>
      <c r="G13" s="325">
        <v>14</v>
      </c>
      <c r="H13" s="315" t="s">
        <v>289</v>
      </c>
      <c r="I13" s="316" t="s">
        <v>69</v>
      </c>
      <c r="J13" s="302"/>
      <c r="K13" s="300">
        <v>7</v>
      </c>
      <c r="L13" s="338">
        <v>6</v>
      </c>
      <c r="M13" s="328" t="s">
        <v>289</v>
      </c>
      <c r="N13" s="316" t="s">
        <v>69</v>
      </c>
      <c r="O13" s="335">
        <f>L13/G13</f>
        <v>0.42857142857142855</v>
      </c>
      <c r="P13" s="302"/>
      <c r="Q13" s="310">
        <v>4</v>
      </c>
      <c r="R13" s="314">
        <v>5</v>
      </c>
      <c r="S13" s="315" t="s">
        <v>293</v>
      </c>
      <c r="T13" s="316" t="s">
        <v>56</v>
      </c>
      <c r="V13" s="333">
        <v>6</v>
      </c>
      <c r="W13" s="423" t="s">
        <v>289</v>
      </c>
      <c r="X13" s="311">
        <v>1</v>
      </c>
      <c r="Y13" s="311">
        <v>0</v>
      </c>
      <c r="Z13" s="332">
        <f t="shared" si="0"/>
        <v>1</v>
      </c>
      <c r="AA13" s="424">
        <f>Z13/G13</f>
        <v>7.1428571428571425E-2</v>
      </c>
    </row>
    <row r="14" spans="1:27" x14ac:dyDescent="0.25">
      <c r="A14" s="183">
        <v>1</v>
      </c>
      <c r="B14" s="317">
        <v>16</v>
      </c>
      <c r="C14" s="312" t="s">
        <v>282</v>
      </c>
      <c r="D14" s="312" t="s">
        <v>152</v>
      </c>
      <c r="F14" s="317">
        <v>9</v>
      </c>
      <c r="G14" s="325">
        <v>13</v>
      </c>
      <c r="H14" s="312" t="s">
        <v>285</v>
      </c>
      <c r="I14" s="313" t="s">
        <v>152</v>
      </c>
      <c r="K14" s="300">
        <v>7</v>
      </c>
      <c r="L14" s="314">
        <v>6</v>
      </c>
      <c r="M14" s="312" t="s">
        <v>283</v>
      </c>
      <c r="N14" s="313" t="s">
        <v>69</v>
      </c>
      <c r="O14" s="335">
        <f>L14/G10</f>
        <v>0.375</v>
      </c>
      <c r="Q14" s="310">
        <v>9</v>
      </c>
      <c r="R14" s="314">
        <v>4.5</v>
      </c>
      <c r="S14" s="315" t="s">
        <v>279</v>
      </c>
      <c r="T14" s="315" t="s">
        <v>84</v>
      </c>
      <c r="V14" s="333">
        <v>6</v>
      </c>
      <c r="W14" s="311"/>
      <c r="X14" s="314"/>
      <c r="Y14" s="334"/>
      <c r="Z14" s="309"/>
      <c r="AA14" s="308"/>
    </row>
    <row r="15" spans="1:27" x14ac:dyDescent="0.25">
      <c r="A15" s="183">
        <v>2</v>
      </c>
      <c r="B15" s="321">
        <v>1</v>
      </c>
      <c r="C15" s="312" t="s">
        <v>278</v>
      </c>
      <c r="D15" s="313" t="s">
        <v>89</v>
      </c>
      <c r="F15" s="317">
        <v>9</v>
      </c>
      <c r="G15" s="321">
        <v>13</v>
      </c>
      <c r="H15" s="315" t="s">
        <v>306</v>
      </c>
      <c r="I15" s="316" t="s">
        <v>89</v>
      </c>
      <c r="K15" s="300">
        <v>10</v>
      </c>
      <c r="L15" s="314">
        <v>5</v>
      </c>
      <c r="M15" s="312" t="s">
        <v>278</v>
      </c>
      <c r="N15" s="313" t="s">
        <v>89</v>
      </c>
      <c r="O15" s="335">
        <f>L7/G18</f>
        <v>1.2</v>
      </c>
      <c r="Q15" s="310">
        <v>9</v>
      </c>
      <c r="R15" s="314">
        <v>4.5</v>
      </c>
      <c r="S15" s="315" t="s">
        <v>281</v>
      </c>
      <c r="T15" s="316" t="s">
        <v>69</v>
      </c>
      <c r="V15" s="333">
        <v>6</v>
      </c>
      <c r="W15" s="311"/>
      <c r="X15" s="314"/>
      <c r="Y15" s="334"/>
      <c r="Z15" s="309"/>
      <c r="AA15" s="308"/>
    </row>
    <row r="16" spans="1:27" x14ac:dyDescent="0.25">
      <c r="A16" s="183">
        <v>2</v>
      </c>
      <c r="B16" s="321">
        <v>1</v>
      </c>
      <c r="C16" s="315" t="s">
        <v>288</v>
      </c>
      <c r="D16" s="316" t="s">
        <v>69</v>
      </c>
      <c r="F16" s="317">
        <v>11</v>
      </c>
      <c r="G16" s="321">
        <v>11</v>
      </c>
      <c r="H16" s="315" t="s">
        <v>288</v>
      </c>
      <c r="I16" s="316" t="s">
        <v>69</v>
      </c>
      <c r="K16" s="300">
        <v>10</v>
      </c>
      <c r="L16" s="338">
        <v>5</v>
      </c>
      <c r="M16" s="312" t="s">
        <v>285</v>
      </c>
      <c r="N16" s="313" t="s">
        <v>152</v>
      </c>
      <c r="O16" s="335">
        <f>L16/G14</f>
        <v>0.38461538461538464</v>
      </c>
      <c r="Q16" s="310">
        <v>9</v>
      </c>
      <c r="R16" s="314">
        <v>4.5</v>
      </c>
      <c r="S16" s="312" t="s">
        <v>282</v>
      </c>
      <c r="T16" s="312" t="s">
        <v>152</v>
      </c>
      <c r="V16" s="333">
        <v>6</v>
      </c>
      <c r="W16" s="311"/>
      <c r="X16" s="314"/>
      <c r="Y16" s="334"/>
      <c r="Z16" s="309"/>
      <c r="AA16" s="308"/>
    </row>
    <row r="17" spans="1:27" x14ac:dyDescent="0.25">
      <c r="A17" s="183">
        <v>4</v>
      </c>
      <c r="B17" s="321"/>
      <c r="C17" s="322"/>
      <c r="D17" s="322"/>
      <c r="F17" s="317">
        <v>11</v>
      </c>
      <c r="G17" s="321">
        <v>11</v>
      </c>
      <c r="H17" s="315" t="s">
        <v>291</v>
      </c>
      <c r="I17" s="316" t="s">
        <v>84</v>
      </c>
      <c r="K17" s="300">
        <v>12</v>
      </c>
      <c r="L17" s="311">
        <v>4</v>
      </c>
      <c r="M17" s="315" t="s">
        <v>293</v>
      </c>
      <c r="N17" s="316" t="s">
        <v>56</v>
      </c>
      <c r="O17" s="336">
        <f>L17/G6</f>
        <v>0.23529411764705882</v>
      </c>
      <c r="Q17" s="310">
        <v>9</v>
      </c>
      <c r="R17" s="314">
        <v>4.5</v>
      </c>
      <c r="S17" s="312" t="s">
        <v>285</v>
      </c>
      <c r="T17" s="313" t="s">
        <v>152</v>
      </c>
      <c r="V17" s="333">
        <v>6</v>
      </c>
      <c r="W17" s="311"/>
      <c r="X17" s="314"/>
      <c r="Y17" s="334"/>
      <c r="Z17" s="309"/>
      <c r="AA17" s="308"/>
    </row>
    <row r="18" spans="1:27" x14ac:dyDescent="0.25">
      <c r="A18" s="183">
        <v>5</v>
      </c>
      <c r="B18" s="321"/>
      <c r="C18" s="322"/>
      <c r="D18" s="323"/>
      <c r="F18" s="317">
        <v>13</v>
      </c>
      <c r="G18" s="325">
        <v>10</v>
      </c>
      <c r="H18" s="312" t="s">
        <v>278</v>
      </c>
      <c r="I18" s="313" t="s">
        <v>89</v>
      </c>
      <c r="K18" s="300">
        <v>12</v>
      </c>
      <c r="L18" s="333">
        <v>4</v>
      </c>
      <c r="M18" s="315" t="s">
        <v>281</v>
      </c>
      <c r="N18" s="316" t="s">
        <v>69</v>
      </c>
      <c r="O18" s="335">
        <f>L18/G20</f>
        <v>0.44444444444444442</v>
      </c>
      <c r="Q18" s="310">
        <v>9</v>
      </c>
      <c r="R18" s="314">
        <v>4.5</v>
      </c>
      <c r="S18" s="315" t="s">
        <v>289</v>
      </c>
      <c r="T18" s="316" t="s">
        <v>69</v>
      </c>
      <c r="V18" s="333">
        <v>6</v>
      </c>
      <c r="W18" s="311"/>
      <c r="X18" s="314"/>
      <c r="Y18" s="334"/>
      <c r="Z18" s="309"/>
      <c r="AA18" s="308"/>
    </row>
    <row r="19" spans="1:27" x14ac:dyDescent="0.25">
      <c r="A19" s="183">
        <v>6</v>
      </c>
      <c r="B19" s="321"/>
      <c r="C19" s="322"/>
      <c r="D19" s="323"/>
      <c r="F19" s="446">
        <v>14</v>
      </c>
      <c r="G19" s="447">
        <v>9</v>
      </c>
      <c r="H19" s="448" t="s">
        <v>290</v>
      </c>
      <c r="I19" s="449" t="s">
        <v>56</v>
      </c>
      <c r="K19" s="300">
        <v>12</v>
      </c>
      <c r="L19" s="311">
        <v>4</v>
      </c>
      <c r="M19" s="315" t="s">
        <v>291</v>
      </c>
      <c r="N19" s="316" t="s">
        <v>84</v>
      </c>
      <c r="O19" s="336">
        <f>L19/G17</f>
        <v>0.36363636363636365</v>
      </c>
      <c r="Q19" s="310">
        <v>9</v>
      </c>
      <c r="R19" s="314">
        <v>4.5</v>
      </c>
      <c r="S19" s="315" t="s">
        <v>288</v>
      </c>
      <c r="T19" s="316" t="s">
        <v>69</v>
      </c>
      <c r="V19" s="333">
        <v>6</v>
      </c>
      <c r="W19" s="311"/>
      <c r="X19" s="314"/>
      <c r="Y19" s="334"/>
      <c r="Z19" s="309"/>
      <c r="AA19" s="308"/>
    </row>
    <row r="20" spans="1:27" x14ac:dyDescent="0.25">
      <c r="A20" s="183">
        <v>7</v>
      </c>
      <c r="B20" s="321"/>
      <c r="C20" s="322"/>
      <c r="D20" s="323"/>
      <c r="F20" s="317">
        <v>14</v>
      </c>
      <c r="G20" s="324">
        <v>9</v>
      </c>
      <c r="H20" s="315" t="s">
        <v>281</v>
      </c>
      <c r="I20" s="316" t="s">
        <v>69</v>
      </c>
      <c r="K20" s="300">
        <v>15</v>
      </c>
      <c r="L20" s="311">
        <v>3</v>
      </c>
      <c r="M20" s="315" t="s">
        <v>287</v>
      </c>
      <c r="N20" s="316" t="s">
        <v>69</v>
      </c>
      <c r="O20" s="336">
        <f>L20/G22</f>
        <v>0.42857142857142855</v>
      </c>
      <c r="Q20" s="310">
        <v>15</v>
      </c>
      <c r="R20" s="311">
        <v>4</v>
      </c>
      <c r="S20" s="315" t="s">
        <v>286</v>
      </c>
      <c r="T20" s="316" t="s">
        <v>152</v>
      </c>
      <c r="V20" s="333">
        <v>15</v>
      </c>
      <c r="W20" s="314"/>
      <c r="X20" s="314"/>
      <c r="Y20" s="334"/>
      <c r="Z20" s="309"/>
      <c r="AA20" s="308"/>
    </row>
    <row r="21" spans="1:27" x14ac:dyDescent="0.25">
      <c r="A21" s="183">
        <v>8</v>
      </c>
      <c r="B21" s="321"/>
      <c r="C21" s="322"/>
      <c r="D21" s="323"/>
      <c r="F21" s="317">
        <v>16</v>
      </c>
      <c r="G21" s="325">
        <v>8</v>
      </c>
      <c r="H21" s="315" t="s">
        <v>292</v>
      </c>
      <c r="I21" s="316" t="s">
        <v>152</v>
      </c>
      <c r="K21" s="300">
        <v>16</v>
      </c>
      <c r="L21" s="314"/>
      <c r="M21" s="315"/>
      <c r="N21" s="315"/>
      <c r="O21" s="335"/>
      <c r="Q21" s="310">
        <v>15</v>
      </c>
      <c r="R21" s="311">
        <v>4</v>
      </c>
      <c r="S21" s="315" t="s">
        <v>287</v>
      </c>
      <c r="T21" s="316" t="s">
        <v>69</v>
      </c>
      <c r="V21" s="333">
        <v>15</v>
      </c>
      <c r="W21" s="314"/>
      <c r="X21" s="314"/>
      <c r="Y21" s="334"/>
      <c r="Z21" s="309"/>
      <c r="AA21" s="308"/>
    </row>
    <row r="22" spans="1:27" x14ac:dyDescent="0.25">
      <c r="A22" s="183">
        <v>9</v>
      </c>
      <c r="B22" s="317"/>
      <c r="C22" s="318"/>
      <c r="D22" s="319"/>
      <c r="F22" s="317">
        <v>17</v>
      </c>
      <c r="G22" s="325">
        <v>7</v>
      </c>
      <c r="H22" s="315" t="s">
        <v>287</v>
      </c>
      <c r="I22" s="316" t="s">
        <v>69</v>
      </c>
      <c r="K22" s="300">
        <v>17</v>
      </c>
      <c r="L22" s="314"/>
      <c r="M22" s="315"/>
      <c r="N22" s="315"/>
      <c r="O22" s="335"/>
      <c r="Q22" s="310">
        <v>15</v>
      </c>
      <c r="R22" s="314">
        <v>4</v>
      </c>
      <c r="S22" s="315" t="s">
        <v>294</v>
      </c>
      <c r="T22" s="316" t="s">
        <v>56</v>
      </c>
      <c r="V22" s="333">
        <v>17</v>
      </c>
      <c r="W22" s="314"/>
      <c r="X22" s="314"/>
      <c r="Y22" s="334"/>
      <c r="Z22" s="309"/>
      <c r="AA22" s="308"/>
    </row>
    <row r="23" spans="1:27" x14ac:dyDescent="0.25">
      <c r="A23" s="183">
        <v>10</v>
      </c>
      <c r="B23" s="321"/>
      <c r="C23" s="322"/>
      <c r="D23" s="323"/>
      <c r="F23" s="317">
        <v>18</v>
      </c>
      <c r="G23" s="321">
        <v>5</v>
      </c>
      <c r="H23" s="315" t="s">
        <v>294</v>
      </c>
      <c r="I23" s="316" t="s">
        <v>56</v>
      </c>
      <c r="K23" s="300">
        <v>18</v>
      </c>
      <c r="L23" s="311"/>
      <c r="M23" s="312"/>
      <c r="N23" s="313"/>
      <c r="O23" s="336"/>
      <c r="Q23" s="310">
        <v>18</v>
      </c>
      <c r="R23" s="314">
        <v>3.5</v>
      </c>
      <c r="S23" s="315" t="s">
        <v>292</v>
      </c>
      <c r="T23" s="316" t="s">
        <v>152</v>
      </c>
    </row>
    <row r="24" spans="1:27" x14ac:dyDescent="0.25">
      <c r="A24" s="183">
        <v>10</v>
      </c>
      <c r="B24" s="321"/>
      <c r="C24" s="322"/>
      <c r="D24" s="322"/>
      <c r="F24" s="317"/>
      <c r="G24" s="321"/>
      <c r="H24" s="322"/>
      <c r="I24" s="322"/>
      <c r="K24" s="300">
        <v>19</v>
      </c>
      <c r="L24" s="311"/>
      <c r="M24" s="312"/>
      <c r="N24" s="313"/>
      <c r="O24" s="336"/>
      <c r="Q24" s="304"/>
      <c r="R24" s="304"/>
      <c r="S24" s="304"/>
      <c r="T24" s="304"/>
    </row>
    <row r="25" spans="1:27" x14ac:dyDescent="0.25">
      <c r="A25">
        <v>10</v>
      </c>
      <c r="B25" s="321"/>
      <c r="C25" s="322"/>
      <c r="D25" s="323"/>
      <c r="F25" s="317"/>
      <c r="G25" s="321"/>
      <c r="H25" s="322"/>
      <c r="I25" s="323"/>
      <c r="K25" s="300">
        <v>20</v>
      </c>
      <c r="L25" s="311"/>
      <c r="M25" s="312"/>
      <c r="N25" s="313"/>
      <c r="O25" s="336"/>
      <c r="Q25" s="304"/>
      <c r="R25" s="304"/>
      <c r="S25" s="304"/>
      <c r="T25" s="304"/>
    </row>
    <row r="26" spans="1:27" x14ac:dyDescent="0.25">
      <c r="B26" s="306">
        <f>SUM(B14:B25)</f>
        <v>18</v>
      </c>
      <c r="F26" s="317"/>
      <c r="G26" s="317"/>
      <c r="H26" s="318"/>
      <c r="I26" s="318"/>
      <c r="K26" s="300">
        <v>21</v>
      </c>
      <c r="L26" s="333"/>
      <c r="M26" s="315"/>
      <c r="N26" s="316"/>
      <c r="O26" s="335"/>
      <c r="Q26" s="304"/>
      <c r="R26" s="304"/>
      <c r="S26" s="304"/>
      <c r="T26" s="304"/>
    </row>
    <row r="27" spans="1:27" x14ac:dyDescent="0.25">
      <c r="B27" s="62"/>
      <c r="F27" s="317"/>
      <c r="G27" s="321"/>
      <c r="H27" s="322"/>
      <c r="I27" s="323"/>
      <c r="K27" s="300">
        <v>22</v>
      </c>
      <c r="L27" s="311"/>
      <c r="M27" s="312"/>
      <c r="N27" s="313"/>
      <c r="O27" s="336"/>
      <c r="Q27" s="304"/>
      <c r="R27" s="304"/>
      <c r="S27" s="304"/>
      <c r="T27" s="304"/>
    </row>
    <row r="28" spans="1:27" ht="18.75" x14ac:dyDescent="0.3">
      <c r="A28" s="327"/>
      <c r="B28" s="366" t="s">
        <v>328</v>
      </c>
      <c r="C28" s="366"/>
      <c r="K28" s="300">
        <v>22</v>
      </c>
      <c r="L28" s="311"/>
      <c r="M28" s="312"/>
      <c r="N28" s="313"/>
      <c r="O28" s="336"/>
      <c r="Q28" s="304"/>
      <c r="R28" s="304"/>
      <c r="S28" s="304"/>
      <c r="T28" s="304"/>
    </row>
    <row r="29" spans="1:27" x14ac:dyDescent="0.25">
      <c r="A29" s="183">
        <v>1</v>
      </c>
      <c r="B29" s="321">
        <v>9</v>
      </c>
      <c r="C29" s="315" t="s">
        <v>280</v>
      </c>
      <c r="D29" s="313" t="s">
        <v>89</v>
      </c>
      <c r="K29" s="300">
        <v>24</v>
      </c>
      <c r="L29" s="311"/>
      <c r="M29" s="312"/>
      <c r="N29" s="312"/>
      <c r="O29" s="336"/>
      <c r="Q29" s="304"/>
      <c r="R29" s="304"/>
      <c r="S29" s="304"/>
      <c r="T29" s="304"/>
    </row>
    <row r="30" spans="1:27" x14ac:dyDescent="0.25">
      <c r="A30" s="183">
        <v>2</v>
      </c>
      <c r="B30" s="317">
        <v>7</v>
      </c>
      <c r="C30" s="312" t="s">
        <v>278</v>
      </c>
      <c r="D30" s="313" t="s">
        <v>89</v>
      </c>
      <c r="K30" s="300">
        <v>24</v>
      </c>
      <c r="L30" s="311"/>
      <c r="M30" s="312"/>
      <c r="N30" s="312"/>
      <c r="O30" s="336"/>
      <c r="Q30" s="304"/>
      <c r="R30" s="304"/>
      <c r="S30" s="304"/>
      <c r="T30" s="304"/>
    </row>
    <row r="31" spans="1:27" x14ac:dyDescent="0.25">
      <c r="A31" s="183">
        <v>3</v>
      </c>
      <c r="B31" s="321">
        <v>2</v>
      </c>
      <c r="C31" s="315" t="s">
        <v>306</v>
      </c>
      <c r="D31" s="313" t="s">
        <v>89</v>
      </c>
      <c r="K31" s="300">
        <v>26</v>
      </c>
      <c r="L31" s="311"/>
      <c r="M31" s="312"/>
      <c r="N31" s="312"/>
      <c r="O31" s="336"/>
      <c r="Q31" s="304"/>
    </row>
    <row r="32" spans="1:27" x14ac:dyDescent="0.25">
      <c r="A32" s="183">
        <v>4</v>
      </c>
      <c r="B32" s="321"/>
      <c r="C32" s="322"/>
      <c r="D32" s="322"/>
      <c r="L32" s="307">
        <f>SUM(L6:L31)</f>
        <v>110</v>
      </c>
    </row>
    <row r="33" spans="1:4" x14ac:dyDescent="0.25">
      <c r="A33" s="183">
        <v>5</v>
      </c>
      <c r="B33" s="321"/>
      <c r="C33" s="322"/>
      <c r="D33" s="323"/>
    </row>
    <row r="34" spans="1:4" x14ac:dyDescent="0.25">
      <c r="A34" s="183">
        <v>6</v>
      </c>
      <c r="B34" s="321"/>
      <c r="C34" s="322"/>
      <c r="D34" s="323"/>
    </row>
    <row r="35" spans="1:4" x14ac:dyDescent="0.25">
      <c r="A35" s="183">
        <v>7</v>
      </c>
      <c r="B35" s="321"/>
      <c r="C35" s="322"/>
      <c r="D35" s="323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8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7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3">
      <colorScale>
        <cfvo type="min"/>
        <cfvo type="max"/>
        <color rgb="FFFFEF9C"/>
        <color rgb="FF63BE7B"/>
      </colorScale>
    </cfRule>
  </conditionalFormatting>
  <conditionalFormatting sqref="Z6:Z13">
    <cfRule type="colorScale" priority="398">
      <colorScale>
        <cfvo type="min"/>
        <cfvo type="max"/>
        <color rgb="FFFCFCFF"/>
        <color rgb="FFF8696B"/>
      </colorScale>
    </cfRule>
  </conditionalFormatting>
  <conditionalFormatting sqref="AA6:AA13">
    <cfRule type="colorScale" priority="1">
      <colorScale>
        <cfvo type="min"/>
        <cfvo type="max"/>
        <color rgb="FFFCFCFF"/>
        <color rgb="FFF8696B"/>
      </colorScale>
    </cfRule>
  </conditionalFormatting>
  <conditionalFormatting sqref="R6:R23">
    <cfRule type="colorScale" priority="461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465">
      <colorScale>
        <cfvo type="min"/>
        <cfvo type="max"/>
        <color rgb="FFFFEF9C"/>
        <color rgb="FF63BE7B"/>
      </colorScale>
    </cfRule>
  </conditionalFormatting>
  <conditionalFormatting sqref="L6:L31">
    <cfRule type="colorScale" priority="481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48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29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10" sqref="E10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43735</v>
      </c>
      <c r="E1" s="469">
        <v>43637</v>
      </c>
      <c r="F1" s="469"/>
      <c r="G1" s="469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AVERAGE(I4:I20)</f>
        <v>3.1941176470588228</v>
      </c>
      <c r="J2" s="11"/>
      <c r="K2" s="11"/>
      <c r="L2" s="7"/>
      <c r="M2" s="12">
        <f>AVERAGE(M4:M20)</f>
        <v>5.6235294117647054</v>
      </c>
      <c r="N2" s="11"/>
      <c r="O2" s="11"/>
      <c r="P2" s="12">
        <f>AVERAGE(P4:P20)</f>
        <v>5.6470588235294121</v>
      </c>
      <c r="Q2" s="13">
        <f>AVERAGE(Q4:Q20)</f>
        <v>0.89481670113357425</v>
      </c>
      <c r="R2" s="13">
        <f>AVERAGE(R4:R20)</f>
        <v>0.95501965986406767</v>
      </c>
      <c r="S2" s="14">
        <f>AVERAGE(S4:S20)</f>
        <v>1678.8235294117646</v>
      </c>
      <c r="T2" s="14"/>
      <c r="U2" s="14">
        <f>AVERAGE(U4:U20)</f>
        <v>480.58823529411762</v>
      </c>
      <c r="V2" s="15"/>
      <c r="W2" s="15"/>
      <c r="X2" s="15"/>
      <c r="Y2" s="15"/>
      <c r="Z2" s="15"/>
      <c r="AA2" s="15"/>
      <c r="AB2" s="15"/>
      <c r="AC2" s="15"/>
      <c r="AD2" s="46">
        <f>AVERAGE(AD4:AD20)</f>
        <v>366</v>
      </c>
      <c r="AE2" s="46">
        <f>AVERAGE(AE4:AE20)</f>
        <v>789.47058823529414</v>
      </c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331</v>
      </c>
      <c r="AG3" s="21" t="s">
        <v>332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0" ca="1" si="0">((36*112)-(E4*112)-(F4))/112</f>
        <v>16.848214285714285</v>
      </c>
      <c r="D4" s="196" t="s">
        <v>52</v>
      </c>
      <c r="E4" s="27">
        <v>19</v>
      </c>
      <c r="F4" s="28">
        <f ca="1">$D$1-43606-112</f>
        <v>17</v>
      </c>
      <c r="G4" s="29" t="s">
        <v>53</v>
      </c>
      <c r="H4" s="32">
        <v>2</v>
      </c>
      <c r="I4" s="33">
        <v>1.6</v>
      </c>
      <c r="J4" s="34">
        <f t="shared" ref="J4:J20" si="1">LOG(I4+1)*4/3</f>
        <v>0.55329779729442397</v>
      </c>
      <c r="K4" s="35">
        <f t="shared" ref="K4:K20" si="2">(H4)*(H4)*(I4)</f>
        <v>6.4</v>
      </c>
      <c r="L4" s="35">
        <f t="shared" ref="L4:L20" si="3">(H4+1)*(H4+1)*I4</f>
        <v>14.4</v>
      </c>
      <c r="M4" s="36">
        <v>5.5</v>
      </c>
      <c r="N4" s="37">
        <f t="shared" ref="N4:N20" si="4">M4*10+19</f>
        <v>74</v>
      </c>
      <c r="O4" s="38">
        <v>1.5</v>
      </c>
      <c r="P4" s="30">
        <v>6</v>
      </c>
      <c r="Q4" s="31">
        <f t="shared" ref="Q4:Q20" si="5">(P4/7)^0.5</f>
        <v>0.92582009977255142</v>
      </c>
      <c r="R4" s="31">
        <f t="shared" ref="R4:R20" si="6">IF(P4=7,1,((P4+0.99)/7)^0.5)</f>
        <v>0.99928545900129484</v>
      </c>
      <c r="S4" s="39">
        <v>7270</v>
      </c>
      <c r="T4" s="40">
        <f t="shared" ref="T4:T20" si="7">S4-AZ4</f>
        <v>1310</v>
      </c>
      <c r="U4" s="41">
        <v>1710</v>
      </c>
      <c r="V4" s="42">
        <f t="shared" ref="V4:V21" si="8">S4/U4</f>
        <v>4.2514619883040936</v>
      </c>
      <c r="W4" s="45">
        <f>7+2/3</f>
        <v>7.666666666666667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440</v>
      </c>
      <c r="AE4" s="46">
        <v>1768</v>
      </c>
      <c r="AF4" s="42">
        <f>(0.972*(W4+O4+J4)+ 0.399*(X4+O4+J4))*Q4</f>
        <v>11.721874275760914</v>
      </c>
      <c r="AG4" s="42">
        <f>(0.972*(W4+O4+J4)+ 0.399*(X4+O4+J4))*R4</f>
        <v>12.652024425573501</v>
      </c>
      <c r="AH4" s="43">
        <f t="shared" ref="AH4:AH20" si="9">(Y4+O4+J4)*(P4/7)^0.5</f>
        <v>3.7526245710989863</v>
      </c>
      <c r="AI4" s="43">
        <f t="shared" ref="AI4:AI20" si="10">(Y4+O4+J4)*(IF(P4=7, (P4/7)^0.5, ((P4+1)/7)^0.5))</f>
        <v>4.053297797294424</v>
      </c>
      <c r="AJ4" s="44">
        <f t="shared" ref="AJ4:AJ20" si="11">(AC4+O4+(LOG(I4)*4/3))*(P4/7)^0.5</f>
        <v>5.3439817256931388</v>
      </c>
      <c r="AK4" s="44">
        <f t="shared" ref="AK4:AK20" si="12">(AC4+O4+(LOG(I4)*4/3))*(IF(P4=7, (P4/7)^0.5, ((P4+1)/7)^0.5))</f>
        <v>5.7721599768745664</v>
      </c>
      <c r="AL4" s="42">
        <f t="shared" ref="AL4:AL20" si="13">(((X4+O4+J4)+(AA4+O4+J4)*2)/8)*(P4/7)^0.5</f>
        <v>2.1015992889915336</v>
      </c>
      <c r="AM4" s="42">
        <f t="shared" ref="AM4:AM20" si="14">(1.66*(AB4+J4+O4)+0.55*(AC4+J4+O4)-7.6)*(P4/7)^0.5</f>
        <v>0.73860828798474121</v>
      </c>
      <c r="AN4" s="42">
        <f t="shared" ref="AN4:AN20" si="15">((AC4+J4+O4)*0.7+(AB4+J4+O4)*0.3)*(P4/7)^0.5</f>
        <v>4.7710266808487924</v>
      </c>
      <c r="AO4" s="30">
        <v>0</v>
      </c>
      <c r="AP4" s="30">
        <v>0</v>
      </c>
      <c r="AQ4" s="31">
        <f t="shared" ref="AQ4:AQ20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12.5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0" si="17">SUM(AR4:AX4)</f>
        <v>30.5</v>
      </c>
      <c r="AZ4" s="39">
        <v>5960</v>
      </c>
      <c r="BA4" s="49" t="s">
        <v>54</v>
      </c>
    </row>
    <row r="5" spans="1:53" x14ac:dyDescent="0.25">
      <c r="A5" s="24" t="s">
        <v>55</v>
      </c>
      <c r="B5" s="24" t="s">
        <v>56</v>
      </c>
      <c r="C5" s="26">
        <f t="shared" ca="1" si="0"/>
        <v>13.928571428571429</v>
      </c>
      <c r="D5" s="294" t="s">
        <v>57</v>
      </c>
      <c r="E5" s="50">
        <v>22</v>
      </c>
      <c r="F5" s="51">
        <f ca="1">$D$1-43615-112</f>
        <v>8</v>
      </c>
      <c r="G5" s="29" t="s">
        <v>58</v>
      </c>
      <c r="H5" s="52">
        <v>6</v>
      </c>
      <c r="I5" s="53">
        <v>2</v>
      </c>
      <c r="J5" s="34">
        <f t="shared" si="1"/>
        <v>0.63616167295954995</v>
      </c>
      <c r="K5" s="35">
        <f t="shared" si="2"/>
        <v>72</v>
      </c>
      <c r="L5" s="35">
        <f t="shared" si="3"/>
        <v>98</v>
      </c>
      <c r="M5" s="54">
        <v>5.9</v>
      </c>
      <c r="N5" s="37">
        <f t="shared" si="4"/>
        <v>78</v>
      </c>
      <c r="O5" s="38">
        <v>1.5</v>
      </c>
      <c r="P5" s="37">
        <v>7</v>
      </c>
      <c r="Q5" s="31">
        <f t="shared" si="5"/>
        <v>1</v>
      </c>
      <c r="R5" s="31">
        <f t="shared" si="6"/>
        <v>1</v>
      </c>
      <c r="S5" s="39">
        <v>4860</v>
      </c>
      <c r="T5" s="40">
        <f t="shared" si="7"/>
        <v>860</v>
      </c>
      <c r="U5" s="39">
        <v>1310</v>
      </c>
      <c r="V5" s="42">
        <f t="shared" si="8"/>
        <v>3.7099236641221376</v>
      </c>
      <c r="W5" s="45">
        <f>6+1/3*69/90+1/3</f>
        <v>6.5888888888888886</v>
      </c>
      <c r="X5" s="34">
        <v>2</v>
      </c>
      <c r="Y5" s="45">
        <v>0</v>
      </c>
      <c r="Z5" s="34">
        <v>0</v>
      </c>
      <c r="AA5" s="45">
        <v>0</v>
      </c>
      <c r="AB5" s="34">
        <v>0</v>
      </c>
      <c r="AC5" s="45">
        <v>4</v>
      </c>
      <c r="AD5" s="46">
        <v>166</v>
      </c>
      <c r="AE5" s="46">
        <v>1066</v>
      </c>
      <c r="AF5" s="42">
        <f t="shared" ref="AF5:AF20" si="18">(0.972*(W5+O5+J5)+ 0.399*(X5+O5+J5))*Q5</f>
        <v>10.131077653627543</v>
      </c>
      <c r="AG5" s="42">
        <f t="shared" ref="AG5:AG20" si="19">(0.972*(W5+O5+J5)+ 0.399*(X5+O5+J5))*R5</f>
        <v>10.131077653627543</v>
      </c>
      <c r="AH5" s="43">
        <f t="shared" si="9"/>
        <v>2.1361616729595498</v>
      </c>
      <c r="AI5" s="43">
        <f t="shared" si="10"/>
        <v>2.1361616729595498</v>
      </c>
      <c r="AJ5" s="44">
        <f t="shared" si="11"/>
        <v>5.9013733275519753</v>
      </c>
      <c r="AK5" s="44">
        <f t="shared" si="12"/>
        <v>5.9013733275519753</v>
      </c>
      <c r="AL5" s="42">
        <f t="shared" si="13"/>
        <v>1.0510606273598313</v>
      </c>
      <c r="AM5" s="42">
        <f t="shared" si="14"/>
        <v>-0.67908270275939486</v>
      </c>
      <c r="AN5" s="42">
        <f t="shared" si="15"/>
        <v>4.9361616729595497</v>
      </c>
      <c r="AO5" s="37">
        <v>3</v>
      </c>
      <c r="AP5" s="37">
        <v>4</v>
      </c>
      <c r="AQ5" s="31">
        <f t="shared" si="16"/>
        <v>0.1158</v>
      </c>
      <c r="AR5" s="47">
        <v>9.5</v>
      </c>
      <c r="AS5" s="47">
        <v>0</v>
      </c>
      <c r="AT5" s="47">
        <v>0</v>
      </c>
      <c r="AU5" s="47">
        <v>0</v>
      </c>
      <c r="AV5" s="47">
        <v>0</v>
      </c>
      <c r="AW5" s="47">
        <v>0</v>
      </c>
      <c r="AX5" s="47">
        <v>2</v>
      </c>
      <c r="AY5" s="48">
        <f t="shared" si="17"/>
        <v>11.5</v>
      </c>
      <c r="AZ5" s="39">
        <v>4000</v>
      </c>
      <c r="BA5" s="49" t="s">
        <v>54</v>
      </c>
    </row>
    <row r="6" spans="1:53" x14ac:dyDescent="0.25">
      <c r="A6" s="24" t="s">
        <v>59</v>
      </c>
      <c r="B6" s="25" t="s">
        <v>60</v>
      </c>
      <c r="C6" s="26">
        <f t="shared" ca="1" si="0"/>
        <v>3.1339285714285716</v>
      </c>
      <c r="D6" s="195" t="s">
        <v>61</v>
      </c>
      <c r="E6" s="27">
        <v>32</v>
      </c>
      <c r="F6" s="28">
        <f ca="1">$D$1-43526-112</f>
        <v>97</v>
      </c>
      <c r="G6" s="56"/>
      <c r="H6" s="32">
        <v>3</v>
      </c>
      <c r="I6" s="33">
        <v>4.0999999999999996</v>
      </c>
      <c r="J6" s="34">
        <f t="shared" si="1"/>
        <v>0.94342690146391517</v>
      </c>
      <c r="K6" s="35">
        <f t="shared" si="2"/>
        <v>36.9</v>
      </c>
      <c r="L6" s="35">
        <f t="shared" si="3"/>
        <v>65.599999999999994</v>
      </c>
      <c r="M6" s="36">
        <v>5.0999999999999996</v>
      </c>
      <c r="N6" s="37">
        <f t="shared" si="4"/>
        <v>70</v>
      </c>
      <c r="O6" s="38">
        <v>1.5</v>
      </c>
      <c r="P6" s="30">
        <v>5</v>
      </c>
      <c r="Q6" s="31">
        <f t="shared" si="5"/>
        <v>0.84515425472851657</v>
      </c>
      <c r="R6" s="31">
        <f t="shared" si="6"/>
        <v>0.92504826128926143</v>
      </c>
      <c r="S6" s="39">
        <v>440</v>
      </c>
      <c r="T6" s="40">
        <f t="shared" si="7"/>
        <v>30</v>
      </c>
      <c r="U6" s="41">
        <v>310</v>
      </c>
      <c r="V6" s="42">
        <f t="shared" si="8"/>
        <v>1.4193548387096775</v>
      </c>
      <c r="W6" s="45">
        <v>1</v>
      </c>
      <c r="X6" s="34">
        <v>5</v>
      </c>
      <c r="Y6" s="45">
        <v>4</v>
      </c>
      <c r="Z6" s="34">
        <v>4.95</v>
      </c>
      <c r="AA6" s="45">
        <v>4</v>
      </c>
      <c r="AB6" s="34">
        <v>2</v>
      </c>
      <c r="AC6" s="45">
        <v>5</v>
      </c>
      <c r="AD6" s="46">
        <v>422</v>
      </c>
      <c r="AE6" s="46">
        <v>-141</v>
      </c>
      <c r="AF6" s="42">
        <f t="shared" si="18"/>
        <v>5.3387872658111704</v>
      </c>
      <c r="AG6" s="42">
        <f t="shared" si="19"/>
        <v>5.8434727743496708</v>
      </c>
      <c r="AH6" s="43">
        <f t="shared" si="9"/>
        <v>5.4456896608044101</v>
      </c>
      <c r="AI6" s="43">
        <f t="shared" si="10"/>
        <v>5.9654541367904645</v>
      </c>
      <c r="AJ6" s="44">
        <f t="shared" si="11"/>
        <v>6.1840318340495362</v>
      </c>
      <c r="AK6" s="44">
        <f t="shared" si="12"/>
        <v>6.7742674636779494</v>
      </c>
      <c r="AL6" s="42">
        <f t="shared" si="13"/>
        <v>2.1477779046427186</v>
      </c>
      <c r="AM6" s="42">
        <f t="shared" si="14"/>
        <v>3.2707245288430316</v>
      </c>
      <c r="AN6" s="42">
        <f t="shared" si="15"/>
        <v>5.5302050862772614</v>
      </c>
      <c r="AO6" s="30">
        <v>0</v>
      </c>
      <c r="AP6" s="30">
        <v>2</v>
      </c>
      <c r="AQ6" s="31">
        <f t="shared" si="16"/>
        <v>2.63E-2</v>
      </c>
      <c r="AR6" s="47">
        <v>0</v>
      </c>
      <c r="AS6" s="47">
        <v>10</v>
      </c>
      <c r="AT6" s="47">
        <v>6</v>
      </c>
      <c r="AU6" s="47">
        <v>5.5</v>
      </c>
      <c r="AV6" s="47">
        <v>4</v>
      </c>
      <c r="AW6" s="47">
        <v>0</v>
      </c>
      <c r="AX6" s="47">
        <v>3</v>
      </c>
      <c r="AY6" s="48">
        <f t="shared" si="17"/>
        <v>28.5</v>
      </c>
      <c r="AZ6" s="39">
        <v>410</v>
      </c>
      <c r="BA6" s="49" t="s">
        <v>54</v>
      </c>
    </row>
    <row r="7" spans="1:53" x14ac:dyDescent="0.25">
      <c r="A7" s="57" t="s">
        <v>62</v>
      </c>
      <c r="B7" s="25" t="s">
        <v>60</v>
      </c>
      <c r="C7" s="26">
        <f t="shared" ca="1" si="0"/>
        <v>8.5892857142857135</v>
      </c>
      <c r="D7" s="190" t="s">
        <v>63</v>
      </c>
      <c r="E7" s="27">
        <v>27</v>
      </c>
      <c r="F7" s="28">
        <f ca="1">$D$1-43577-112</f>
        <v>46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5.0999999999999996</v>
      </c>
      <c r="N7" s="37">
        <f t="shared" si="4"/>
        <v>70</v>
      </c>
      <c r="O7" s="38">
        <v>1.5</v>
      </c>
      <c r="P7" s="30">
        <v>5</v>
      </c>
      <c r="Q7" s="31">
        <f t="shared" si="5"/>
        <v>0.84515425472851657</v>
      </c>
      <c r="R7" s="31">
        <f t="shared" si="6"/>
        <v>0.92504826128926143</v>
      </c>
      <c r="S7" s="39">
        <v>1330</v>
      </c>
      <c r="T7" s="40">
        <f t="shared" si="7"/>
        <v>10</v>
      </c>
      <c r="U7" s="41">
        <v>390</v>
      </c>
      <c r="V7" s="42">
        <f t="shared" si="8"/>
        <v>3.4102564102564101</v>
      </c>
      <c r="W7" s="45">
        <v>0</v>
      </c>
      <c r="X7" s="34">
        <v>6</v>
      </c>
      <c r="Y7" s="45">
        <v>2</v>
      </c>
      <c r="Z7" s="34">
        <v>5</v>
      </c>
      <c r="AA7" s="45">
        <v>3</v>
      </c>
      <c r="AB7" s="34">
        <v>1</v>
      </c>
      <c r="AC7" s="45">
        <v>4</v>
      </c>
      <c r="AD7" s="46">
        <v>375</v>
      </c>
      <c r="AE7" s="46">
        <v>497</v>
      </c>
      <c r="AF7" s="42">
        <f t="shared" si="18"/>
        <v>4.8412271114817971</v>
      </c>
      <c r="AG7" s="42">
        <f t="shared" si="19"/>
        <v>5.2988773314774678</v>
      </c>
      <c r="AH7" s="43">
        <f t="shared" si="9"/>
        <v>3.7456898556727363</v>
      </c>
      <c r="AI7" s="43">
        <f t="shared" si="10"/>
        <v>4.1031976547404554</v>
      </c>
      <c r="AJ7" s="44">
        <f t="shared" si="11"/>
        <v>5.3267931520370295</v>
      </c>
      <c r="AK7" s="44">
        <f t="shared" si="12"/>
        <v>5.8352095370694537</v>
      </c>
      <c r="AL7" s="42">
        <f t="shared" si="13"/>
        <v>2.0384993869236636</v>
      </c>
      <c r="AM7" s="42">
        <f t="shared" si="14"/>
        <v>1.3815158624520514</v>
      </c>
      <c r="AN7" s="42">
        <f t="shared" si="15"/>
        <v>4.6753595358741045</v>
      </c>
      <c r="AO7" s="30">
        <v>2</v>
      </c>
      <c r="AP7" s="30">
        <v>4</v>
      </c>
      <c r="AQ7" s="31">
        <f t="shared" si="16"/>
        <v>6.1499999999999999E-2</v>
      </c>
      <c r="AR7" s="47">
        <v>0</v>
      </c>
      <c r="AS7" s="47">
        <v>14</v>
      </c>
      <c r="AT7" s="47">
        <v>0</v>
      </c>
      <c r="AU7" s="47">
        <v>5.5</v>
      </c>
      <c r="AV7" s="47">
        <v>2</v>
      </c>
      <c r="AW7" s="47">
        <v>0</v>
      </c>
      <c r="AX7" s="47">
        <v>2</v>
      </c>
      <c r="AY7" s="48">
        <f t="shared" si="17"/>
        <v>23.5</v>
      </c>
      <c r="AZ7" s="39">
        <v>1320</v>
      </c>
      <c r="BA7" s="49" t="s">
        <v>54</v>
      </c>
    </row>
    <row r="8" spans="1:53" x14ac:dyDescent="0.25">
      <c r="A8" s="24" t="s">
        <v>64</v>
      </c>
      <c r="B8" s="24" t="s">
        <v>51</v>
      </c>
      <c r="C8" s="26">
        <f t="shared" ca="1" si="0"/>
        <v>6.5625</v>
      </c>
      <c r="D8" s="409" t="s">
        <v>65</v>
      </c>
      <c r="E8" s="50">
        <v>29</v>
      </c>
      <c r="F8" s="28">
        <f ca="1">$D$1-43574-112</f>
        <v>49</v>
      </c>
      <c r="G8" s="29"/>
      <c r="H8" s="32">
        <v>5</v>
      </c>
      <c r="I8" s="53">
        <v>4.5999999999999996</v>
      </c>
      <c r="J8" s="34">
        <f t="shared" si="1"/>
        <v>0.99758403600826717</v>
      </c>
      <c r="K8" s="35">
        <f t="shared" si="2"/>
        <v>114.99999999999999</v>
      </c>
      <c r="L8" s="35">
        <f t="shared" si="3"/>
        <v>165.6</v>
      </c>
      <c r="M8" s="54">
        <v>5.8</v>
      </c>
      <c r="N8" s="37">
        <f t="shared" si="4"/>
        <v>77</v>
      </c>
      <c r="O8" s="38">
        <v>1.5</v>
      </c>
      <c r="P8" s="37">
        <v>6</v>
      </c>
      <c r="Q8" s="31">
        <f t="shared" si="5"/>
        <v>0.92582009977255142</v>
      </c>
      <c r="R8" s="31">
        <f t="shared" si="6"/>
        <v>0.99928545900129484</v>
      </c>
      <c r="S8" s="39">
        <v>540</v>
      </c>
      <c r="T8" s="40">
        <f t="shared" si="7"/>
        <v>-10</v>
      </c>
      <c r="U8" s="39">
        <v>300</v>
      </c>
      <c r="V8" s="42">
        <f t="shared" si="8"/>
        <v>1.8</v>
      </c>
      <c r="W8" s="45">
        <v>0</v>
      </c>
      <c r="X8" s="34">
        <v>5</v>
      </c>
      <c r="Y8" s="45">
        <v>5</v>
      </c>
      <c r="Z8" s="34">
        <v>2</v>
      </c>
      <c r="AA8" s="45">
        <v>1</v>
      </c>
      <c r="AB8" s="34">
        <v>1</v>
      </c>
      <c r="AC8" s="45">
        <v>3</v>
      </c>
      <c r="AD8" s="46">
        <v>315</v>
      </c>
      <c r="AE8" s="46">
        <v>170</v>
      </c>
      <c r="AF8" s="42">
        <f t="shared" si="18"/>
        <v>5.0171929094759298</v>
      </c>
      <c r="AG8" s="42">
        <f t="shared" si="19"/>
        <v>5.4153154815664539</v>
      </c>
      <c r="AH8" s="43">
        <f t="shared" si="9"/>
        <v>6.9414140002702629</v>
      </c>
      <c r="AI8" s="43">
        <f t="shared" si="10"/>
        <v>7.4975840360082673</v>
      </c>
      <c r="AJ8" s="44">
        <f t="shared" si="11"/>
        <v>4.9843164781131142</v>
      </c>
      <c r="AK8" s="44">
        <f t="shared" si="12"/>
        <v>5.3836771089087652</v>
      </c>
      <c r="AL8" s="42">
        <f t="shared" si="13"/>
        <v>1.6772101503287973</v>
      </c>
      <c r="AM8" s="42">
        <f t="shared" si="14"/>
        <v>1.1384446100863428</v>
      </c>
      <c r="AN8" s="42">
        <f t="shared" si="15"/>
        <v>4.5342817408616289</v>
      </c>
      <c r="AO8" s="37">
        <v>0</v>
      </c>
      <c r="AP8" s="37">
        <v>4</v>
      </c>
      <c r="AQ8" s="31">
        <f t="shared" si="16"/>
        <v>2.63E-2</v>
      </c>
      <c r="AR8" s="47">
        <v>0</v>
      </c>
      <c r="AS8" s="47">
        <v>10</v>
      </c>
      <c r="AT8" s="47">
        <v>9</v>
      </c>
      <c r="AU8" s="47">
        <v>0</v>
      </c>
      <c r="AV8" s="47">
        <v>0</v>
      </c>
      <c r="AW8" s="47">
        <v>0</v>
      </c>
      <c r="AX8" s="47">
        <v>1</v>
      </c>
      <c r="AY8" s="48">
        <f t="shared" si="17"/>
        <v>20</v>
      </c>
      <c r="AZ8" s="39">
        <v>550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4.3125</v>
      </c>
      <c r="D9" s="409" t="s">
        <v>67</v>
      </c>
      <c r="E9" s="50">
        <v>31</v>
      </c>
      <c r="F9" s="51">
        <f ca="1">$D$1-43546-112</f>
        <v>77</v>
      </c>
      <c r="G9" s="29"/>
      <c r="H9" s="32">
        <v>4</v>
      </c>
      <c r="I9" s="53">
        <v>5.6</v>
      </c>
      <c r="J9" s="34">
        <f t="shared" si="1"/>
        <v>1.0927252473891582</v>
      </c>
      <c r="K9" s="35">
        <f t="shared" si="2"/>
        <v>89.6</v>
      </c>
      <c r="L9" s="35">
        <f t="shared" si="3"/>
        <v>140</v>
      </c>
      <c r="M9" s="54">
        <v>5.3</v>
      </c>
      <c r="N9" s="37">
        <f t="shared" si="4"/>
        <v>72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220</v>
      </c>
      <c r="T9" s="40">
        <f t="shared" si="7"/>
        <v>-20</v>
      </c>
      <c r="U9" s="39">
        <v>280</v>
      </c>
      <c r="V9" s="42">
        <f t="shared" si="8"/>
        <v>0.7857142857142857</v>
      </c>
      <c r="W9" s="45">
        <v>0</v>
      </c>
      <c r="X9" s="34">
        <v>5</v>
      </c>
      <c r="Y9" s="45">
        <v>4</v>
      </c>
      <c r="Z9" s="34">
        <v>3</v>
      </c>
      <c r="AA9" s="45">
        <v>2</v>
      </c>
      <c r="AB9" s="34">
        <v>0</v>
      </c>
      <c r="AC9" s="45">
        <v>6</v>
      </c>
      <c r="AD9" s="46">
        <v>324</v>
      </c>
      <c r="AE9" s="46">
        <v>-100</v>
      </c>
      <c r="AF9" s="42">
        <f t="shared" si="18"/>
        <v>4.6902902915745637</v>
      </c>
      <c r="AG9" s="42">
        <f t="shared" si="19"/>
        <v>5.1336721727285868</v>
      </c>
      <c r="AH9" s="43">
        <f t="shared" si="9"/>
        <v>5.5718697930870587</v>
      </c>
      <c r="AI9" s="43">
        <f t="shared" si="10"/>
        <v>6.1036775463108484</v>
      </c>
      <c r="AJ9" s="44">
        <f t="shared" si="11"/>
        <v>7.1817693029455061</v>
      </c>
      <c r="AK9" s="44">
        <f t="shared" si="12"/>
        <v>7.867234100042813</v>
      </c>
      <c r="AL9" s="42">
        <f t="shared" si="13"/>
        <v>1.7725183268844533</v>
      </c>
      <c r="AM9" s="42">
        <f t="shared" si="14"/>
        <v>1.2085053355896926</v>
      </c>
      <c r="AN9" s="42">
        <f t="shared" si="15"/>
        <v>5.7409006440327621</v>
      </c>
      <c r="AO9" s="37">
        <v>1</v>
      </c>
      <c r="AP9" s="37">
        <v>2</v>
      </c>
      <c r="AQ9" s="31">
        <f t="shared" si="16"/>
        <v>4.9399999999999999E-2</v>
      </c>
      <c r="AR9" s="47">
        <v>0</v>
      </c>
      <c r="AS9" s="47">
        <v>10</v>
      </c>
      <c r="AT9" s="47">
        <v>6</v>
      </c>
      <c r="AU9" s="47">
        <v>1.5</v>
      </c>
      <c r="AV9" s="47">
        <v>0</v>
      </c>
      <c r="AW9" s="47">
        <v>0</v>
      </c>
      <c r="AX9" s="47">
        <v>4</v>
      </c>
      <c r="AY9" s="48">
        <f t="shared" si="17"/>
        <v>21.5</v>
      </c>
      <c r="AZ9" s="39">
        <v>240</v>
      </c>
      <c r="BA9" s="49" t="s">
        <v>54</v>
      </c>
    </row>
    <row r="10" spans="1:53" x14ac:dyDescent="0.25">
      <c r="A10" s="58" t="s">
        <v>68</v>
      </c>
      <c r="B10" s="25" t="s">
        <v>69</v>
      </c>
      <c r="C10" s="26">
        <f t="shared" ca="1" si="0"/>
        <v>10</v>
      </c>
      <c r="D10" s="190" t="s">
        <v>70</v>
      </c>
      <c r="E10" s="27">
        <v>25</v>
      </c>
      <c r="F10" s="28">
        <f ca="1">$D$1-43623</f>
        <v>112</v>
      </c>
      <c r="G10" s="56" t="s">
        <v>71</v>
      </c>
      <c r="H10" s="55">
        <v>5</v>
      </c>
      <c r="I10" s="33">
        <v>3.2</v>
      </c>
      <c r="J10" s="34">
        <f t="shared" si="1"/>
        <v>0.8309990538638673</v>
      </c>
      <c r="K10" s="35">
        <f t="shared" si="2"/>
        <v>80</v>
      </c>
      <c r="L10" s="35">
        <f t="shared" si="3"/>
        <v>115.2</v>
      </c>
      <c r="M10" s="36">
        <v>6.2</v>
      </c>
      <c r="N10" s="37">
        <f t="shared" si="4"/>
        <v>81</v>
      </c>
      <c r="O10" s="38">
        <v>1.5</v>
      </c>
      <c r="P10" s="30">
        <v>6</v>
      </c>
      <c r="Q10" s="31">
        <f t="shared" si="5"/>
        <v>0.92582009977255142</v>
      </c>
      <c r="R10" s="31">
        <f t="shared" si="6"/>
        <v>0.99928545900129484</v>
      </c>
      <c r="S10" s="39">
        <v>1030</v>
      </c>
      <c r="T10" s="40">
        <f t="shared" si="7"/>
        <v>10</v>
      </c>
      <c r="U10" s="41">
        <v>330</v>
      </c>
      <c r="V10" s="42">
        <f t="shared" si="8"/>
        <v>3.1212121212121211</v>
      </c>
      <c r="W10" s="45">
        <v>1</v>
      </c>
      <c r="X10" s="34">
        <v>4</v>
      </c>
      <c r="Y10" s="45">
        <v>5</v>
      </c>
      <c r="Z10" s="34">
        <v>2</v>
      </c>
      <c r="AA10" s="45">
        <v>4</v>
      </c>
      <c r="AB10" s="34">
        <v>2</v>
      </c>
      <c r="AC10" s="45">
        <v>5</v>
      </c>
      <c r="AD10" s="46">
        <v>381</v>
      </c>
      <c r="AE10" s="46">
        <v>699</v>
      </c>
      <c r="AF10" s="42">
        <f t="shared" si="18"/>
        <v>5.336241615959147</v>
      </c>
      <c r="AG10" s="42">
        <f t="shared" si="19"/>
        <v>5.7596812316513528</v>
      </c>
      <c r="AH10" s="43">
        <f t="shared" si="9"/>
        <v>6.7871862754807255</v>
      </c>
      <c r="AI10" s="43">
        <f t="shared" si="10"/>
        <v>7.3309990538638674</v>
      </c>
      <c r="AJ10" s="44">
        <f t="shared" si="11"/>
        <v>6.641401319625901</v>
      </c>
      <c r="AK10" s="44">
        <f t="shared" si="12"/>
        <v>7.1735333044265417</v>
      </c>
      <c r="AL10" s="42">
        <f t="shared" si="13"/>
        <v>2.1980123158905656</v>
      </c>
      <c r="AM10" s="42">
        <f t="shared" si="14"/>
        <v>3.3528648136737074</v>
      </c>
      <c r="AN10" s="42">
        <f t="shared" si="15"/>
        <v>5.9539481856854293</v>
      </c>
      <c r="AO10" s="30">
        <v>4</v>
      </c>
      <c r="AP10" s="30">
        <v>2</v>
      </c>
      <c r="AQ10" s="31">
        <f t="shared" si="16"/>
        <v>0.157</v>
      </c>
      <c r="AR10" s="47">
        <v>0</v>
      </c>
      <c r="AS10" s="47">
        <v>6</v>
      </c>
      <c r="AT10" s="47">
        <v>9</v>
      </c>
      <c r="AU10" s="47">
        <v>0</v>
      </c>
      <c r="AV10" s="47">
        <v>4</v>
      </c>
      <c r="AW10" s="47">
        <v>0</v>
      </c>
      <c r="AX10" s="47">
        <v>3</v>
      </c>
      <c r="AY10" s="48">
        <f t="shared" si="17"/>
        <v>22</v>
      </c>
      <c r="AZ10" s="39">
        <v>1020</v>
      </c>
      <c r="BA10" s="49" t="s">
        <v>54</v>
      </c>
    </row>
    <row r="11" spans="1:53" x14ac:dyDescent="0.25">
      <c r="A11" s="24" t="s">
        <v>72</v>
      </c>
      <c r="B11" s="24" t="s">
        <v>69</v>
      </c>
      <c r="C11" s="26">
        <f t="shared" ca="1" si="0"/>
        <v>13.339285714285714</v>
      </c>
      <c r="D11" s="195" t="s">
        <v>73</v>
      </c>
      <c r="E11" s="50">
        <v>22</v>
      </c>
      <c r="F11" s="28">
        <f ca="1">$D$1-43549-112</f>
        <v>74</v>
      </c>
      <c r="G11" s="29"/>
      <c r="H11" s="32">
        <v>2</v>
      </c>
      <c r="I11" s="53">
        <v>2.4</v>
      </c>
      <c r="J11" s="34">
        <f t="shared" si="1"/>
        <v>0.70863855605634019</v>
      </c>
      <c r="K11" s="35">
        <f t="shared" si="2"/>
        <v>9.6</v>
      </c>
      <c r="L11" s="35">
        <f t="shared" si="3"/>
        <v>21.599999999999998</v>
      </c>
      <c r="M11" s="54">
        <v>5.8</v>
      </c>
      <c r="N11" s="37">
        <f t="shared" si="4"/>
        <v>77</v>
      </c>
      <c r="O11" s="38">
        <v>1.5</v>
      </c>
      <c r="P11" s="37">
        <v>6</v>
      </c>
      <c r="Q11" s="31">
        <f t="shared" si="5"/>
        <v>0.92582009977255142</v>
      </c>
      <c r="R11" s="31">
        <f t="shared" si="6"/>
        <v>0.99928545900129484</v>
      </c>
      <c r="S11" s="39">
        <v>870</v>
      </c>
      <c r="T11" s="40">
        <f t="shared" si="7"/>
        <v>10</v>
      </c>
      <c r="U11" s="39">
        <v>310</v>
      </c>
      <c r="V11" s="42">
        <f t="shared" si="8"/>
        <v>2.806451612903226</v>
      </c>
      <c r="W11" s="45">
        <v>0</v>
      </c>
      <c r="X11" s="34">
        <v>4</v>
      </c>
      <c r="Y11" s="45">
        <v>5</v>
      </c>
      <c r="Z11" s="34">
        <v>3</v>
      </c>
      <c r="AA11" s="45">
        <v>3</v>
      </c>
      <c r="AB11" s="34">
        <v>1</v>
      </c>
      <c r="AC11" s="45">
        <v>4</v>
      </c>
      <c r="AD11" s="46">
        <v>338</v>
      </c>
      <c r="AE11" s="46">
        <v>1144</v>
      </c>
      <c r="AF11" s="42">
        <f t="shared" si="18"/>
        <v>4.2810323778168522</v>
      </c>
      <c r="AG11" s="42">
        <f t="shared" si="19"/>
        <v>4.6207393917210249</v>
      </c>
      <c r="AH11" s="43">
        <f t="shared" si="9"/>
        <v>6.6739024671923417</v>
      </c>
      <c r="AI11" s="43">
        <f t="shared" si="10"/>
        <v>7.2086385560563402</v>
      </c>
      <c r="AJ11" s="44">
        <f t="shared" si="11"/>
        <v>5.5613534950638126</v>
      </c>
      <c r="AK11" s="44">
        <f t="shared" si="12"/>
        <v>6.0069483222821418</v>
      </c>
      <c r="AL11" s="42">
        <f t="shared" si="13"/>
        <v>1.9240758628392836</v>
      </c>
      <c r="AM11" s="42">
        <f t="shared" si="14"/>
        <v>1.0564451768590408</v>
      </c>
      <c r="AN11" s="42">
        <f t="shared" si="15"/>
        <v>4.9148442776244945</v>
      </c>
      <c r="AO11" s="37">
        <v>2</v>
      </c>
      <c r="AP11" s="37">
        <v>1</v>
      </c>
      <c r="AQ11" s="31">
        <f t="shared" si="16"/>
        <v>6.1499999999999999E-2</v>
      </c>
      <c r="AR11" s="47">
        <v>0</v>
      </c>
      <c r="AS11" s="47">
        <v>6</v>
      </c>
      <c r="AT11" s="47">
        <v>9</v>
      </c>
      <c r="AU11" s="47">
        <v>1.5</v>
      </c>
      <c r="AV11" s="47">
        <v>2</v>
      </c>
      <c r="AW11" s="47">
        <v>0</v>
      </c>
      <c r="AX11" s="47">
        <v>2</v>
      </c>
      <c r="AY11" s="48">
        <f t="shared" si="17"/>
        <v>20.5</v>
      </c>
      <c r="AZ11" s="39">
        <v>860</v>
      </c>
      <c r="BA11" s="49" t="s">
        <v>54</v>
      </c>
    </row>
    <row r="12" spans="1:53" x14ac:dyDescent="0.25">
      <c r="A12" s="24" t="s">
        <v>74</v>
      </c>
      <c r="B12" s="24" t="s">
        <v>69</v>
      </c>
      <c r="C12" s="26">
        <f t="shared" ca="1" si="0"/>
        <v>15.651785714285714</v>
      </c>
      <c r="D12" s="195" t="s">
        <v>75</v>
      </c>
      <c r="E12" s="50">
        <v>20</v>
      </c>
      <c r="F12" s="28">
        <f ca="1">$D$1-43584-112</f>
        <v>39</v>
      </c>
      <c r="G12" s="29"/>
      <c r="H12" s="32">
        <v>2</v>
      </c>
      <c r="I12" s="53">
        <v>1.3</v>
      </c>
      <c r="J12" s="34">
        <f t="shared" si="1"/>
        <v>0.48230378135679047</v>
      </c>
      <c r="K12" s="35">
        <f t="shared" si="2"/>
        <v>5.2</v>
      </c>
      <c r="L12" s="35">
        <f t="shared" si="3"/>
        <v>11.700000000000001</v>
      </c>
      <c r="M12" s="54">
        <v>5.5</v>
      </c>
      <c r="N12" s="37">
        <f t="shared" si="4"/>
        <v>74</v>
      </c>
      <c r="O12" s="38">
        <v>1.5</v>
      </c>
      <c r="P12" s="37">
        <v>6</v>
      </c>
      <c r="Q12" s="31">
        <f t="shared" si="5"/>
        <v>0.92582009977255142</v>
      </c>
      <c r="R12" s="31">
        <f t="shared" si="6"/>
        <v>0.99928545900129484</v>
      </c>
      <c r="S12" s="39">
        <v>1080</v>
      </c>
      <c r="T12" s="40">
        <f t="shared" si="7"/>
        <v>70</v>
      </c>
      <c r="U12" s="39">
        <v>330</v>
      </c>
      <c r="V12" s="42">
        <f t="shared" si="8"/>
        <v>3.2727272727272729</v>
      </c>
      <c r="W12" s="45">
        <v>0</v>
      </c>
      <c r="X12" s="34">
        <v>3</v>
      </c>
      <c r="Y12" s="45">
        <v>5</v>
      </c>
      <c r="Z12" s="34">
        <v>1</v>
      </c>
      <c r="AA12" s="45">
        <v>5</v>
      </c>
      <c r="AB12" s="34">
        <v>2</v>
      </c>
      <c r="AC12" s="45">
        <v>5</v>
      </c>
      <c r="AD12" s="46">
        <v>354</v>
      </c>
      <c r="AE12" s="46">
        <v>1514</v>
      </c>
      <c r="AF12" s="42">
        <f t="shared" si="18"/>
        <v>3.6243435740626713</v>
      </c>
      <c r="AG12" s="42">
        <f t="shared" si="19"/>
        <v>3.9119412430939615</v>
      </c>
      <c r="AH12" s="43">
        <f t="shared" si="9"/>
        <v>6.4643571834980067</v>
      </c>
      <c r="AI12" s="43">
        <f t="shared" si="10"/>
        <v>6.9823037813567908</v>
      </c>
      <c r="AJ12" s="44">
        <f t="shared" si="11"/>
        <v>6.1584853762564302</v>
      </c>
      <c r="AK12" s="44">
        <f t="shared" si="12"/>
        <v>6.6519244697424487</v>
      </c>
      <c r="AL12" s="42">
        <f t="shared" si="13"/>
        <v>2.1926789188686149</v>
      </c>
      <c r="AM12" s="42">
        <f t="shared" si="14"/>
        <v>2.639412520391899</v>
      </c>
      <c r="AN12" s="42">
        <f t="shared" si="15"/>
        <v>5.6311190937027105</v>
      </c>
      <c r="AO12" s="37">
        <v>0</v>
      </c>
      <c r="AP12" s="37">
        <v>4</v>
      </c>
      <c r="AQ12" s="31">
        <f t="shared" si="16"/>
        <v>2.63E-2</v>
      </c>
      <c r="AR12" s="47">
        <v>0</v>
      </c>
      <c r="AS12" s="47">
        <v>3</v>
      </c>
      <c r="AT12" s="47">
        <v>9</v>
      </c>
      <c r="AU12" s="47">
        <v>0</v>
      </c>
      <c r="AV12" s="47">
        <v>7</v>
      </c>
      <c r="AW12" s="47">
        <v>0</v>
      </c>
      <c r="AX12" s="47">
        <v>3</v>
      </c>
      <c r="AY12" s="48">
        <f t="shared" si="17"/>
        <v>22</v>
      </c>
      <c r="AZ12" s="39">
        <v>1010</v>
      </c>
      <c r="BA12" s="49" t="s">
        <v>54</v>
      </c>
    </row>
    <row r="13" spans="1:53" x14ac:dyDescent="0.25">
      <c r="A13" s="24" t="s">
        <v>76</v>
      </c>
      <c r="B13" s="24" t="s">
        <v>69</v>
      </c>
      <c r="C13" s="26">
        <f t="shared" ca="1" si="0"/>
        <v>12.098214285714286</v>
      </c>
      <c r="D13" s="195" t="s">
        <v>77</v>
      </c>
      <c r="E13" s="50">
        <v>23</v>
      </c>
      <c r="F13" s="28">
        <f ca="1">$D$1-43634</f>
        <v>101</v>
      </c>
      <c r="G13" s="29"/>
      <c r="H13" s="32">
        <v>5</v>
      </c>
      <c r="I13" s="53">
        <v>2.6</v>
      </c>
      <c r="J13" s="34">
        <f t="shared" si="1"/>
        <v>0.74173666768971636</v>
      </c>
      <c r="K13" s="35">
        <f t="shared" si="2"/>
        <v>65</v>
      </c>
      <c r="L13" s="35">
        <f t="shared" si="3"/>
        <v>93.600000000000009</v>
      </c>
      <c r="M13" s="54">
        <v>6.1</v>
      </c>
      <c r="N13" s="37">
        <f t="shared" si="4"/>
        <v>80</v>
      </c>
      <c r="O13" s="38">
        <v>1.5</v>
      </c>
      <c r="P13" s="37">
        <v>7</v>
      </c>
      <c r="Q13" s="31">
        <f t="shared" si="5"/>
        <v>1</v>
      </c>
      <c r="R13" s="31">
        <f t="shared" si="6"/>
        <v>1</v>
      </c>
      <c r="S13" s="39">
        <v>1660</v>
      </c>
      <c r="T13" s="40">
        <f t="shared" si="7"/>
        <v>0</v>
      </c>
      <c r="U13" s="39">
        <v>430</v>
      </c>
      <c r="V13" s="42">
        <f t="shared" si="8"/>
        <v>3.86046511627907</v>
      </c>
      <c r="W13" s="45">
        <v>0</v>
      </c>
      <c r="X13" s="34">
        <v>5</v>
      </c>
      <c r="Y13" s="45">
        <v>6</v>
      </c>
      <c r="Z13" s="34">
        <v>2</v>
      </c>
      <c r="AA13" s="45">
        <v>3</v>
      </c>
      <c r="AB13" s="34">
        <v>1</v>
      </c>
      <c r="AC13" s="45">
        <v>4</v>
      </c>
      <c r="AD13" s="46">
        <v>394</v>
      </c>
      <c r="AE13" s="46">
        <v>1015</v>
      </c>
      <c r="AF13" s="42">
        <f t="shared" si="18"/>
        <v>5.0684209714026007</v>
      </c>
      <c r="AG13" s="42">
        <f t="shared" si="19"/>
        <v>5.0684209714026007</v>
      </c>
      <c r="AH13" s="43">
        <f t="shared" si="9"/>
        <v>8.2417366676897164</v>
      </c>
      <c r="AI13" s="43">
        <f t="shared" si="10"/>
        <v>8.2417366676897164</v>
      </c>
      <c r="AJ13" s="44">
        <f t="shared" si="11"/>
        <v>6.053297797294424</v>
      </c>
      <c r="AK13" s="44">
        <f t="shared" si="12"/>
        <v>6.053297797294424</v>
      </c>
      <c r="AL13" s="42">
        <f t="shared" si="13"/>
        <v>2.2156512503836439</v>
      </c>
      <c r="AM13" s="42">
        <f t="shared" si="14"/>
        <v>1.2142380355942741</v>
      </c>
      <c r="AN13" s="42">
        <f t="shared" si="15"/>
        <v>5.341736667689716</v>
      </c>
      <c r="AO13" s="37">
        <v>3</v>
      </c>
      <c r="AP13" s="37">
        <v>4</v>
      </c>
      <c r="AQ13" s="31">
        <f t="shared" si="16"/>
        <v>0.1158</v>
      </c>
      <c r="AR13" s="47">
        <v>0</v>
      </c>
      <c r="AS13" s="47">
        <v>10</v>
      </c>
      <c r="AT13" s="47">
        <v>12</v>
      </c>
      <c r="AU13" s="47">
        <v>0</v>
      </c>
      <c r="AV13" s="47">
        <v>2</v>
      </c>
      <c r="AW13" s="47">
        <v>0</v>
      </c>
      <c r="AX13" s="47">
        <v>2</v>
      </c>
      <c r="AY13" s="48">
        <f t="shared" si="17"/>
        <v>26</v>
      </c>
      <c r="AZ13" s="39">
        <v>1660</v>
      </c>
      <c r="BA13" s="49" t="s">
        <v>54</v>
      </c>
    </row>
    <row r="14" spans="1:53" x14ac:dyDescent="0.25">
      <c r="A14" s="24" t="s">
        <v>78</v>
      </c>
      <c r="B14" s="24" t="s">
        <v>69</v>
      </c>
      <c r="C14" s="26">
        <f t="shared" ca="1" si="0"/>
        <v>11.116071428571429</v>
      </c>
      <c r="D14" s="195" t="s">
        <v>79</v>
      </c>
      <c r="E14" s="50">
        <v>24</v>
      </c>
      <c r="F14" s="28">
        <f ca="1">$D$1-43636</f>
        <v>99</v>
      </c>
      <c r="G14" s="29"/>
      <c r="H14" s="32">
        <v>3</v>
      </c>
      <c r="I14" s="53">
        <v>3.3</v>
      </c>
      <c r="J14" s="34">
        <f t="shared" si="1"/>
        <v>0.84462460743944867</v>
      </c>
      <c r="K14" s="35">
        <f t="shared" si="2"/>
        <v>29.7</v>
      </c>
      <c r="L14" s="35">
        <f t="shared" si="3"/>
        <v>52.8</v>
      </c>
      <c r="M14" s="54">
        <v>5.8</v>
      </c>
      <c r="N14" s="37">
        <f t="shared" si="4"/>
        <v>77</v>
      </c>
      <c r="O14" s="38">
        <v>1.5</v>
      </c>
      <c r="P14" s="37">
        <v>7</v>
      </c>
      <c r="Q14" s="31">
        <f t="shared" si="5"/>
        <v>1</v>
      </c>
      <c r="R14" s="31">
        <f t="shared" si="6"/>
        <v>1</v>
      </c>
      <c r="S14" s="39">
        <v>1270</v>
      </c>
      <c r="T14" s="40">
        <f t="shared" si="7"/>
        <v>30</v>
      </c>
      <c r="U14" s="39">
        <v>410</v>
      </c>
      <c r="V14" s="42">
        <f t="shared" si="8"/>
        <v>3.0975609756097562</v>
      </c>
      <c r="W14" s="45">
        <v>0</v>
      </c>
      <c r="X14" s="34">
        <v>3</v>
      </c>
      <c r="Y14" s="45">
        <v>6</v>
      </c>
      <c r="Z14" s="34">
        <v>2</v>
      </c>
      <c r="AA14" s="45">
        <v>4</v>
      </c>
      <c r="AB14" s="34">
        <v>3</v>
      </c>
      <c r="AC14" s="45">
        <v>4</v>
      </c>
      <c r="AD14" s="46">
        <v>391</v>
      </c>
      <c r="AE14" s="46">
        <v>869</v>
      </c>
      <c r="AF14" s="42">
        <f t="shared" si="18"/>
        <v>4.4114803367994835</v>
      </c>
      <c r="AG14" s="42">
        <f t="shared" si="19"/>
        <v>4.4114803367994835</v>
      </c>
      <c r="AH14" s="43">
        <f t="shared" si="9"/>
        <v>8.3446246074394494</v>
      </c>
      <c r="AI14" s="43">
        <f t="shared" si="10"/>
        <v>8.3446246074394494</v>
      </c>
      <c r="AJ14" s="44">
        <f t="shared" si="11"/>
        <v>6.1913519198371834</v>
      </c>
      <c r="AK14" s="44">
        <f t="shared" si="12"/>
        <v>6.1913519198371834</v>
      </c>
      <c r="AL14" s="42">
        <f t="shared" si="13"/>
        <v>2.2542342277897931</v>
      </c>
      <c r="AM14" s="42">
        <f t="shared" si="14"/>
        <v>4.7616203824411816</v>
      </c>
      <c r="AN14" s="42">
        <f t="shared" si="15"/>
        <v>6.0446246074394478</v>
      </c>
      <c r="AO14" s="37">
        <v>2</v>
      </c>
      <c r="AP14" s="37">
        <v>2</v>
      </c>
      <c r="AQ14" s="31">
        <f t="shared" si="16"/>
        <v>6.1499999999999999E-2</v>
      </c>
      <c r="AR14" s="47">
        <v>0</v>
      </c>
      <c r="AS14" s="47">
        <v>3</v>
      </c>
      <c r="AT14" s="47">
        <v>12</v>
      </c>
      <c r="AU14" s="47">
        <v>0</v>
      </c>
      <c r="AV14" s="47">
        <v>4</v>
      </c>
      <c r="AW14" s="47">
        <v>2</v>
      </c>
      <c r="AX14" s="47">
        <v>2</v>
      </c>
      <c r="AY14" s="48">
        <f t="shared" si="17"/>
        <v>23</v>
      </c>
      <c r="AZ14" s="39">
        <v>1240</v>
      </c>
      <c r="BA14" s="49" t="s">
        <v>54</v>
      </c>
    </row>
    <row r="15" spans="1:53" x14ac:dyDescent="0.25">
      <c r="A15" s="24" t="s">
        <v>80</v>
      </c>
      <c r="B15" s="24" t="s">
        <v>84</v>
      </c>
      <c r="C15" s="26">
        <f t="shared" ca="1" si="0"/>
        <v>8.0803571428571423</v>
      </c>
      <c r="D15" s="195" t="s">
        <v>81</v>
      </c>
      <c r="E15" s="50">
        <v>27</v>
      </c>
      <c r="F15" s="28">
        <f ca="1">$D$1-43632</f>
        <v>103</v>
      </c>
      <c r="G15" s="29" t="s">
        <v>82</v>
      </c>
      <c r="H15" s="32">
        <v>0</v>
      </c>
      <c r="I15" s="53">
        <v>4.4000000000000004</v>
      </c>
      <c r="J15" s="34">
        <f t="shared" si="1"/>
        <v>0.97652501309729134</v>
      </c>
      <c r="K15" s="35">
        <f t="shared" si="2"/>
        <v>0</v>
      </c>
      <c r="L15" s="35">
        <f t="shared" si="3"/>
        <v>4.4000000000000004</v>
      </c>
      <c r="M15" s="54">
        <v>5.9</v>
      </c>
      <c r="N15" s="37">
        <f t="shared" si="4"/>
        <v>78</v>
      </c>
      <c r="O15" s="38">
        <v>1.5</v>
      </c>
      <c r="P15" s="37">
        <v>5</v>
      </c>
      <c r="Q15" s="31">
        <f t="shared" si="5"/>
        <v>0.84515425472851657</v>
      </c>
      <c r="R15" s="31">
        <f t="shared" si="6"/>
        <v>0.92504826128926143</v>
      </c>
      <c r="S15" s="39">
        <v>1500</v>
      </c>
      <c r="T15" s="40">
        <f t="shared" si="7"/>
        <v>-160</v>
      </c>
      <c r="U15" s="39">
        <v>330</v>
      </c>
      <c r="V15" s="42">
        <f t="shared" si="8"/>
        <v>4.5454545454545459</v>
      </c>
      <c r="W15" s="45">
        <v>0</v>
      </c>
      <c r="X15" s="34">
        <v>5</v>
      </c>
      <c r="Y15" s="45">
        <v>5</v>
      </c>
      <c r="Z15" s="34">
        <v>5</v>
      </c>
      <c r="AA15" s="45">
        <v>3</v>
      </c>
      <c r="AB15" s="34">
        <v>2</v>
      </c>
      <c r="AC15" s="45">
        <v>2</v>
      </c>
      <c r="AD15" s="46">
        <v>423</v>
      </c>
      <c r="AE15" s="46">
        <v>476</v>
      </c>
      <c r="AF15" s="42">
        <f t="shared" si="18"/>
        <v>4.5556483267474075</v>
      </c>
      <c r="AG15" s="42">
        <f t="shared" si="19"/>
        <v>4.9863022520743518</v>
      </c>
      <c r="AH15" s="43">
        <f t="shared" si="9"/>
        <v>6.3188169254033539</v>
      </c>
      <c r="AI15" s="43">
        <f t="shared" si="10"/>
        <v>6.9219171335777103</v>
      </c>
      <c r="AJ15" s="44">
        <f t="shared" si="11"/>
        <v>3.6831289145481452</v>
      </c>
      <c r="AK15" s="44">
        <f t="shared" si="12"/>
        <v>4.0346655773950726</v>
      </c>
      <c r="AL15" s="42">
        <f t="shared" si="13"/>
        <v>1.9469792196619993</v>
      </c>
      <c r="AM15" s="42">
        <f t="shared" si="14"/>
        <v>1.9380403603546204</v>
      </c>
      <c r="AN15" s="42">
        <f t="shared" si="15"/>
        <v>3.7833541612178037</v>
      </c>
      <c r="AO15" s="37">
        <v>3</v>
      </c>
      <c r="AP15" s="37">
        <v>4</v>
      </c>
      <c r="AQ15" s="31">
        <f t="shared" si="16"/>
        <v>0.1158</v>
      </c>
      <c r="AR15" s="47">
        <v>0</v>
      </c>
      <c r="AS15" s="47">
        <v>10</v>
      </c>
      <c r="AT15" s="47">
        <v>9</v>
      </c>
      <c r="AU15" s="47">
        <v>5.5</v>
      </c>
      <c r="AV15" s="47">
        <v>2</v>
      </c>
      <c r="AW15" s="47">
        <v>0</v>
      </c>
      <c r="AX15" s="47">
        <v>0</v>
      </c>
      <c r="AY15" s="48">
        <f t="shared" si="17"/>
        <v>26.5</v>
      </c>
      <c r="AZ15" s="39">
        <v>1660</v>
      </c>
      <c r="BA15" s="49" t="s">
        <v>54</v>
      </c>
    </row>
    <row r="16" spans="1:53" x14ac:dyDescent="0.25">
      <c r="A16" s="24" t="s">
        <v>83</v>
      </c>
      <c r="B16" s="24" t="s">
        <v>84</v>
      </c>
      <c r="C16" s="26">
        <f t="shared" ca="1" si="0"/>
        <v>14.330357142857142</v>
      </c>
      <c r="D16" s="195" t="s">
        <v>85</v>
      </c>
      <c r="E16" s="50">
        <v>21</v>
      </c>
      <c r="F16" s="28">
        <f ca="1">$D$1-43548-112</f>
        <v>75</v>
      </c>
      <c r="G16" s="29"/>
      <c r="H16" s="32">
        <v>5</v>
      </c>
      <c r="I16" s="53">
        <v>2.4</v>
      </c>
      <c r="J16" s="34">
        <f t="shared" si="1"/>
        <v>0.70863855605634019</v>
      </c>
      <c r="K16" s="35">
        <f t="shared" si="2"/>
        <v>60</v>
      </c>
      <c r="L16" s="35">
        <f t="shared" si="3"/>
        <v>86.399999999999991</v>
      </c>
      <c r="M16" s="54">
        <v>6.2</v>
      </c>
      <c r="N16" s="37">
        <f t="shared" si="4"/>
        <v>81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1590</v>
      </c>
      <c r="T16" s="40">
        <f t="shared" si="7"/>
        <v>-50</v>
      </c>
      <c r="U16" s="39">
        <v>330</v>
      </c>
      <c r="V16" s="42">
        <f t="shared" si="8"/>
        <v>4.8181818181818183</v>
      </c>
      <c r="W16" s="45">
        <v>0</v>
      </c>
      <c r="X16" s="34">
        <v>4</v>
      </c>
      <c r="Y16" s="45">
        <v>5</v>
      </c>
      <c r="Z16" s="34">
        <v>5</v>
      </c>
      <c r="AA16" s="45">
        <v>4</v>
      </c>
      <c r="AB16" s="34">
        <v>1</v>
      </c>
      <c r="AC16" s="45">
        <v>4</v>
      </c>
      <c r="AD16" s="46">
        <v>402</v>
      </c>
      <c r="AE16" s="46">
        <v>1358</v>
      </c>
      <c r="AF16" s="42">
        <f t="shared" si="18"/>
        <v>3.9080300045671152</v>
      </c>
      <c r="AG16" s="42">
        <f t="shared" si="19"/>
        <v>4.2774633631257464</v>
      </c>
      <c r="AH16" s="43">
        <f t="shared" si="9"/>
        <v>6.0924115464510464</v>
      </c>
      <c r="AI16" s="43">
        <f t="shared" si="10"/>
        <v>6.6739024671923417</v>
      </c>
      <c r="AJ16" s="44">
        <f t="shared" si="11"/>
        <v>5.0767979325110764</v>
      </c>
      <c r="AK16" s="44">
        <f t="shared" si="12"/>
        <v>5.5613534950638126</v>
      </c>
      <c r="AL16" s="42">
        <f t="shared" si="13"/>
        <v>1.9677214843959487</v>
      </c>
      <c r="AM16" s="42">
        <f t="shared" si="14"/>
        <v>0.96439809022205236</v>
      </c>
      <c r="AN16" s="42">
        <f t="shared" si="15"/>
        <v>4.4866184624668648</v>
      </c>
      <c r="AO16" s="37">
        <v>1</v>
      </c>
      <c r="AP16" s="37">
        <v>1</v>
      </c>
      <c r="AQ16" s="31">
        <f t="shared" si="16"/>
        <v>4.9399999999999999E-2</v>
      </c>
      <c r="AR16" s="47">
        <v>0</v>
      </c>
      <c r="AS16" s="47">
        <v>6</v>
      </c>
      <c r="AT16" s="47">
        <v>9</v>
      </c>
      <c r="AU16" s="47">
        <v>5.5</v>
      </c>
      <c r="AV16" s="47">
        <v>4</v>
      </c>
      <c r="AW16" s="47">
        <v>0</v>
      </c>
      <c r="AX16" s="47">
        <v>2</v>
      </c>
      <c r="AY16" s="48">
        <f t="shared" si="17"/>
        <v>26.5</v>
      </c>
      <c r="AZ16" s="39">
        <v>1640</v>
      </c>
      <c r="BA16" s="49" t="s">
        <v>54</v>
      </c>
    </row>
    <row r="17" spans="1:53" x14ac:dyDescent="0.25">
      <c r="A17" s="24" t="s">
        <v>86</v>
      </c>
      <c r="B17" s="24" t="s">
        <v>84</v>
      </c>
      <c r="C17" s="26">
        <f t="shared" ca="1" si="0"/>
        <v>12.491071428571429</v>
      </c>
      <c r="D17" s="195" t="s">
        <v>87</v>
      </c>
      <c r="E17" s="50">
        <v>23</v>
      </c>
      <c r="F17" s="28">
        <f ca="1">$D$1-43566-112</f>
        <v>57</v>
      </c>
      <c r="G17" s="29"/>
      <c r="H17" s="32">
        <v>1</v>
      </c>
      <c r="I17" s="53">
        <v>2.5</v>
      </c>
      <c r="J17" s="34">
        <f t="shared" si="1"/>
        <v>0.72542405913370089</v>
      </c>
      <c r="K17" s="35">
        <f t="shared" si="2"/>
        <v>2.5</v>
      </c>
      <c r="L17" s="35">
        <f t="shared" si="3"/>
        <v>10</v>
      </c>
      <c r="M17" s="54">
        <v>5.6</v>
      </c>
      <c r="N17" s="37">
        <f t="shared" si="4"/>
        <v>75</v>
      </c>
      <c r="O17" s="38">
        <v>1.5</v>
      </c>
      <c r="P17" s="37">
        <v>5</v>
      </c>
      <c r="Q17" s="31">
        <f t="shared" si="5"/>
        <v>0.84515425472851657</v>
      </c>
      <c r="R17" s="31">
        <f t="shared" si="6"/>
        <v>0.92504826128926143</v>
      </c>
      <c r="S17" s="39">
        <v>2320</v>
      </c>
      <c r="T17" s="40">
        <f t="shared" si="7"/>
        <v>160</v>
      </c>
      <c r="U17" s="39">
        <v>370</v>
      </c>
      <c r="V17" s="42">
        <f t="shared" si="8"/>
        <v>6.2702702702702702</v>
      </c>
      <c r="W17" s="45">
        <v>0</v>
      </c>
      <c r="X17" s="34">
        <v>3</v>
      </c>
      <c r="Y17" s="45">
        <v>5</v>
      </c>
      <c r="Z17" s="34">
        <v>6</v>
      </c>
      <c r="AA17" s="45">
        <v>5</v>
      </c>
      <c r="AB17" s="34">
        <v>2</v>
      </c>
      <c r="AC17" s="45">
        <v>4</v>
      </c>
      <c r="AD17" s="46">
        <v>441</v>
      </c>
      <c r="AE17" s="46">
        <v>1120</v>
      </c>
      <c r="AF17" s="42">
        <f t="shared" si="18"/>
        <v>3.5902629281705001</v>
      </c>
      <c r="AG17" s="42">
        <f t="shared" si="19"/>
        <v>3.9296571728698808</v>
      </c>
      <c r="AH17" s="43">
        <f t="shared" si="9"/>
        <v>6.1065978857946357</v>
      </c>
      <c r="AI17" s="43">
        <f t="shared" si="10"/>
        <v>6.6894428233261563</v>
      </c>
      <c r="AJ17" s="44">
        <f t="shared" si="11"/>
        <v>5.0967759896146747</v>
      </c>
      <c r="AK17" s="44">
        <f t="shared" si="12"/>
        <v>5.583238360125347</v>
      </c>
      <c r="AL17" s="42">
        <f t="shared" si="13"/>
        <v>2.0786856434908594</v>
      </c>
      <c r="AM17" s="42">
        <f t="shared" si="14"/>
        <v>2.3987059630207237</v>
      </c>
      <c r="AN17" s="42">
        <f t="shared" si="15"/>
        <v>4.7543510782290088</v>
      </c>
      <c r="AO17" s="37">
        <v>4</v>
      </c>
      <c r="AP17" s="37">
        <v>0</v>
      </c>
      <c r="AQ17" s="31">
        <f t="shared" si="16"/>
        <v>0.20669999999999999</v>
      </c>
      <c r="AR17" s="47">
        <v>0</v>
      </c>
      <c r="AS17" s="47">
        <v>3</v>
      </c>
      <c r="AT17" s="47">
        <v>9</v>
      </c>
      <c r="AU17" s="47">
        <v>8.5</v>
      </c>
      <c r="AV17" s="47">
        <v>7</v>
      </c>
      <c r="AW17" s="47">
        <v>0</v>
      </c>
      <c r="AX17" s="47">
        <v>2</v>
      </c>
      <c r="AY17" s="48">
        <f t="shared" si="17"/>
        <v>29.5</v>
      </c>
      <c r="AZ17" s="39">
        <v>2160</v>
      </c>
      <c r="BA17" s="49" t="s">
        <v>54</v>
      </c>
    </row>
    <row r="18" spans="1:53" x14ac:dyDescent="0.25">
      <c r="A18" s="24" t="s">
        <v>88</v>
      </c>
      <c r="B18" s="24" t="s">
        <v>89</v>
      </c>
      <c r="C18" s="26">
        <f t="shared" ca="1" si="0"/>
        <v>17.080357142857142</v>
      </c>
      <c r="D18" s="195" t="s">
        <v>90</v>
      </c>
      <c r="E18" s="50">
        <v>18</v>
      </c>
      <c r="F18" s="28">
        <f ca="1">$D$1-43632</f>
        <v>103</v>
      </c>
      <c r="G18" s="29"/>
      <c r="H18" s="32">
        <v>2</v>
      </c>
      <c r="I18" s="53">
        <v>1.6</v>
      </c>
      <c r="J18" s="34">
        <f t="shared" si="1"/>
        <v>0.55329779729442397</v>
      </c>
      <c r="K18" s="35">
        <f t="shared" si="2"/>
        <v>6.4</v>
      </c>
      <c r="L18" s="35">
        <f t="shared" si="3"/>
        <v>14.4</v>
      </c>
      <c r="M18" s="54">
        <v>5.3</v>
      </c>
      <c r="N18" s="37">
        <f t="shared" si="4"/>
        <v>72</v>
      </c>
      <c r="O18" s="38">
        <v>1.5</v>
      </c>
      <c r="P18" s="37">
        <v>7</v>
      </c>
      <c r="Q18" s="31">
        <f t="shared" si="5"/>
        <v>1</v>
      </c>
      <c r="R18" s="31">
        <f t="shared" si="6"/>
        <v>1</v>
      </c>
      <c r="S18" s="39">
        <v>1580</v>
      </c>
      <c r="T18" s="40">
        <f t="shared" si="7"/>
        <v>0</v>
      </c>
      <c r="U18" s="39">
        <v>410</v>
      </c>
      <c r="V18" s="42">
        <f t="shared" si="8"/>
        <v>3.8536585365853657</v>
      </c>
      <c r="W18" s="45">
        <v>0</v>
      </c>
      <c r="X18" s="34">
        <v>1</v>
      </c>
      <c r="Y18" s="45">
        <v>3</v>
      </c>
      <c r="Z18" s="34">
        <v>5</v>
      </c>
      <c r="AA18" s="45">
        <v>3</v>
      </c>
      <c r="AB18" s="34">
        <v>6</v>
      </c>
      <c r="AC18" s="45">
        <v>5</v>
      </c>
      <c r="AD18" s="46">
        <v>386</v>
      </c>
      <c r="AE18" s="46">
        <v>1771</v>
      </c>
      <c r="AF18" s="42">
        <f t="shared" si="18"/>
        <v>3.2140712800906552</v>
      </c>
      <c r="AG18" s="42">
        <f t="shared" si="19"/>
        <v>3.2140712800906552</v>
      </c>
      <c r="AH18" s="43">
        <f t="shared" si="9"/>
        <v>5.053297797294424</v>
      </c>
      <c r="AI18" s="43">
        <f t="shared" si="10"/>
        <v>5.053297797294424</v>
      </c>
      <c r="AJ18" s="44">
        <f t="shared" si="11"/>
        <v>6.7721599768745664</v>
      </c>
      <c r="AK18" s="44">
        <f t="shared" si="12"/>
        <v>6.7721599768745664</v>
      </c>
      <c r="AL18" s="42">
        <f t="shared" si="13"/>
        <v>1.6449866739854091</v>
      </c>
      <c r="AM18" s="42">
        <f t="shared" si="14"/>
        <v>9.6477881320206773</v>
      </c>
      <c r="AN18" s="42">
        <f t="shared" si="15"/>
        <v>7.3532977972944238</v>
      </c>
      <c r="AO18" s="37">
        <v>2</v>
      </c>
      <c r="AP18" s="37">
        <v>1</v>
      </c>
      <c r="AQ18" s="31">
        <f t="shared" si="16"/>
        <v>6.1499999999999999E-2</v>
      </c>
      <c r="AR18" s="47">
        <v>0</v>
      </c>
      <c r="AS18" s="47">
        <v>0</v>
      </c>
      <c r="AT18" s="47">
        <v>3</v>
      </c>
      <c r="AU18" s="47">
        <v>5.5</v>
      </c>
      <c r="AV18" s="47">
        <v>2</v>
      </c>
      <c r="AW18" s="47">
        <v>12</v>
      </c>
      <c r="AX18" s="47">
        <v>3</v>
      </c>
      <c r="AY18" s="48">
        <f t="shared" si="17"/>
        <v>25.5</v>
      </c>
      <c r="AZ18" s="39">
        <v>1580</v>
      </c>
      <c r="BA18" s="49" t="s">
        <v>54</v>
      </c>
    </row>
    <row r="19" spans="1:53" x14ac:dyDescent="0.25">
      <c r="A19" s="24" t="s">
        <v>91</v>
      </c>
      <c r="B19" s="24" t="s">
        <v>89</v>
      </c>
      <c r="C19" s="26">
        <f t="shared" ca="1" si="0"/>
        <v>2.125</v>
      </c>
      <c r="D19" s="195" t="s">
        <v>92</v>
      </c>
      <c r="E19" s="50">
        <v>33</v>
      </c>
      <c r="F19" s="28">
        <f ca="1">$D$1-43637</f>
        <v>98</v>
      </c>
      <c r="G19" s="29"/>
      <c r="H19" s="32">
        <v>2</v>
      </c>
      <c r="I19" s="53">
        <v>5.3</v>
      </c>
      <c r="J19" s="34">
        <f t="shared" si="1"/>
        <v>1.0657873992714422</v>
      </c>
      <c r="K19" s="35">
        <f t="shared" si="2"/>
        <v>21.2</v>
      </c>
      <c r="L19" s="35">
        <f t="shared" si="3"/>
        <v>47.699999999999996</v>
      </c>
      <c r="M19" s="54">
        <v>4.8</v>
      </c>
      <c r="N19" s="37">
        <f t="shared" si="4"/>
        <v>67</v>
      </c>
      <c r="O19" s="38">
        <v>1.5</v>
      </c>
      <c r="P19" s="37">
        <v>4</v>
      </c>
      <c r="Q19" s="31">
        <f t="shared" si="5"/>
        <v>0.7559289460184544</v>
      </c>
      <c r="R19" s="31">
        <f t="shared" si="6"/>
        <v>0.84430867747355465</v>
      </c>
      <c r="S19" s="39">
        <v>130</v>
      </c>
      <c r="T19" s="40">
        <f t="shared" si="7"/>
        <v>10</v>
      </c>
      <c r="U19" s="39">
        <v>310</v>
      </c>
      <c r="V19" s="42">
        <f t="shared" si="8"/>
        <v>0.41935483870967744</v>
      </c>
      <c r="W19" s="45">
        <v>0</v>
      </c>
      <c r="X19" s="34">
        <v>2</v>
      </c>
      <c r="Y19" s="45">
        <v>3</v>
      </c>
      <c r="Z19" s="34">
        <v>2</v>
      </c>
      <c r="AA19" s="45">
        <v>2.95</v>
      </c>
      <c r="AB19" s="34">
        <v>6</v>
      </c>
      <c r="AC19" s="45">
        <v>3</v>
      </c>
      <c r="AD19" s="46">
        <v>319</v>
      </c>
      <c r="AE19" s="46">
        <v>-360</v>
      </c>
      <c r="AF19" s="42">
        <f t="shared" si="18"/>
        <v>3.2623584131681738</v>
      </c>
      <c r="AG19" s="42">
        <f t="shared" si="19"/>
        <v>3.643778336276994</v>
      </c>
      <c r="AH19" s="43">
        <f t="shared" si="9"/>
        <v>4.2073398024940554</v>
      </c>
      <c r="AI19" s="43">
        <f t="shared" si="10"/>
        <v>4.7039489014086238</v>
      </c>
      <c r="AJ19" s="44">
        <f t="shared" si="11"/>
        <v>4.1316817167282762</v>
      </c>
      <c r="AK19" s="44">
        <f t="shared" si="12"/>
        <v>4.6193605899987285</v>
      </c>
      <c r="AL19" s="42">
        <f t="shared" si="13"/>
        <v>1.4738121958577335</v>
      </c>
      <c r="AM19" s="42">
        <f t="shared" si="14"/>
        <v>7.3176871249435136</v>
      </c>
      <c r="AN19" s="42">
        <f t="shared" si="15"/>
        <v>4.8876758539106637</v>
      </c>
      <c r="AO19" s="37">
        <v>0</v>
      </c>
      <c r="AP19" s="37">
        <v>4</v>
      </c>
      <c r="AQ19" s="31">
        <f t="shared" si="16"/>
        <v>2.63E-2</v>
      </c>
      <c r="AR19" s="47">
        <v>0</v>
      </c>
      <c r="AS19" s="47">
        <v>0</v>
      </c>
      <c r="AT19" s="47">
        <v>3</v>
      </c>
      <c r="AU19" s="47">
        <v>0</v>
      </c>
      <c r="AV19" s="47">
        <v>2</v>
      </c>
      <c r="AW19" s="47">
        <v>12</v>
      </c>
      <c r="AX19" s="47">
        <v>1</v>
      </c>
      <c r="AY19" s="48">
        <f t="shared" si="17"/>
        <v>18</v>
      </c>
      <c r="AZ19" s="39">
        <v>120</v>
      </c>
      <c r="BA19" s="49" t="s">
        <v>54</v>
      </c>
    </row>
    <row r="20" spans="1:53" x14ac:dyDescent="0.25">
      <c r="A20" s="24" t="s">
        <v>93</v>
      </c>
      <c r="B20" s="24" t="s">
        <v>89</v>
      </c>
      <c r="C20" s="26">
        <f t="shared" ca="1" si="0"/>
        <v>9.1785714285714288</v>
      </c>
      <c r="D20" s="195" t="s">
        <v>94</v>
      </c>
      <c r="E20" s="50">
        <v>26</v>
      </c>
      <c r="F20" s="28">
        <f ca="1">$D$1-43531-112</f>
        <v>92</v>
      </c>
      <c r="G20" s="29"/>
      <c r="H20" s="32">
        <v>4</v>
      </c>
      <c r="I20" s="53">
        <v>3.4</v>
      </c>
      <c r="J20" s="34">
        <f t="shared" si="1"/>
        <v>0.85793690198158323</v>
      </c>
      <c r="K20" s="35">
        <f t="shared" si="2"/>
        <v>54.4</v>
      </c>
      <c r="L20" s="35">
        <f t="shared" si="3"/>
        <v>85</v>
      </c>
      <c r="M20" s="54">
        <v>5.7</v>
      </c>
      <c r="N20" s="37">
        <f t="shared" si="4"/>
        <v>76</v>
      </c>
      <c r="O20" s="38">
        <v>1.5</v>
      </c>
      <c r="P20" s="37">
        <v>4</v>
      </c>
      <c r="Q20" s="31">
        <f t="shared" si="5"/>
        <v>0.7559289460184544</v>
      </c>
      <c r="R20" s="31">
        <f t="shared" si="6"/>
        <v>0.84430867747355465</v>
      </c>
      <c r="S20" s="39">
        <v>850</v>
      </c>
      <c r="T20" s="40">
        <f t="shared" si="7"/>
        <v>-10</v>
      </c>
      <c r="U20" s="39">
        <v>310</v>
      </c>
      <c r="V20" s="42">
        <f t="shared" si="8"/>
        <v>2.7419354838709675</v>
      </c>
      <c r="W20" s="45">
        <v>0</v>
      </c>
      <c r="X20" s="34">
        <v>2</v>
      </c>
      <c r="Y20" s="45">
        <v>3</v>
      </c>
      <c r="Z20" s="34">
        <v>2</v>
      </c>
      <c r="AA20" s="45">
        <v>5</v>
      </c>
      <c r="AB20" s="34">
        <v>5</v>
      </c>
      <c r="AC20" s="45">
        <v>2</v>
      </c>
      <c r="AD20" s="46">
        <v>351</v>
      </c>
      <c r="AE20" s="46">
        <v>555</v>
      </c>
      <c r="AF20" s="42">
        <f t="shared" si="18"/>
        <v>3.0469466088971715</v>
      </c>
      <c r="AG20" s="42">
        <f t="shared" si="19"/>
        <v>3.4031815757822552</v>
      </c>
      <c r="AH20" s="43">
        <f t="shared" si="9"/>
        <v>4.0502195951483211</v>
      </c>
      <c r="AI20" s="43">
        <f t="shared" si="10"/>
        <v>4.5282831692766621</v>
      </c>
      <c r="AJ20" s="44">
        <f t="shared" si="11"/>
        <v>3.1814317078522989</v>
      </c>
      <c r="AK20" s="44">
        <f t="shared" si="12"/>
        <v>3.5569487822654962</v>
      </c>
      <c r="AL20" s="42">
        <f t="shared" si="13"/>
        <v>1.8023057029375409</v>
      </c>
      <c r="AM20" s="42">
        <f t="shared" si="14"/>
        <v>5.2998484960086545</v>
      </c>
      <c r="AN20" s="42">
        <f t="shared" si="15"/>
        <v>3.9746267005464757</v>
      </c>
      <c r="AO20" s="37">
        <v>3</v>
      </c>
      <c r="AP20" s="37">
        <v>3</v>
      </c>
      <c r="AQ20" s="31">
        <f t="shared" si="16"/>
        <v>0.1158</v>
      </c>
      <c r="AR20" s="47">
        <v>0</v>
      </c>
      <c r="AS20" s="47">
        <v>0</v>
      </c>
      <c r="AT20" s="47">
        <v>3</v>
      </c>
      <c r="AU20" s="47">
        <v>0</v>
      </c>
      <c r="AV20" s="47">
        <v>7</v>
      </c>
      <c r="AW20" s="47">
        <v>8</v>
      </c>
      <c r="AX20" s="47">
        <v>0</v>
      </c>
      <c r="AY20" s="48">
        <f t="shared" si="17"/>
        <v>18</v>
      </c>
      <c r="AZ20" s="39">
        <v>860</v>
      </c>
      <c r="BA20" s="49" t="s">
        <v>54</v>
      </c>
    </row>
    <row r="21" spans="1:53" x14ac:dyDescent="0.25">
      <c r="C21" s="59"/>
      <c r="D21" s="60"/>
      <c r="G21" s="61"/>
      <c r="I21" s="62"/>
      <c r="J21" s="62"/>
      <c r="M21" s="62"/>
      <c r="N21" s="62"/>
      <c r="O21" s="62"/>
      <c r="P21" s="62"/>
      <c r="Q21" s="62"/>
      <c r="R21" s="62"/>
      <c r="S21" s="63">
        <f>SUM(S4:S20)</f>
        <v>28540</v>
      </c>
      <c r="T21" s="63">
        <f t="shared" ref="T21:U21" si="20">SUM(T4:T20)</f>
        <v>2250</v>
      </c>
      <c r="U21" s="63">
        <f t="shared" si="20"/>
        <v>8170</v>
      </c>
      <c r="V21" s="64">
        <f t="shared" si="8"/>
        <v>3.4932680538555694</v>
      </c>
      <c r="AC21" s="62"/>
      <c r="AD21" s="63"/>
      <c r="AE21" s="63"/>
      <c r="AF21" s="63"/>
      <c r="AG21" s="63"/>
      <c r="AJ21" s="63"/>
      <c r="AK21" s="63"/>
      <c r="AL21" s="63"/>
      <c r="AM21" s="63"/>
      <c r="AN21" s="63"/>
      <c r="BA21" s="62"/>
    </row>
    <row r="22" spans="1:53" x14ac:dyDescent="0.25">
      <c r="C22" s="59"/>
      <c r="D22" s="60"/>
      <c r="G22" s="62"/>
      <c r="H22" s="61"/>
      <c r="K22" s="62"/>
      <c r="M22" s="62"/>
      <c r="N22" s="62"/>
      <c r="O22" s="62"/>
      <c r="P22" s="62"/>
      <c r="Q22" s="62"/>
      <c r="R22" s="62"/>
      <c r="S22" s="65"/>
      <c r="T22" s="65"/>
      <c r="U22" s="65"/>
      <c r="V22" s="15"/>
      <c r="W22" s="66"/>
      <c r="AD22" s="15"/>
      <c r="AE22" s="15"/>
      <c r="AF22" s="15"/>
      <c r="AG22" s="15"/>
      <c r="AJ22" s="15"/>
      <c r="AK22" s="15"/>
      <c r="AL22" s="15"/>
      <c r="AM22" s="15"/>
      <c r="AN22" s="15"/>
      <c r="BA22" s="62"/>
    </row>
    <row r="23" spans="1:53" x14ac:dyDescent="0.25">
      <c r="C23" s="59"/>
      <c r="D23" s="60"/>
      <c r="G23" s="62"/>
      <c r="H23" s="61"/>
      <c r="I23" s="67"/>
      <c r="K23" s="62"/>
      <c r="M23" s="62"/>
      <c r="N23" s="62"/>
      <c r="O23" s="62"/>
      <c r="P23" s="62"/>
      <c r="Q23" s="62"/>
      <c r="R23" s="62"/>
      <c r="U23" s="66"/>
      <c r="V23" s="66"/>
      <c r="W23" s="66"/>
      <c r="X23" s="68"/>
      <c r="AD23" s="66"/>
      <c r="AE23" s="66"/>
      <c r="AF23" s="66"/>
      <c r="AG23" s="66"/>
      <c r="AJ23" s="66"/>
      <c r="AK23" s="66"/>
      <c r="AL23" s="66"/>
      <c r="AM23" s="66"/>
      <c r="BA23" s="62"/>
    </row>
    <row r="24" spans="1:53" x14ac:dyDescent="0.25">
      <c r="C24" s="59"/>
      <c r="D24" s="69"/>
      <c r="G24" s="62"/>
      <c r="H24" s="61"/>
      <c r="I24" s="67"/>
      <c r="K24" s="62"/>
      <c r="M24" s="62"/>
      <c r="N24" s="62"/>
      <c r="O24" s="70"/>
      <c r="P24" s="62"/>
      <c r="Q24" s="62"/>
      <c r="R24" s="62"/>
      <c r="U24" s="66"/>
      <c r="V24" s="66"/>
      <c r="W24" s="66"/>
      <c r="X24" s="68"/>
      <c r="AD24" s="71"/>
      <c r="AE24" s="71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72"/>
      <c r="V25" s="66"/>
      <c r="W25" s="66"/>
      <c r="X25" s="68"/>
      <c r="AD25" s="66"/>
      <c r="AE25" s="66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2"/>
      <c r="G26" s="62"/>
      <c r="H26" s="61"/>
      <c r="I26" s="67"/>
      <c r="K26" s="62"/>
      <c r="M26" s="62"/>
      <c r="N26" s="62"/>
      <c r="O26" s="62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0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66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72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66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</sheetData>
  <mergeCells count="1">
    <mergeCell ref="E1:G1"/>
  </mergeCells>
  <conditionalFormatting sqref="AQ4:AQ20">
    <cfRule type="cellIs" dxfId="18" priority="37" operator="lessThan">
      <formula>0.07</formula>
    </cfRule>
    <cfRule type="cellIs" dxfId="17" priority="38" operator="greaterThan">
      <formula>0.1</formula>
    </cfRule>
  </conditionalFormatting>
  <conditionalFormatting sqref="N4:N20">
    <cfRule type="cellIs" dxfId="16" priority="17" operator="lessThan">
      <formula>70</formula>
    </cfRule>
    <cfRule type="cellIs" dxfId="15" priority="18" operator="between">
      <formula>70</formula>
      <formula>80</formula>
    </cfRule>
    <cfRule type="cellIs" dxfId="14" priority="19" operator="greaterThan">
      <formula>80</formula>
    </cfRule>
  </conditionalFormatting>
  <conditionalFormatting sqref="U4:U20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0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0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C4:C2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0">
    <cfRule type="colorScale" priority="4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0">
    <cfRule type="colorScale" priority="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0">
    <cfRule type="colorScale" priority="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0">
    <cfRule type="cellIs" dxfId="13" priority="439" operator="greaterThan">
      <formula>10</formula>
    </cfRule>
    <cfRule type="colorScale" priority="440">
      <colorScale>
        <cfvo type="min"/>
        <cfvo type="max"/>
        <color rgb="FFFCFCFF"/>
        <color rgb="FF63BE7B"/>
      </colorScale>
    </cfRule>
  </conditionalFormatting>
  <conditionalFormatting sqref="I4:I2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0">
    <cfRule type="colorScale" priority="445">
      <colorScale>
        <cfvo type="min"/>
        <cfvo type="max"/>
        <color rgb="FFFCFCFF"/>
        <color rgb="FFF8696B"/>
      </colorScale>
    </cfRule>
  </conditionalFormatting>
  <conditionalFormatting sqref="T4:T20">
    <cfRule type="dataBar" priority="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2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0 AD2">
    <cfRule type="dataBar" priority="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0 AE2">
    <cfRule type="dataBar" priority="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AZ4:AZ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{46779343-5FFB-4F44-8198-2C8B4C4F5A6D}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S4:S20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AD4:AD20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AE4:AE20 AE2</xm:sqref>
        </x14:conditionalFormatting>
        <x14:conditionalFormatting xmlns:xm="http://schemas.microsoft.com/office/excel/2006/main">
          <x14:cfRule type="dataBar" id="{46779343-5FFB-4F44-8198-2C8B4C4F5A6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V33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7" sqref="K7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6" bestFit="1" customWidth="1"/>
    <col min="5" max="5" width="4.8554687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6" width="4.5703125" bestFit="1" customWidth="1"/>
    <col min="17" max="17" width="5.28515625" bestFit="1" customWidth="1"/>
    <col min="18" max="18" width="5.140625" customWidth="1"/>
    <col min="19" max="19" width="5.28515625" bestFit="1" customWidth="1"/>
    <col min="20" max="21" width="5" customWidth="1"/>
    <col min="22" max="22" width="4.42578125" bestFit="1" customWidth="1"/>
    <col min="23" max="23" width="4" bestFit="1" customWidth="1"/>
    <col min="24" max="24" width="4.28515625" bestFit="1" customWidth="1"/>
    <col min="25" max="25" width="4.42578125" bestFit="1" customWidth="1"/>
    <col min="26" max="26" width="4.7109375" style="62" bestFit="1" customWidth="1"/>
    <col min="27" max="27" width="4" style="62" bestFit="1" customWidth="1"/>
    <col min="28" max="28" width="4.85546875" style="62" bestFit="1" customWidth="1"/>
    <col min="29" max="29" width="4" style="62" bestFit="1" customWidth="1"/>
    <col min="30" max="30" width="4" style="62" customWidth="1"/>
    <col min="31" max="31" width="4" style="62" bestFit="1" customWidth="1"/>
    <col min="32" max="32" width="4" style="62" customWidth="1"/>
    <col min="33" max="33" width="3.85546875" style="62" bestFit="1" customWidth="1"/>
    <col min="34" max="34" width="4.140625" style="62" bestFit="1" customWidth="1"/>
    <col min="35" max="35" width="4.28515625" style="62" bestFit="1" customWidth="1"/>
    <col min="36" max="37" width="4.28515625" style="62" customWidth="1"/>
    <col min="38" max="38" width="4.85546875" style="62" bestFit="1" customWidth="1"/>
    <col min="39" max="39" width="6.5703125" bestFit="1" customWidth="1"/>
    <col min="40" max="40" width="4.85546875" style="62" bestFit="1" customWidth="1"/>
    <col min="41" max="41" width="4.42578125" style="62" bestFit="1" customWidth="1"/>
    <col min="42" max="42" width="5" style="62" bestFit="1" customWidth="1"/>
    <col min="43" max="43" width="4.42578125" style="62" bestFit="1" customWidth="1"/>
    <col min="44" max="44" width="4.7109375" style="62" bestFit="1" customWidth="1"/>
    <col min="45" max="45" width="5.28515625" style="62" bestFit="1" customWidth="1"/>
    <col min="46" max="47" width="4.5703125" style="62" customWidth="1"/>
    <col min="48" max="48" width="32.28515625" bestFit="1" customWidth="1"/>
    <col min="49" max="1032" width="10.7109375" customWidth="1"/>
  </cols>
  <sheetData>
    <row r="1" spans="1:48" x14ac:dyDescent="0.25">
      <c r="A1" s="470" t="s">
        <v>163</v>
      </c>
      <c r="B1" s="470"/>
      <c r="C1" s="470"/>
      <c r="D1" s="470"/>
      <c r="E1" s="470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436"/>
      <c r="W1" s="107"/>
      <c r="X1" s="107"/>
      <c r="Y1" s="107"/>
      <c r="Z1" s="107"/>
      <c r="AA1" s="295"/>
      <c r="AB1" s="107"/>
      <c r="AC1" s="290"/>
      <c r="AD1" s="107"/>
      <c r="AE1" s="343"/>
      <c r="AF1" s="107"/>
      <c r="AG1" s="372"/>
      <c r="AH1" s="290"/>
      <c r="AI1" s="107"/>
      <c r="AJ1" s="369"/>
      <c r="AK1" s="372"/>
      <c r="AL1" s="107"/>
      <c r="AM1" s="107"/>
      <c r="AN1" s="456"/>
      <c r="AO1" s="456"/>
      <c r="AP1" s="456"/>
      <c r="AQ1" s="456"/>
      <c r="AR1" s="456"/>
      <c r="AS1" s="456"/>
      <c r="AT1" s="456"/>
      <c r="AU1" s="456"/>
      <c r="AV1" s="109"/>
    </row>
    <row r="2" spans="1:48" ht="15.75" thickBot="1" x14ac:dyDescent="0.3">
      <c r="A2" s="110" t="s">
        <v>164</v>
      </c>
      <c r="B2" s="110"/>
      <c r="C2" s="110"/>
      <c r="D2" s="110"/>
      <c r="E2" s="110"/>
      <c r="F2" s="110"/>
      <c r="G2" s="111"/>
      <c r="H2" s="110" t="s">
        <v>165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2"/>
    </row>
    <row r="3" spans="1:48" ht="15.75" thickBot="1" x14ac:dyDescent="0.3">
      <c r="A3" s="110" t="s">
        <v>3</v>
      </c>
      <c r="B3" s="110" t="s">
        <v>148</v>
      </c>
      <c r="C3" s="110" t="s">
        <v>5</v>
      </c>
      <c r="D3" s="111" t="s">
        <v>149</v>
      </c>
      <c r="E3" s="110" t="s">
        <v>150</v>
      </c>
      <c r="F3" s="110" t="s">
        <v>251</v>
      </c>
      <c r="G3" s="111" t="s">
        <v>151</v>
      </c>
      <c r="H3" s="400" t="s">
        <v>56</v>
      </c>
      <c r="I3" s="401" t="s">
        <v>39</v>
      </c>
      <c r="J3" s="402" t="s">
        <v>152</v>
      </c>
      <c r="K3" s="403" t="s">
        <v>39</v>
      </c>
      <c r="L3" s="404" t="s">
        <v>153</v>
      </c>
      <c r="M3" s="401" t="s">
        <v>39</v>
      </c>
      <c r="N3" s="402" t="s">
        <v>60</v>
      </c>
      <c r="O3" s="403" t="s">
        <v>39</v>
      </c>
      <c r="P3" s="404" t="s">
        <v>154</v>
      </c>
      <c r="Q3" s="401" t="s">
        <v>39</v>
      </c>
      <c r="R3" s="402" t="s">
        <v>155</v>
      </c>
      <c r="S3" s="403" t="s">
        <v>39</v>
      </c>
      <c r="T3" s="404" t="s">
        <v>156</v>
      </c>
      <c r="U3" s="401" t="s">
        <v>39</v>
      </c>
      <c r="V3" s="111" t="s">
        <v>323</v>
      </c>
      <c r="W3" s="111" t="s">
        <v>39</v>
      </c>
      <c r="X3" s="111" t="s">
        <v>157</v>
      </c>
      <c r="Y3" s="111" t="s">
        <v>253</v>
      </c>
      <c r="Z3" s="111" t="s">
        <v>56</v>
      </c>
      <c r="AA3" s="111" t="s">
        <v>266</v>
      </c>
      <c r="AB3" s="111" t="s">
        <v>159</v>
      </c>
      <c r="AC3" s="111" t="s">
        <v>264</v>
      </c>
      <c r="AD3" s="111" t="s">
        <v>160</v>
      </c>
      <c r="AE3" s="111" t="s">
        <v>310</v>
      </c>
      <c r="AF3" s="111" t="s">
        <v>161</v>
      </c>
      <c r="AG3" s="111" t="s">
        <v>334</v>
      </c>
      <c r="AH3" s="111" t="s">
        <v>263</v>
      </c>
      <c r="AI3" s="111" t="s">
        <v>162</v>
      </c>
      <c r="AJ3" s="111" t="s">
        <v>333</v>
      </c>
      <c r="AK3" s="111" t="s">
        <v>335</v>
      </c>
      <c r="AL3" s="111" t="s">
        <v>89</v>
      </c>
      <c r="AM3" s="111" t="s">
        <v>252</v>
      </c>
      <c r="AN3" s="462" t="s">
        <v>56</v>
      </c>
      <c r="AO3" s="462" t="s">
        <v>152</v>
      </c>
      <c r="AP3" s="462" t="s">
        <v>153</v>
      </c>
      <c r="AQ3" s="462" t="s">
        <v>60</v>
      </c>
      <c r="AR3" s="462" t="s">
        <v>154</v>
      </c>
      <c r="AS3" s="462" t="s">
        <v>155</v>
      </c>
      <c r="AT3" s="462" t="s">
        <v>156</v>
      </c>
      <c r="AU3" s="462" t="s">
        <v>364</v>
      </c>
      <c r="AV3" s="112" t="s">
        <v>158</v>
      </c>
    </row>
    <row r="4" spans="1:48" ht="15.75" thickBot="1" x14ac:dyDescent="0.3">
      <c r="A4" s="358" t="s">
        <v>325</v>
      </c>
      <c r="B4" s="125">
        <v>17</v>
      </c>
      <c r="C4" s="126">
        <f ca="1">39+$A$30-$A$32-112</f>
        <v>25</v>
      </c>
      <c r="D4" s="132"/>
      <c r="E4" s="191">
        <f ca="1">F4-TODAY()</f>
        <v>65</v>
      </c>
      <c r="F4" s="194">
        <v>43800</v>
      </c>
      <c r="G4" s="357" t="s">
        <v>326</v>
      </c>
      <c r="H4" s="381"/>
      <c r="I4" s="382">
        <v>1.99</v>
      </c>
      <c r="J4" s="383">
        <v>5.4</v>
      </c>
      <c r="K4" s="384">
        <v>7</v>
      </c>
      <c r="L4" s="385"/>
      <c r="M4" s="389">
        <v>5.99</v>
      </c>
      <c r="N4" s="385"/>
      <c r="O4" s="394">
        <v>3.99</v>
      </c>
      <c r="P4" s="385"/>
      <c r="Q4" s="382">
        <v>4.99</v>
      </c>
      <c r="R4" s="385"/>
      <c r="S4" s="388"/>
      <c r="T4" s="385"/>
      <c r="U4" s="388"/>
      <c r="V4" s="363">
        <f t="shared" ref="V4:W8" si="0">COUNT(H4,J4,L4,N4,P4,R4,T4)</f>
        <v>1</v>
      </c>
      <c r="W4" s="192">
        <f t="shared" si="0"/>
        <v>5</v>
      </c>
      <c r="X4" s="128">
        <v>0</v>
      </c>
      <c r="Y4" s="192">
        <v>0</v>
      </c>
      <c r="Z4" s="298"/>
      <c r="AA4" s="298">
        <v>5.5</v>
      </c>
      <c r="AB4" s="299">
        <v>4.5</v>
      </c>
      <c r="AC4" s="299">
        <v>5.5</v>
      </c>
      <c r="AD4" s="299">
        <v>5</v>
      </c>
      <c r="AE4" s="299"/>
      <c r="AF4" s="299">
        <v>5</v>
      </c>
      <c r="AG4" s="299"/>
      <c r="AH4" s="299"/>
      <c r="AI4" s="299">
        <v>5</v>
      </c>
      <c r="AJ4" s="299"/>
      <c r="AK4" s="299"/>
      <c r="AL4" s="299"/>
      <c r="AM4" s="362" t="s">
        <v>172</v>
      </c>
      <c r="AN4" s="298">
        <v>0</v>
      </c>
      <c r="AO4" s="298">
        <v>18</v>
      </c>
      <c r="AP4" s="299">
        <v>9</v>
      </c>
      <c r="AQ4" s="299">
        <v>2</v>
      </c>
      <c r="AR4" s="299">
        <v>4</v>
      </c>
      <c r="AS4" s="299"/>
      <c r="AT4" s="299"/>
      <c r="AU4" s="299">
        <f>SUM(AN4:AT4)</f>
        <v>33</v>
      </c>
      <c r="AV4" s="193" t="s">
        <v>225</v>
      </c>
    </row>
    <row r="5" spans="1:48" ht="15.75" thickBot="1" x14ac:dyDescent="0.3">
      <c r="A5" s="340" t="s">
        <v>313</v>
      </c>
      <c r="B5" s="131">
        <v>16</v>
      </c>
      <c r="C5" s="126">
        <f ca="1">68+$A$30-$A$32-112</f>
        <v>54</v>
      </c>
      <c r="D5" s="127" t="s">
        <v>82</v>
      </c>
      <c r="E5" s="191">
        <f ca="1">F5-TODAY()</f>
        <v>58</v>
      </c>
      <c r="F5" s="194">
        <v>43793</v>
      </c>
      <c r="G5" s="357" t="s">
        <v>309</v>
      </c>
      <c r="H5" s="381"/>
      <c r="I5" s="388"/>
      <c r="J5" s="425">
        <v>5.2</v>
      </c>
      <c r="K5" s="426">
        <v>5.6</v>
      </c>
      <c r="L5" s="391">
        <v>2</v>
      </c>
      <c r="M5" s="382">
        <v>3.99</v>
      </c>
      <c r="N5" s="437">
        <v>4.0999999999999996</v>
      </c>
      <c r="O5" s="439">
        <v>4.99</v>
      </c>
      <c r="P5" s="393">
        <v>3</v>
      </c>
      <c r="Q5" s="394">
        <v>3.99</v>
      </c>
      <c r="R5" s="387"/>
      <c r="S5" s="384">
        <v>6.99</v>
      </c>
      <c r="T5" s="385"/>
      <c r="U5" s="388"/>
      <c r="V5" s="363">
        <f t="shared" si="0"/>
        <v>4</v>
      </c>
      <c r="W5" s="192">
        <f t="shared" si="0"/>
        <v>5</v>
      </c>
      <c r="X5" s="128">
        <v>0</v>
      </c>
      <c r="Y5" s="192">
        <v>0</v>
      </c>
      <c r="Z5" s="299"/>
      <c r="AA5" s="299">
        <v>4.5</v>
      </c>
      <c r="AB5" s="299">
        <v>3.5</v>
      </c>
      <c r="AC5" s="299">
        <v>5.5</v>
      </c>
      <c r="AD5" s="299">
        <v>4.5</v>
      </c>
      <c r="AE5" s="299"/>
      <c r="AF5" s="299">
        <v>5</v>
      </c>
      <c r="AG5" s="299"/>
      <c r="AH5" s="299"/>
      <c r="AI5" s="299">
        <v>3.5</v>
      </c>
      <c r="AJ5" s="299"/>
      <c r="AK5" s="299"/>
      <c r="AL5" s="299">
        <v>6.5</v>
      </c>
      <c r="AM5" s="362" t="s">
        <v>172</v>
      </c>
      <c r="AN5" s="299"/>
      <c r="AO5" s="299">
        <v>10</v>
      </c>
      <c r="AP5" s="299">
        <v>3</v>
      </c>
      <c r="AQ5" s="299">
        <v>4</v>
      </c>
      <c r="AR5" s="299">
        <v>2</v>
      </c>
      <c r="AS5" s="299">
        <v>12</v>
      </c>
      <c r="AT5" s="299"/>
      <c r="AU5" s="299">
        <f>SUM(AN5:AT5)</f>
        <v>31</v>
      </c>
      <c r="AV5" s="193" t="s">
        <v>226</v>
      </c>
    </row>
    <row r="6" spans="1:48" ht="15.75" thickBot="1" x14ac:dyDescent="0.3">
      <c r="A6" s="340" t="s">
        <v>262</v>
      </c>
      <c r="B6" s="125">
        <v>16</v>
      </c>
      <c r="C6" s="126">
        <f ca="1">6+$A$30-$A$32</f>
        <v>104</v>
      </c>
      <c r="D6" s="130"/>
      <c r="E6" s="191">
        <f t="shared" ref="E6:E8" ca="1" si="1">F6-TODAY()</f>
        <v>22</v>
      </c>
      <c r="F6" s="194">
        <v>43757</v>
      </c>
      <c r="G6" s="357" t="s">
        <v>309</v>
      </c>
      <c r="H6" s="410"/>
      <c r="I6" s="411">
        <v>1.99</v>
      </c>
      <c r="J6" s="412">
        <v>5.6</v>
      </c>
      <c r="K6" s="413">
        <v>6.99</v>
      </c>
      <c r="L6" s="427">
        <v>4</v>
      </c>
      <c r="M6" s="428">
        <v>4.99</v>
      </c>
      <c r="N6" s="437">
        <v>2</v>
      </c>
      <c r="O6" s="438">
        <v>2.99</v>
      </c>
      <c r="P6" s="416"/>
      <c r="Q6" s="415">
        <v>5.99</v>
      </c>
      <c r="R6" s="416">
        <v>3</v>
      </c>
      <c r="S6" s="415"/>
      <c r="T6" s="414"/>
      <c r="U6" s="417"/>
      <c r="V6" s="363">
        <f t="shared" si="0"/>
        <v>4</v>
      </c>
      <c r="W6" s="192">
        <f t="shared" si="0"/>
        <v>5</v>
      </c>
      <c r="X6" s="128">
        <v>0</v>
      </c>
      <c r="Y6" s="192">
        <v>0</v>
      </c>
      <c r="Z6" s="298"/>
      <c r="AA6" s="298">
        <v>5</v>
      </c>
      <c r="AB6" s="299">
        <v>4.5</v>
      </c>
      <c r="AC6" s="299">
        <v>5</v>
      </c>
      <c r="AD6" s="299">
        <v>5</v>
      </c>
      <c r="AE6" s="299"/>
      <c r="AF6" s="299"/>
      <c r="AG6" s="299"/>
      <c r="AH6" s="299">
        <v>5.5</v>
      </c>
      <c r="AI6" s="299">
        <v>5</v>
      </c>
      <c r="AJ6" s="299">
        <v>6</v>
      </c>
      <c r="AK6" s="299">
        <v>4</v>
      </c>
      <c r="AL6" s="299">
        <v>4.5</v>
      </c>
      <c r="AM6" s="361" t="s">
        <v>320</v>
      </c>
      <c r="AN6" s="298">
        <v>0</v>
      </c>
      <c r="AO6" s="298">
        <v>14</v>
      </c>
      <c r="AP6" s="299">
        <v>6</v>
      </c>
      <c r="AQ6" s="299">
        <v>0</v>
      </c>
      <c r="AR6" s="299">
        <v>7</v>
      </c>
      <c r="AS6" s="299">
        <v>2</v>
      </c>
      <c r="AT6" s="299"/>
      <c r="AU6" s="299">
        <f>SUM(AN6:AT6)</f>
        <v>29</v>
      </c>
      <c r="AV6" s="193" t="s">
        <v>226</v>
      </c>
    </row>
    <row r="7" spans="1:48" ht="15.75" thickBot="1" x14ac:dyDescent="0.3">
      <c r="A7" s="340" t="s">
        <v>305</v>
      </c>
      <c r="B7" s="131">
        <v>16</v>
      </c>
      <c r="C7" s="126">
        <f ca="1">84+$A$30-$A$32-112</f>
        <v>70</v>
      </c>
      <c r="D7" s="132"/>
      <c r="E7" s="191">
        <f t="shared" ca="1" si="1"/>
        <v>42</v>
      </c>
      <c r="F7" s="194">
        <v>43777</v>
      </c>
      <c r="G7" s="357" t="s">
        <v>319</v>
      </c>
      <c r="H7" s="381"/>
      <c r="I7" s="382">
        <v>1.99</v>
      </c>
      <c r="J7" s="425">
        <v>5</v>
      </c>
      <c r="K7" s="426">
        <v>5.2</v>
      </c>
      <c r="L7" s="385"/>
      <c r="M7" s="382">
        <v>4.99</v>
      </c>
      <c r="N7" s="425">
        <v>3</v>
      </c>
      <c r="O7" s="426">
        <v>3.99</v>
      </c>
      <c r="P7" s="387"/>
      <c r="Q7" s="382">
        <v>2.99</v>
      </c>
      <c r="R7" s="387"/>
      <c r="S7" s="386"/>
      <c r="T7" s="385"/>
      <c r="U7" s="388"/>
      <c r="V7" s="363">
        <f t="shared" si="0"/>
        <v>2</v>
      </c>
      <c r="W7" s="192">
        <f t="shared" si="0"/>
        <v>5</v>
      </c>
      <c r="X7" s="128">
        <v>0</v>
      </c>
      <c r="Y7" s="192">
        <v>3</v>
      </c>
      <c r="Z7" s="298"/>
      <c r="AA7" s="298">
        <v>5</v>
      </c>
      <c r="AB7" s="299">
        <v>3.5</v>
      </c>
      <c r="AC7" s="299"/>
      <c r="AD7" s="299">
        <v>4</v>
      </c>
      <c r="AE7" s="299"/>
      <c r="AF7" s="299"/>
      <c r="AG7" s="299"/>
      <c r="AH7" s="299">
        <v>4.5</v>
      </c>
      <c r="AI7" s="299">
        <v>4</v>
      </c>
      <c r="AJ7" s="299"/>
      <c r="AK7" s="299"/>
      <c r="AL7" s="299">
        <v>3</v>
      </c>
      <c r="AM7" s="361" t="s">
        <v>321</v>
      </c>
      <c r="AN7" s="298">
        <v>0</v>
      </c>
      <c r="AO7" s="298">
        <v>10</v>
      </c>
      <c r="AP7" s="299">
        <v>6</v>
      </c>
      <c r="AQ7" s="299">
        <v>2</v>
      </c>
      <c r="AR7" s="299">
        <v>0</v>
      </c>
      <c r="AS7" s="299"/>
      <c r="AT7" s="299"/>
      <c r="AU7" s="299">
        <f t="shared" ref="AU7:AU8" si="2">SUM(AN7:AT7)</f>
        <v>18</v>
      </c>
      <c r="AV7" s="193" t="s">
        <v>225</v>
      </c>
    </row>
    <row r="8" spans="1:48" ht="15.75" thickBot="1" x14ac:dyDescent="0.3">
      <c r="A8" s="358" t="s">
        <v>324</v>
      </c>
      <c r="B8" s="131">
        <v>16</v>
      </c>
      <c r="C8" s="126">
        <f ca="1">-53+$A$30-$A$32</f>
        <v>45</v>
      </c>
      <c r="D8" s="132"/>
      <c r="E8" s="191">
        <f t="shared" ca="1" si="1"/>
        <v>67</v>
      </c>
      <c r="F8" s="194">
        <v>43802</v>
      </c>
      <c r="G8" s="357" t="s">
        <v>319</v>
      </c>
      <c r="H8" s="381"/>
      <c r="I8" s="388"/>
      <c r="J8" s="390">
        <v>1</v>
      </c>
      <c r="K8" s="382">
        <v>2.99</v>
      </c>
      <c r="L8" s="429">
        <v>1</v>
      </c>
      <c r="M8" s="430">
        <v>1.99</v>
      </c>
      <c r="N8" s="385"/>
      <c r="O8" s="384">
        <v>7</v>
      </c>
      <c r="P8" s="429">
        <v>1</v>
      </c>
      <c r="Q8" s="430">
        <v>1.99</v>
      </c>
      <c r="R8" s="383">
        <v>3</v>
      </c>
      <c r="S8" s="389">
        <v>4.99</v>
      </c>
      <c r="T8" s="385"/>
      <c r="U8" s="388"/>
      <c r="V8" s="363">
        <f t="shared" si="0"/>
        <v>4</v>
      </c>
      <c r="W8" s="192">
        <f t="shared" si="0"/>
        <v>5</v>
      </c>
      <c r="X8" s="128">
        <v>0</v>
      </c>
      <c r="Y8" s="192">
        <v>0</v>
      </c>
      <c r="Z8" s="298"/>
      <c r="AA8" s="298"/>
      <c r="AB8" s="299"/>
      <c r="AC8" s="299">
        <v>2.5</v>
      </c>
      <c r="AD8" s="299"/>
      <c r="AE8" s="299"/>
      <c r="AF8" s="299">
        <v>4</v>
      </c>
      <c r="AG8" s="299">
        <v>2.5</v>
      </c>
      <c r="AH8" s="299"/>
      <c r="AI8" s="299">
        <v>1.5</v>
      </c>
      <c r="AJ8" s="299">
        <v>3.5</v>
      </c>
      <c r="AK8" s="299"/>
      <c r="AL8" s="299">
        <v>5</v>
      </c>
      <c r="AM8" s="361" t="s">
        <v>330</v>
      </c>
      <c r="AN8" s="298"/>
      <c r="AO8" s="298">
        <v>0</v>
      </c>
      <c r="AP8" s="299">
        <v>-2</v>
      </c>
      <c r="AQ8" s="299">
        <v>11</v>
      </c>
      <c r="AR8" s="299">
        <v>-1</v>
      </c>
      <c r="AS8" s="299">
        <v>5</v>
      </c>
      <c r="AT8" s="299"/>
      <c r="AU8" s="299">
        <f t="shared" si="2"/>
        <v>13</v>
      </c>
      <c r="AV8" s="193" t="s">
        <v>226</v>
      </c>
    </row>
    <row r="9" spans="1:48" x14ac:dyDescent="0.25">
      <c r="A9" s="471" t="s">
        <v>166</v>
      </c>
      <c r="B9" s="471"/>
      <c r="C9" s="471"/>
      <c r="D9" s="471"/>
      <c r="E9" s="471"/>
      <c r="F9" s="115"/>
      <c r="G9" s="376"/>
      <c r="H9" s="471"/>
      <c r="I9" s="471"/>
      <c r="J9" s="471"/>
      <c r="K9" s="471"/>
      <c r="L9" s="471"/>
      <c r="M9" s="471"/>
      <c r="N9" s="471"/>
      <c r="O9" s="471"/>
      <c r="P9" s="471"/>
      <c r="Q9" s="471"/>
      <c r="R9" s="471"/>
      <c r="S9" s="471"/>
      <c r="T9" s="471"/>
      <c r="U9" s="471"/>
      <c r="V9" s="376"/>
      <c r="W9" s="376"/>
      <c r="X9" s="114"/>
      <c r="Y9" s="114"/>
      <c r="Z9" s="114"/>
      <c r="AA9" s="296"/>
      <c r="AB9" s="114"/>
      <c r="AC9" s="291"/>
      <c r="AD9" s="114"/>
      <c r="AE9" s="344"/>
      <c r="AF9" s="114"/>
      <c r="AG9" s="373"/>
      <c r="AH9" s="291"/>
      <c r="AI9" s="114"/>
      <c r="AJ9" s="370"/>
      <c r="AK9" s="373"/>
      <c r="AL9" s="114"/>
      <c r="AM9" s="376"/>
      <c r="AN9" s="457"/>
      <c r="AO9" s="457"/>
      <c r="AP9" s="457"/>
      <c r="AQ9" s="457"/>
      <c r="AR9" s="457"/>
      <c r="AS9" s="457"/>
      <c r="AT9" s="457"/>
      <c r="AU9" s="457"/>
      <c r="AV9" s="116"/>
    </row>
    <row r="10" spans="1:48" ht="15.75" thickBot="1" x14ac:dyDescent="0.3">
      <c r="A10" s="117" t="s">
        <v>164</v>
      </c>
      <c r="B10" s="117"/>
      <c r="C10" s="117"/>
      <c r="D10" s="117"/>
      <c r="E10" s="117"/>
      <c r="F10" s="117"/>
      <c r="G10" s="118"/>
      <c r="H10" s="473" t="s">
        <v>165</v>
      </c>
      <c r="I10" s="473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473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9"/>
    </row>
    <row r="11" spans="1:48" ht="15.75" thickBot="1" x14ac:dyDescent="0.3">
      <c r="A11" s="117" t="s">
        <v>3</v>
      </c>
      <c r="B11" s="117" t="s">
        <v>148</v>
      </c>
      <c r="C11" s="117" t="s">
        <v>5</v>
      </c>
      <c r="D11" s="118" t="s">
        <v>149</v>
      </c>
      <c r="E11" s="117" t="s">
        <v>150</v>
      </c>
      <c r="F11" s="117" t="str">
        <f>F3</f>
        <v>Fpromo</v>
      </c>
      <c r="G11" s="118" t="s">
        <v>151</v>
      </c>
      <c r="H11" s="418" t="s">
        <v>56</v>
      </c>
      <c r="I11" s="419" t="s">
        <v>39</v>
      </c>
      <c r="J11" s="420" t="s">
        <v>152</v>
      </c>
      <c r="K11" s="421" t="s">
        <v>39</v>
      </c>
      <c r="L11" s="422" t="s">
        <v>153</v>
      </c>
      <c r="M11" s="419" t="s">
        <v>39</v>
      </c>
      <c r="N11" s="420" t="s">
        <v>60</v>
      </c>
      <c r="O11" s="421" t="s">
        <v>39</v>
      </c>
      <c r="P11" s="422" t="s">
        <v>154</v>
      </c>
      <c r="Q11" s="419" t="s">
        <v>39</v>
      </c>
      <c r="R11" s="420" t="s">
        <v>155</v>
      </c>
      <c r="S11" s="421" t="s">
        <v>39</v>
      </c>
      <c r="T11" s="422" t="s">
        <v>156</v>
      </c>
      <c r="U11" s="419" t="s">
        <v>39</v>
      </c>
      <c r="V11" s="118" t="str">
        <f>V3</f>
        <v>Hab</v>
      </c>
      <c r="W11" s="118" t="str">
        <f>W3</f>
        <v>Pot</v>
      </c>
      <c r="X11" s="118" t="str">
        <f>X3</f>
        <v>Cap</v>
      </c>
      <c r="Y11" s="118" t="s">
        <v>156</v>
      </c>
      <c r="Z11" s="118" t="s">
        <v>56</v>
      </c>
      <c r="AA11" s="118" t="s">
        <v>266</v>
      </c>
      <c r="AB11" s="118" t="s">
        <v>159</v>
      </c>
      <c r="AC11" s="118" t="s">
        <v>264</v>
      </c>
      <c r="AD11" s="118" t="s">
        <v>160</v>
      </c>
      <c r="AE11" s="118" t="s">
        <v>310</v>
      </c>
      <c r="AF11" s="118" t="s">
        <v>161</v>
      </c>
      <c r="AG11" s="118" t="str">
        <f t="shared" ref="AG11:AV11" si="3">AG3</f>
        <v>EM</v>
      </c>
      <c r="AH11" s="118" t="str">
        <f t="shared" si="3"/>
        <v>MD</v>
      </c>
      <c r="AI11" s="118" t="str">
        <f t="shared" si="3"/>
        <v>MO</v>
      </c>
      <c r="AJ11" s="118" t="str">
        <f t="shared" si="3"/>
        <v>DD</v>
      </c>
      <c r="AK11" s="118" t="str">
        <f t="shared" si="3"/>
        <v>DL</v>
      </c>
      <c r="AL11" s="118" t="str">
        <f t="shared" si="3"/>
        <v>DAV</v>
      </c>
      <c r="AM11" s="118" t="str">
        <f t="shared" si="3"/>
        <v>U20</v>
      </c>
      <c r="AN11" s="463" t="str">
        <f t="shared" si="3"/>
        <v>POR</v>
      </c>
      <c r="AO11" s="463" t="str">
        <f t="shared" si="3"/>
        <v>DEF</v>
      </c>
      <c r="AP11" s="463" t="str">
        <f t="shared" si="3"/>
        <v>JUG</v>
      </c>
      <c r="AQ11" s="463" t="str">
        <f t="shared" si="3"/>
        <v>LAT</v>
      </c>
      <c r="AR11" s="463" t="str">
        <f t="shared" si="3"/>
        <v>PAS</v>
      </c>
      <c r="AS11" s="463" t="str">
        <f t="shared" si="3"/>
        <v>ANO</v>
      </c>
      <c r="AT11" s="463" t="str">
        <f t="shared" si="3"/>
        <v>BP</v>
      </c>
      <c r="AU11" s="463" t="str">
        <f t="shared" si="3"/>
        <v>Tot</v>
      </c>
      <c r="AV11" s="119" t="str">
        <f t="shared" si="3"/>
        <v>Ca</v>
      </c>
    </row>
    <row r="12" spans="1:48" ht="15.75" thickBot="1" x14ac:dyDescent="0.3">
      <c r="A12" s="341" t="s">
        <v>337</v>
      </c>
      <c r="B12" s="125">
        <v>15</v>
      </c>
      <c r="C12" s="126">
        <f ca="1">-3+$A$30-$A$32</f>
        <v>95</v>
      </c>
      <c r="D12" s="127"/>
      <c r="E12" s="191">
        <f ca="1">F12-TODAY()</f>
        <v>129</v>
      </c>
      <c r="F12" s="194">
        <v>43864</v>
      </c>
      <c r="G12" s="357" t="s">
        <v>309</v>
      </c>
      <c r="H12" s="381"/>
      <c r="I12" s="382">
        <v>1.99</v>
      </c>
      <c r="J12" s="390">
        <v>3</v>
      </c>
      <c r="K12" s="392">
        <v>4.99</v>
      </c>
      <c r="L12" s="385"/>
      <c r="M12" s="388"/>
      <c r="N12" s="440">
        <v>3</v>
      </c>
      <c r="O12" s="441">
        <v>3.99</v>
      </c>
      <c r="P12" s="385"/>
      <c r="Q12" s="384">
        <v>6.99</v>
      </c>
      <c r="R12" s="385"/>
      <c r="S12" s="388"/>
      <c r="T12" s="385"/>
      <c r="U12" s="388"/>
      <c r="V12" s="363">
        <f t="shared" ref="V12:V21" si="4">COUNT(H12,J12,L12,N12,P12,R12,T12)</f>
        <v>2</v>
      </c>
      <c r="W12" s="192">
        <f t="shared" ref="W12:W21" si="5">COUNT(I12,K12,M12,O12,Q12,S12,U12)</f>
        <v>4</v>
      </c>
      <c r="X12" s="128">
        <v>0</v>
      </c>
      <c r="Y12" s="192">
        <v>0</v>
      </c>
      <c r="Z12" s="298"/>
      <c r="AA12" s="298">
        <v>3.5</v>
      </c>
      <c r="AB12" s="299"/>
      <c r="AC12" s="299"/>
      <c r="AD12" s="299"/>
      <c r="AE12" s="299"/>
      <c r="AF12" s="299">
        <v>4</v>
      </c>
      <c r="AG12" s="299"/>
      <c r="AH12" s="299"/>
      <c r="AI12" s="299">
        <v>3.5</v>
      </c>
      <c r="AJ12" s="299"/>
      <c r="AK12" s="299"/>
      <c r="AL12" s="434">
        <v>5</v>
      </c>
      <c r="AM12" s="461" t="s">
        <v>338</v>
      </c>
      <c r="AN12" s="433">
        <v>0</v>
      </c>
      <c r="AO12" s="298">
        <v>6</v>
      </c>
      <c r="AP12" s="299"/>
      <c r="AQ12" s="299">
        <v>2</v>
      </c>
      <c r="AR12" s="299">
        <v>10</v>
      </c>
      <c r="AS12" s="299"/>
      <c r="AT12" s="299"/>
      <c r="AU12" s="299">
        <f>SUM(AN12:AT12)</f>
        <v>18</v>
      </c>
      <c r="AV12" s="435" t="s">
        <v>225</v>
      </c>
    </row>
    <row r="13" spans="1:48" ht="15.75" thickBot="1" x14ac:dyDescent="0.3">
      <c r="A13" s="346" t="s">
        <v>308</v>
      </c>
      <c r="B13" s="131">
        <v>17</v>
      </c>
      <c r="C13" s="126">
        <f ca="1">58+$A$30-$A$32-112</f>
        <v>44</v>
      </c>
      <c r="D13" s="132" t="s">
        <v>53</v>
      </c>
      <c r="E13" s="191">
        <f ca="1">F13-TODAY()</f>
        <v>43</v>
      </c>
      <c r="F13" s="194">
        <v>43778</v>
      </c>
      <c r="G13" s="357" t="s">
        <v>309</v>
      </c>
      <c r="H13" s="381"/>
      <c r="I13" s="388"/>
      <c r="J13" s="431">
        <v>4</v>
      </c>
      <c r="K13" s="432">
        <v>4.99</v>
      </c>
      <c r="L13" s="385"/>
      <c r="M13" s="382">
        <v>3.99</v>
      </c>
      <c r="N13" s="385"/>
      <c r="O13" s="382">
        <v>3.99</v>
      </c>
      <c r="P13" s="431">
        <v>3</v>
      </c>
      <c r="Q13" s="432">
        <v>3.99</v>
      </c>
      <c r="R13" s="383">
        <v>3</v>
      </c>
      <c r="S13" s="386"/>
      <c r="T13" s="385"/>
      <c r="U13" s="388"/>
      <c r="V13" s="363">
        <f t="shared" si="4"/>
        <v>3</v>
      </c>
      <c r="W13" s="192">
        <f t="shared" si="5"/>
        <v>4</v>
      </c>
      <c r="X13" s="128">
        <v>1</v>
      </c>
      <c r="Y13" s="192">
        <v>0</v>
      </c>
      <c r="Z13" s="298"/>
      <c r="AA13" s="298">
        <v>4</v>
      </c>
      <c r="AB13" s="299">
        <v>3</v>
      </c>
      <c r="AC13" s="299"/>
      <c r="AD13" s="299">
        <v>3.5</v>
      </c>
      <c r="AE13" s="299"/>
      <c r="AF13" s="299">
        <v>4</v>
      </c>
      <c r="AG13" s="299">
        <v>4</v>
      </c>
      <c r="AH13" s="299"/>
      <c r="AI13" s="299">
        <v>3.5</v>
      </c>
      <c r="AJ13" s="299"/>
      <c r="AK13" s="299"/>
      <c r="AL13" s="434">
        <v>5</v>
      </c>
      <c r="AM13" s="460" t="s">
        <v>322</v>
      </c>
      <c r="AN13" s="433"/>
      <c r="AO13" s="298">
        <v>6</v>
      </c>
      <c r="AP13" s="299">
        <v>3</v>
      </c>
      <c r="AQ13" s="299">
        <v>2</v>
      </c>
      <c r="AR13" s="299">
        <v>2</v>
      </c>
      <c r="AS13" s="299">
        <v>2</v>
      </c>
      <c r="AT13" s="299"/>
      <c r="AU13" s="299">
        <f>SUM(AN13:AT13)</f>
        <v>15</v>
      </c>
      <c r="AV13" s="435" t="s">
        <v>225</v>
      </c>
    </row>
    <row r="14" spans="1:48" ht="15.75" thickBot="1" x14ac:dyDescent="0.3">
      <c r="A14" s="341" t="s">
        <v>267</v>
      </c>
      <c r="B14" s="125">
        <v>16</v>
      </c>
      <c r="C14" s="126">
        <f ca="1">67+$A$30-$A$32+14-112</f>
        <v>67</v>
      </c>
      <c r="D14" s="127"/>
      <c r="E14" s="191">
        <f t="shared" ref="E14" ca="1" si="6">F14-TODAY()</f>
        <v>45</v>
      </c>
      <c r="F14" s="194">
        <v>43780</v>
      </c>
      <c r="G14" s="357" t="s">
        <v>309</v>
      </c>
      <c r="H14" s="381"/>
      <c r="I14" s="388"/>
      <c r="J14" s="385"/>
      <c r="K14" s="388"/>
      <c r="L14" s="437">
        <v>3</v>
      </c>
      <c r="M14" s="439">
        <v>3.99</v>
      </c>
      <c r="N14" s="395"/>
      <c r="O14" s="389">
        <v>3.99</v>
      </c>
      <c r="P14" s="385"/>
      <c r="Q14" s="388"/>
      <c r="R14" s="385"/>
      <c r="S14" s="389">
        <v>4.99</v>
      </c>
      <c r="T14" s="385"/>
      <c r="U14" s="388"/>
      <c r="V14" s="363">
        <f t="shared" si="4"/>
        <v>1</v>
      </c>
      <c r="W14" s="192">
        <f t="shared" si="5"/>
        <v>3</v>
      </c>
      <c r="X14" s="128">
        <v>1</v>
      </c>
      <c r="Y14" s="192">
        <v>11</v>
      </c>
      <c r="Z14" s="298"/>
      <c r="AA14" s="298">
        <v>3</v>
      </c>
      <c r="AB14" s="299">
        <v>2.5</v>
      </c>
      <c r="AC14" s="299"/>
      <c r="AD14" s="299"/>
      <c r="AE14" s="299"/>
      <c r="AF14" s="299"/>
      <c r="AG14" s="299"/>
      <c r="AH14" s="299">
        <v>3.5</v>
      </c>
      <c r="AI14" s="299">
        <v>4</v>
      </c>
      <c r="AJ14" s="299">
        <v>5</v>
      </c>
      <c r="AK14" s="299"/>
      <c r="AL14" s="434">
        <v>5</v>
      </c>
      <c r="AM14" s="461" t="s">
        <v>174</v>
      </c>
      <c r="AN14" s="433"/>
      <c r="AO14" s="298"/>
      <c r="AP14" s="299">
        <v>3</v>
      </c>
      <c r="AQ14" s="299">
        <v>2</v>
      </c>
      <c r="AR14" s="299"/>
      <c r="AS14" s="299">
        <v>5</v>
      </c>
      <c r="AT14" s="299"/>
      <c r="AU14" s="299">
        <f>SUM(AN14:AT14)</f>
        <v>10</v>
      </c>
      <c r="AV14" s="435" t="s">
        <v>223</v>
      </c>
    </row>
    <row r="15" spans="1:48" ht="15.75" thickBot="1" x14ac:dyDescent="0.3">
      <c r="A15" s="134" t="s">
        <v>176</v>
      </c>
      <c r="B15" s="125">
        <v>17</v>
      </c>
      <c r="C15" s="126">
        <f ca="1">40+$A$30-$A$32-112</f>
        <v>26</v>
      </c>
      <c r="D15" s="127"/>
      <c r="E15" s="191">
        <f ca="1">F15-TODAY()</f>
        <v>14</v>
      </c>
      <c r="F15" s="194">
        <v>43749</v>
      </c>
      <c r="G15" s="357"/>
      <c r="H15" s="381"/>
      <c r="I15" s="388"/>
      <c r="J15" s="390">
        <v>5</v>
      </c>
      <c r="K15" s="388"/>
      <c r="L15" s="385"/>
      <c r="M15" s="388"/>
      <c r="N15" s="429">
        <v>1</v>
      </c>
      <c r="O15" s="430">
        <v>1.99</v>
      </c>
      <c r="P15" s="385"/>
      <c r="Q15" s="388"/>
      <c r="R15" s="385"/>
      <c r="S15" s="388"/>
      <c r="T15" s="385"/>
      <c r="U15" s="388"/>
      <c r="V15" s="363">
        <f t="shared" si="4"/>
        <v>2</v>
      </c>
      <c r="W15" s="192">
        <f t="shared" si="5"/>
        <v>1</v>
      </c>
      <c r="X15" s="128">
        <v>0</v>
      </c>
      <c r="Y15" s="192">
        <v>0</v>
      </c>
      <c r="Z15" s="298">
        <v>2</v>
      </c>
      <c r="AA15" s="298">
        <v>4.5</v>
      </c>
      <c r="AB15" s="299">
        <v>3</v>
      </c>
      <c r="AC15" s="299">
        <v>4.5</v>
      </c>
      <c r="AD15" s="299">
        <v>3.5</v>
      </c>
      <c r="AE15" s="299"/>
      <c r="AF15" s="299">
        <v>2.5</v>
      </c>
      <c r="AG15" s="299"/>
      <c r="AH15" s="299"/>
      <c r="AI15" s="299">
        <v>2</v>
      </c>
      <c r="AJ15" s="299"/>
      <c r="AK15" s="299"/>
      <c r="AL15" s="434"/>
      <c r="AM15" s="459" t="s">
        <v>172</v>
      </c>
      <c r="AN15" s="433"/>
      <c r="AO15" s="298">
        <v>10</v>
      </c>
      <c r="AP15" s="299"/>
      <c r="AQ15" s="299">
        <v>-1</v>
      </c>
      <c r="AR15" s="299"/>
      <c r="AS15" s="299"/>
      <c r="AT15" s="299"/>
      <c r="AU15" s="299">
        <f t="shared" ref="AU15:AU20" si="7">SUM(AN15:AT15)</f>
        <v>9</v>
      </c>
      <c r="AV15" s="435" t="s">
        <v>224</v>
      </c>
    </row>
    <row r="16" spans="1:48" ht="15.75" thickBot="1" x14ac:dyDescent="0.3">
      <c r="A16" s="358" t="s">
        <v>345</v>
      </c>
      <c r="B16" s="131">
        <v>16</v>
      </c>
      <c r="C16" s="126">
        <f ca="1">14+$A$30-$A$32-112</f>
        <v>0</v>
      </c>
      <c r="D16" s="127"/>
      <c r="E16" s="191">
        <f t="shared" ref="E16:E20" ca="1" si="8">F16-TODAY()</f>
        <v>112</v>
      </c>
      <c r="F16" s="194">
        <v>43847</v>
      </c>
      <c r="G16" s="357"/>
      <c r="H16" s="381"/>
      <c r="I16" s="382">
        <v>1.99</v>
      </c>
      <c r="J16" s="385"/>
      <c r="K16" s="388"/>
      <c r="L16" s="385"/>
      <c r="M16" s="388"/>
      <c r="N16" s="383">
        <v>2</v>
      </c>
      <c r="O16" s="388"/>
      <c r="P16" s="385"/>
      <c r="Q16" s="388"/>
      <c r="R16" s="385"/>
      <c r="S16" s="389">
        <v>5.99</v>
      </c>
      <c r="T16" s="385"/>
      <c r="U16" s="388"/>
      <c r="V16" s="363">
        <f t="shared" si="4"/>
        <v>1</v>
      </c>
      <c r="W16" s="128">
        <f t="shared" si="5"/>
        <v>2</v>
      </c>
      <c r="X16" s="408">
        <v>0</v>
      </c>
      <c r="Y16" s="192">
        <v>0</v>
      </c>
      <c r="Z16" s="433"/>
      <c r="AA16" s="298"/>
      <c r="AB16" s="299">
        <v>2.5</v>
      </c>
      <c r="AC16" s="299"/>
      <c r="AD16" s="299">
        <v>3</v>
      </c>
      <c r="AE16" s="299"/>
      <c r="AF16" s="299"/>
      <c r="AG16" s="299"/>
      <c r="AH16" s="299"/>
      <c r="AI16" s="299"/>
      <c r="AJ16" s="299"/>
      <c r="AK16" s="299"/>
      <c r="AL16" s="434"/>
      <c r="AM16" s="460" t="s">
        <v>171</v>
      </c>
      <c r="AN16" s="433"/>
      <c r="AO16" s="298"/>
      <c r="AP16" s="299"/>
      <c r="AQ16" s="299">
        <v>0</v>
      </c>
      <c r="AR16" s="299"/>
      <c r="AS16" s="299">
        <v>8</v>
      </c>
      <c r="AT16" s="299"/>
      <c r="AU16" s="299">
        <f t="shared" si="7"/>
        <v>8</v>
      </c>
      <c r="AV16" s="435" t="s">
        <v>226</v>
      </c>
    </row>
    <row r="17" spans="1:48" ht="16.5" thickBot="1" x14ac:dyDescent="0.3">
      <c r="A17" s="293" t="s">
        <v>168</v>
      </c>
      <c r="B17" s="125">
        <v>15</v>
      </c>
      <c r="C17" s="126">
        <f ca="1">3+$A$30-$A$32</f>
        <v>101</v>
      </c>
      <c r="D17" s="127"/>
      <c r="E17" s="191">
        <f t="shared" ca="1" si="8"/>
        <v>123</v>
      </c>
      <c r="F17" s="194">
        <v>43858</v>
      </c>
      <c r="G17" s="357"/>
      <c r="H17" s="396"/>
      <c r="I17" s="397"/>
      <c r="J17" s="429">
        <v>1</v>
      </c>
      <c r="K17" s="430">
        <v>1.99</v>
      </c>
      <c r="L17" s="398"/>
      <c r="M17" s="382">
        <v>2.99</v>
      </c>
      <c r="N17" s="431">
        <v>3</v>
      </c>
      <c r="O17" s="432">
        <v>3.99</v>
      </c>
      <c r="P17" s="398"/>
      <c r="Q17" s="389">
        <v>5.99</v>
      </c>
      <c r="R17" s="398"/>
      <c r="S17" s="397"/>
      <c r="T17" s="398"/>
      <c r="U17" s="397"/>
      <c r="V17" s="363">
        <f t="shared" si="4"/>
        <v>2</v>
      </c>
      <c r="W17" s="192">
        <f t="shared" si="5"/>
        <v>4</v>
      </c>
      <c r="X17" s="128">
        <v>13</v>
      </c>
      <c r="Y17" s="192">
        <v>2</v>
      </c>
      <c r="Z17" s="298">
        <v>0</v>
      </c>
      <c r="AA17" s="298">
        <v>1</v>
      </c>
      <c r="AB17" s="299"/>
      <c r="AC17" s="299"/>
      <c r="AD17" s="299">
        <v>2</v>
      </c>
      <c r="AE17" s="299"/>
      <c r="AF17" s="299"/>
      <c r="AG17" s="299"/>
      <c r="AH17" s="299">
        <v>2.5</v>
      </c>
      <c r="AI17" s="299">
        <v>3</v>
      </c>
      <c r="AJ17" s="299"/>
      <c r="AK17" s="299">
        <v>3</v>
      </c>
      <c r="AL17" s="434">
        <v>3.5</v>
      </c>
      <c r="AM17" s="460" t="s">
        <v>169</v>
      </c>
      <c r="AN17" s="433"/>
      <c r="AO17" s="298">
        <v>-2</v>
      </c>
      <c r="AP17" s="299">
        <v>0</v>
      </c>
      <c r="AQ17" s="299">
        <v>2</v>
      </c>
      <c r="AR17" s="299">
        <v>7</v>
      </c>
      <c r="AS17" s="299"/>
      <c r="AT17" s="299"/>
      <c r="AU17" s="299">
        <f t="shared" si="7"/>
        <v>7</v>
      </c>
      <c r="AV17" s="435" t="s">
        <v>225</v>
      </c>
    </row>
    <row r="18" spans="1:48" ht="15.75" thickBot="1" x14ac:dyDescent="0.3">
      <c r="A18" s="358" t="s">
        <v>327</v>
      </c>
      <c r="B18" s="131">
        <v>15</v>
      </c>
      <c r="C18" s="126">
        <f ca="1">2+$A$30-$A$32</f>
        <v>100</v>
      </c>
      <c r="D18" s="375" t="s">
        <v>339</v>
      </c>
      <c r="E18" s="191">
        <f t="shared" ca="1" si="8"/>
        <v>124</v>
      </c>
      <c r="F18" s="194">
        <v>43859</v>
      </c>
      <c r="G18" s="357" t="s">
        <v>309</v>
      </c>
      <c r="H18" s="381"/>
      <c r="I18" s="388"/>
      <c r="J18" s="385"/>
      <c r="K18" s="388"/>
      <c r="L18" s="385"/>
      <c r="M18" s="388"/>
      <c r="N18" s="383">
        <v>2</v>
      </c>
      <c r="O18" s="382">
        <v>3.99</v>
      </c>
      <c r="P18" s="385"/>
      <c r="Q18" s="388"/>
      <c r="R18" s="385"/>
      <c r="S18" s="389">
        <v>4.99</v>
      </c>
      <c r="T18" s="385"/>
      <c r="U18" s="388"/>
      <c r="V18" s="363">
        <f t="shared" si="4"/>
        <v>1</v>
      </c>
      <c r="W18" s="192">
        <f t="shared" si="5"/>
        <v>2</v>
      </c>
      <c r="X18" s="128">
        <v>0</v>
      </c>
      <c r="Y18" s="192">
        <v>0</v>
      </c>
      <c r="Z18" s="298"/>
      <c r="AA18" s="298"/>
      <c r="AB18" s="299"/>
      <c r="AC18" s="299"/>
      <c r="AD18" s="299">
        <v>2.5</v>
      </c>
      <c r="AE18" s="299"/>
      <c r="AF18" s="299">
        <v>3</v>
      </c>
      <c r="AG18" s="299"/>
      <c r="AH18" s="299">
        <v>3.5</v>
      </c>
      <c r="AI18" s="299"/>
      <c r="AJ18" s="299">
        <v>4.5</v>
      </c>
      <c r="AK18" s="299"/>
      <c r="AL18" s="434">
        <v>7</v>
      </c>
      <c r="AM18" s="460" t="s">
        <v>169</v>
      </c>
      <c r="AN18" s="433"/>
      <c r="AO18" s="298"/>
      <c r="AP18" s="299"/>
      <c r="AQ18" s="299">
        <v>2</v>
      </c>
      <c r="AR18" s="299"/>
      <c r="AS18" s="299">
        <v>5</v>
      </c>
      <c r="AT18" s="299"/>
      <c r="AU18" s="299">
        <f t="shared" si="7"/>
        <v>7</v>
      </c>
      <c r="AV18" s="435" t="s">
        <v>225</v>
      </c>
    </row>
    <row r="19" spans="1:48" ht="15.75" thickBot="1" x14ac:dyDescent="0.3">
      <c r="A19" s="340" t="s">
        <v>341</v>
      </c>
      <c r="B19" s="125">
        <v>16</v>
      </c>
      <c r="C19" s="126">
        <f ca="1">14+$A$30-$A$32-112</f>
        <v>0</v>
      </c>
      <c r="D19" s="127"/>
      <c r="E19" s="191">
        <f ca="1">F19-TODAY()</f>
        <v>112</v>
      </c>
      <c r="F19" s="194">
        <v>43847</v>
      </c>
      <c r="G19" s="357"/>
      <c r="H19" s="381"/>
      <c r="I19" s="388"/>
      <c r="J19" s="385"/>
      <c r="K19" s="388"/>
      <c r="L19" s="391">
        <v>3</v>
      </c>
      <c r="M19" s="392">
        <v>4.99</v>
      </c>
      <c r="N19" s="385"/>
      <c r="O19" s="388"/>
      <c r="P19" s="393">
        <v>2</v>
      </c>
      <c r="Q19" s="388"/>
      <c r="R19" s="385"/>
      <c r="S19" s="388"/>
      <c r="T19" s="385"/>
      <c r="U19" s="388"/>
      <c r="V19" s="363">
        <f t="shared" si="4"/>
        <v>2</v>
      </c>
      <c r="W19" s="128">
        <f t="shared" si="5"/>
        <v>1</v>
      </c>
      <c r="X19" s="408">
        <v>0</v>
      </c>
      <c r="Y19" s="192">
        <v>2</v>
      </c>
      <c r="Z19" s="433"/>
      <c r="AA19" s="298"/>
      <c r="AB19" s="299"/>
      <c r="AC19" s="299">
        <v>3</v>
      </c>
      <c r="AD19" s="299"/>
      <c r="AE19" s="299"/>
      <c r="AF19" s="299">
        <v>4</v>
      </c>
      <c r="AG19" s="299">
        <v>3.5</v>
      </c>
      <c r="AH19" s="299"/>
      <c r="AI19" s="299"/>
      <c r="AJ19" s="299"/>
      <c r="AK19" s="299"/>
      <c r="AL19" s="434">
        <v>4.5</v>
      </c>
      <c r="AM19" s="459" t="s">
        <v>172</v>
      </c>
      <c r="AN19" s="433"/>
      <c r="AO19" s="298"/>
      <c r="AP19" s="299">
        <v>6</v>
      </c>
      <c r="AQ19" s="299"/>
      <c r="AR19" s="299">
        <v>0</v>
      </c>
      <c r="AS19" s="299"/>
      <c r="AT19" s="299"/>
      <c r="AU19" s="299">
        <f>SUM(AN19:AT19)</f>
        <v>6</v>
      </c>
      <c r="AV19" s="435" t="s">
        <v>226</v>
      </c>
    </row>
    <row r="20" spans="1:48" ht="15.75" thickBot="1" x14ac:dyDescent="0.3">
      <c r="A20" s="346" t="s">
        <v>347</v>
      </c>
      <c r="B20" s="125">
        <v>15</v>
      </c>
      <c r="C20" s="126">
        <f ca="1">-1+$A$30-$A$32</f>
        <v>97</v>
      </c>
      <c r="D20" s="130"/>
      <c r="E20" s="191">
        <f t="shared" ca="1" si="8"/>
        <v>127</v>
      </c>
      <c r="F20" s="194">
        <v>43862</v>
      </c>
      <c r="G20" s="357"/>
      <c r="H20" s="381"/>
      <c r="I20" s="388"/>
      <c r="J20" s="381"/>
      <c r="K20" s="388"/>
      <c r="L20" s="385"/>
      <c r="M20" s="388"/>
      <c r="N20" s="498"/>
      <c r="O20" s="499"/>
      <c r="P20" s="385"/>
      <c r="Q20" s="382">
        <v>3.99</v>
      </c>
      <c r="R20" s="383">
        <v>3</v>
      </c>
      <c r="S20" s="388"/>
      <c r="T20" s="385"/>
      <c r="U20" s="388"/>
      <c r="V20" s="363">
        <f t="shared" si="4"/>
        <v>1</v>
      </c>
      <c r="W20" s="128">
        <f t="shared" si="5"/>
        <v>1</v>
      </c>
      <c r="X20" s="408">
        <v>0</v>
      </c>
      <c r="Y20" s="192">
        <v>0</v>
      </c>
      <c r="Z20" s="433"/>
      <c r="AA20" s="298"/>
      <c r="AB20" s="299"/>
      <c r="AC20" s="299"/>
      <c r="AD20" s="299"/>
      <c r="AE20" s="299"/>
      <c r="AF20" s="299">
        <v>5</v>
      </c>
      <c r="AG20" s="299"/>
      <c r="AH20" s="299"/>
      <c r="AI20" s="299"/>
      <c r="AJ20" s="299"/>
      <c r="AK20" s="299"/>
      <c r="AL20" s="434"/>
      <c r="AM20" s="461" t="s">
        <v>175</v>
      </c>
      <c r="AN20" s="433"/>
      <c r="AO20" s="298"/>
      <c r="AP20" s="299"/>
      <c r="AQ20" s="299"/>
      <c r="AR20" s="299">
        <v>2</v>
      </c>
      <c r="AS20" s="299">
        <v>2</v>
      </c>
      <c r="AT20" s="299"/>
      <c r="AU20" s="299">
        <f t="shared" si="7"/>
        <v>4</v>
      </c>
      <c r="AV20" s="435" t="s">
        <v>225</v>
      </c>
    </row>
    <row r="21" spans="1:48" ht="15.75" thickBot="1" x14ac:dyDescent="0.3">
      <c r="A21" s="134" t="s">
        <v>177</v>
      </c>
      <c r="B21" s="125">
        <v>17</v>
      </c>
      <c r="C21" s="126">
        <f ca="1">67+$A$30-$A$32-112</f>
        <v>53</v>
      </c>
      <c r="D21" s="127"/>
      <c r="E21" s="191">
        <f ca="1">F21-TODAY()</f>
        <v>14</v>
      </c>
      <c r="F21" s="194">
        <v>43749</v>
      </c>
      <c r="G21" s="357"/>
      <c r="H21" s="381"/>
      <c r="I21" s="388"/>
      <c r="J21" s="431">
        <v>3</v>
      </c>
      <c r="K21" s="432">
        <v>3.99</v>
      </c>
      <c r="L21" s="437">
        <v>2</v>
      </c>
      <c r="M21" s="438">
        <v>2.99</v>
      </c>
      <c r="N21" s="385"/>
      <c r="O21" s="382">
        <v>2.99</v>
      </c>
      <c r="P21" s="385"/>
      <c r="Q21" s="386"/>
      <c r="R21" s="500"/>
      <c r="S21" s="499"/>
      <c r="T21" s="385"/>
      <c r="U21" s="388"/>
      <c r="V21" s="363">
        <f t="shared" si="4"/>
        <v>2</v>
      </c>
      <c r="W21" s="192">
        <f t="shared" si="5"/>
        <v>3</v>
      </c>
      <c r="X21" s="128">
        <v>0</v>
      </c>
      <c r="Y21" s="192">
        <v>0</v>
      </c>
      <c r="Z21" s="298">
        <v>1.5</v>
      </c>
      <c r="AA21" s="298">
        <v>3.5</v>
      </c>
      <c r="AB21" s="299"/>
      <c r="AC21" s="299"/>
      <c r="AD21" s="299">
        <v>3.5</v>
      </c>
      <c r="AE21" s="299"/>
      <c r="AF21" s="299">
        <v>3.5</v>
      </c>
      <c r="AG21" s="299"/>
      <c r="AH21" s="299">
        <v>4.5</v>
      </c>
      <c r="AI21" s="299">
        <v>3</v>
      </c>
      <c r="AJ21" s="299">
        <v>6</v>
      </c>
      <c r="AK21" s="299">
        <v>4</v>
      </c>
      <c r="AL21" s="434">
        <v>6</v>
      </c>
      <c r="AM21" s="459" t="s">
        <v>172</v>
      </c>
      <c r="AN21" s="433"/>
      <c r="AO21" s="298">
        <v>3</v>
      </c>
      <c r="AP21" s="299">
        <v>0</v>
      </c>
      <c r="AQ21" s="299">
        <v>0</v>
      </c>
      <c r="AR21" s="299"/>
      <c r="AS21" s="299"/>
      <c r="AT21" s="299"/>
      <c r="AU21" s="299">
        <f>SUM(AN21:AT21)</f>
        <v>3</v>
      </c>
      <c r="AV21" s="435" t="s">
        <v>223</v>
      </c>
    </row>
    <row r="22" spans="1:48" x14ac:dyDescent="0.25">
      <c r="A22" s="472" t="s">
        <v>167</v>
      </c>
      <c r="B22" s="472"/>
      <c r="C22" s="472"/>
      <c r="D22" s="472"/>
      <c r="E22" s="472"/>
      <c r="F22" s="121"/>
      <c r="G22" s="120"/>
      <c r="H22" s="377"/>
      <c r="I22" s="378"/>
      <c r="J22" s="121"/>
      <c r="K22" s="378"/>
      <c r="L22" s="121"/>
      <c r="M22" s="378"/>
      <c r="N22" s="121"/>
      <c r="O22" s="378"/>
      <c r="P22" s="121"/>
      <c r="Q22" s="378"/>
      <c r="R22" s="121"/>
      <c r="S22" s="378"/>
      <c r="T22" s="121"/>
      <c r="U22" s="378"/>
      <c r="V22" s="359"/>
      <c r="W22" s="120"/>
      <c r="X22" s="120"/>
      <c r="Y22" s="120"/>
      <c r="Z22" s="120"/>
      <c r="AA22" s="297"/>
      <c r="AB22" s="120"/>
      <c r="AC22" s="292"/>
      <c r="AD22" s="120"/>
      <c r="AE22" s="345"/>
      <c r="AF22" s="120"/>
      <c r="AG22" s="374"/>
      <c r="AH22" s="292"/>
      <c r="AI22" s="120"/>
      <c r="AJ22" s="371"/>
      <c r="AK22" s="374"/>
      <c r="AL22" s="120"/>
      <c r="AM22" s="120"/>
      <c r="AN22" s="458"/>
      <c r="AO22" s="458"/>
      <c r="AP22" s="458"/>
      <c r="AQ22" s="458"/>
      <c r="AR22" s="458"/>
      <c r="AS22" s="458"/>
      <c r="AT22" s="458"/>
      <c r="AU22" s="458"/>
      <c r="AV22" s="122"/>
    </row>
    <row r="23" spans="1:48" x14ac:dyDescent="0.25">
      <c r="A23" s="123" t="s">
        <v>164</v>
      </c>
      <c r="B23" s="123"/>
      <c r="C23" s="123"/>
      <c r="D23" s="123"/>
      <c r="E23" s="123"/>
      <c r="F23" s="123"/>
      <c r="G23" s="124"/>
      <c r="H23" s="379" t="s">
        <v>165</v>
      </c>
      <c r="I23" s="380"/>
      <c r="J23" s="123"/>
      <c r="K23" s="380"/>
      <c r="L23" s="123"/>
      <c r="M23" s="380"/>
      <c r="N23" s="123"/>
      <c r="O23" s="380"/>
      <c r="P23" s="123"/>
      <c r="Q23" s="380"/>
      <c r="R23" s="123"/>
      <c r="S23" s="380"/>
      <c r="T23" s="123"/>
      <c r="U23" s="380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2"/>
    </row>
    <row r="24" spans="1:48" ht="15.75" thickBot="1" x14ac:dyDescent="0.3">
      <c r="A24" s="123" t="s">
        <v>3</v>
      </c>
      <c r="B24" s="123" t="s">
        <v>148</v>
      </c>
      <c r="C24" s="123" t="s">
        <v>5</v>
      </c>
      <c r="D24" s="124" t="s">
        <v>149</v>
      </c>
      <c r="E24" s="123" t="s">
        <v>150</v>
      </c>
      <c r="F24" s="123" t="str">
        <f>F11</f>
        <v>Fpromo</v>
      </c>
      <c r="G24" s="124" t="s">
        <v>151</v>
      </c>
      <c r="H24" s="405" t="s">
        <v>56</v>
      </c>
      <c r="I24" s="406" t="s">
        <v>39</v>
      </c>
      <c r="J24" s="407" t="s">
        <v>152</v>
      </c>
      <c r="K24" s="406" t="s">
        <v>39</v>
      </c>
      <c r="L24" s="407" t="s">
        <v>153</v>
      </c>
      <c r="M24" s="406" t="s">
        <v>39</v>
      </c>
      <c r="N24" s="407" t="s">
        <v>60</v>
      </c>
      <c r="O24" s="406" t="s">
        <v>39</v>
      </c>
      <c r="P24" s="407" t="s">
        <v>154</v>
      </c>
      <c r="Q24" s="406" t="s">
        <v>39</v>
      </c>
      <c r="R24" s="407" t="s">
        <v>155</v>
      </c>
      <c r="S24" s="406" t="s">
        <v>39</v>
      </c>
      <c r="T24" s="407" t="s">
        <v>156</v>
      </c>
      <c r="U24" s="406" t="s">
        <v>39</v>
      </c>
      <c r="V24" s="124" t="str">
        <f>V11</f>
        <v>Hab</v>
      </c>
      <c r="W24" s="124" t="str">
        <f>W11</f>
        <v>Pot</v>
      </c>
      <c r="X24" s="124" t="str">
        <f>X11</f>
        <v>Cap</v>
      </c>
      <c r="Y24" s="124" t="s">
        <v>156</v>
      </c>
      <c r="Z24" s="124" t="s">
        <v>56</v>
      </c>
      <c r="AA24" s="124" t="s">
        <v>266</v>
      </c>
      <c r="AB24" s="124" t="s">
        <v>159</v>
      </c>
      <c r="AC24" s="124" t="s">
        <v>264</v>
      </c>
      <c r="AD24" s="124" t="s">
        <v>160</v>
      </c>
      <c r="AE24" s="124" t="s">
        <v>310</v>
      </c>
      <c r="AF24" s="124" t="s">
        <v>161</v>
      </c>
      <c r="AG24" s="124" t="str">
        <f t="shared" ref="AG24:AL24" si="9">AG11</f>
        <v>EM</v>
      </c>
      <c r="AH24" s="124" t="str">
        <f t="shared" si="9"/>
        <v>MD</v>
      </c>
      <c r="AI24" s="124" t="str">
        <f t="shared" si="9"/>
        <v>MO</v>
      </c>
      <c r="AJ24" s="124" t="str">
        <f t="shared" si="9"/>
        <v>DD</v>
      </c>
      <c r="AK24" s="124" t="str">
        <f t="shared" si="9"/>
        <v>DL</v>
      </c>
      <c r="AL24" s="124" t="str">
        <f t="shared" si="9"/>
        <v>DAV</v>
      </c>
      <c r="AM24" s="124" t="str">
        <f>AM11</f>
        <v>U20</v>
      </c>
      <c r="AN24" s="464" t="str">
        <f>AN11</f>
        <v>POR</v>
      </c>
      <c r="AO24" s="464" t="str">
        <f t="shared" ref="AO24:AT24" si="10">AO11</f>
        <v>DEF</v>
      </c>
      <c r="AP24" s="464" t="str">
        <f t="shared" si="10"/>
        <v>JUG</v>
      </c>
      <c r="AQ24" s="464" t="str">
        <f t="shared" si="10"/>
        <v>LAT</v>
      </c>
      <c r="AR24" s="464" t="str">
        <f t="shared" si="10"/>
        <v>PAS</v>
      </c>
      <c r="AS24" s="464" t="str">
        <f t="shared" si="10"/>
        <v>ANO</v>
      </c>
      <c r="AT24" s="464" t="str">
        <f t="shared" si="10"/>
        <v>BP</v>
      </c>
      <c r="AU24" s="464" t="str">
        <f>AU3</f>
        <v>Tot</v>
      </c>
      <c r="AV24" s="122" t="str">
        <f>AV11</f>
        <v>Ca</v>
      </c>
    </row>
    <row r="25" spans="1:48" ht="15.75" thickBot="1" x14ac:dyDescent="0.3">
      <c r="A25" s="293" t="s">
        <v>170</v>
      </c>
      <c r="B25" s="131">
        <v>16</v>
      </c>
      <c r="C25" s="126">
        <f ca="1">14+$A$30-$A$32-112</f>
        <v>0</v>
      </c>
      <c r="D25" s="127" t="s">
        <v>268</v>
      </c>
      <c r="E25" s="191">
        <f t="shared" ref="E25" ca="1" si="11">F25-TODAY()</f>
        <v>112</v>
      </c>
      <c r="F25" s="194">
        <v>43847</v>
      </c>
      <c r="G25" s="357"/>
      <c r="H25" s="381"/>
      <c r="I25" s="382">
        <v>0.99</v>
      </c>
      <c r="J25" s="429">
        <v>1</v>
      </c>
      <c r="K25" s="430">
        <v>1.99</v>
      </c>
      <c r="L25" s="385"/>
      <c r="M25" s="382">
        <v>2.99</v>
      </c>
      <c r="N25" s="385"/>
      <c r="O25" s="382">
        <v>1.99</v>
      </c>
      <c r="P25" s="385"/>
      <c r="Q25" s="388"/>
      <c r="R25" s="385"/>
      <c r="S25" s="388"/>
      <c r="T25" s="385"/>
      <c r="U25" s="388"/>
      <c r="V25" s="363">
        <f t="shared" ref="V25:W27" si="12">COUNT(H25,J25,L25,N25,P25,R25,T25)</f>
        <v>1</v>
      </c>
      <c r="W25" s="128">
        <f t="shared" si="12"/>
        <v>4</v>
      </c>
      <c r="X25" s="408">
        <v>0</v>
      </c>
      <c r="Y25" s="192">
        <v>0</v>
      </c>
      <c r="Z25" s="433">
        <v>0.5</v>
      </c>
      <c r="AA25" s="298"/>
      <c r="AB25" s="299">
        <v>1.5</v>
      </c>
      <c r="AC25" s="299">
        <v>2</v>
      </c>
      <c r="AD25" s="299">
        <v>2</v>
      </c>
      <c r="AE25" s="299">
        <v>2.5</v>
      </c>
      <c r="AF25" s="299">
        <v>2.5</v>
      </c>
      <c r="AG25" s="299"/>
      <c r="AH25" s="299"/>
      <c r="AI25" s="299">
        <v>2.5</v>
      </c>
      <c r="AJ25" s="299">
        <v>3</v>
      </c>
      <c r="AK25" s="299"/>
      <c r="AL25" s="434">
        <v>2.5</v>
      </c>
      <c r="AM25" s="460" t="s">
        <v>171</v>
      </c>
      <c r="AN25" s="433">
        <v>0</v>
      </c>
      <c r="AO25" s="298">
        <v>-2</v>
      </c>
      <c r="AP25" s="299">
        <v>0</v>
      </c>
      <c r="AQ25" s="299">
        <v>-1</v>
      </c>
      <c r="AR25" s="299"/>
      <c r="AS25" s="299"/>
      <c r="AT25" s="299"/>
      <c r="AU25" s="299">
        <f t="shared" ref="AU25:AU27" si="13">SUM(AN25:AT25)</f>
        <v>-3</v>
      </c>
      <c r="AV25" s="435" t="s">
        <v>301</v>
      </c>
    </row>
    <row r="26" spans="1:48" ht="15.75" thickBot="1" x14ac:dyDescent="0.3">
      <c r="A26" s="293" t="s">
        <v>173</v>
      </c>
      <c r="B26" s="131">
        <v>16</v>
      </c>
      <c r="C26" s="126">
        <f ca="1">51+$A$30-$A$32-112</f>
        <v>37</v>
      </c>
      <c r="D26" s="127" t="s">
        <v>268</v>
      </c>
      <c r="E26" s="191">
        <f t="shared" ref="E26:E27" ca="1" si="14">F26-TODAY()</f>
        <v>75</v>
      </c>
      <c r="F26" s="194">
        <v>43810</v>
      </c>
      <c r="G26" s="357"/>
      <c r="H26" s="381"/>
      <c r="I26" s="388"/>
      <c r="J26" s="429">
        <v>2</v>
      </c>
      <c r="K26" s="430">
        <v>2.99</v>
      </c>
      <c r="L26" s="431">
        <v>3</v>
      </c>
      <c r="M26" s="432">
        <v>3.99</v>
      </c>
      <c r="N26" s="429">
        <v>1</v>
      </c>
      <c r="O26" s="430">
        <v>1.99</v>
      </c>
      <c r="P26" s="385"/>
      <c r="Q26" s="388"/>
      <c r="R26" s="385"/>
      <c r="S26" s="388"/>
      <c r="T26" s="385"/>
      <c r="U26" s="388"/>
      <c r="V26" s="363">
        <f t="shared" si="12"/>
        <v>3</v>
      </c>
      <c r="W26" s="128">
        <f t="shared" si="12"/>
        <v>3</v>
      </c>
      <c r="X26" s="408">
        <v>0</v>
      </c>
      <c r="Y26" s="192">
        <v>0</v>
      </c>
      <c r="Z26" s="433">
        <v>1</v>
      </c>
      <c r="AA26" s="298">
        <v>3.5</v>
      </c>
      <c r="AB26" s="299">
        <v>2</v>
      </c>
      <c r="AC26" s="299"/>
      <c r="AD26" s="299"/>
      <c r="AE26" s="299"/>
      <c r="AF26" s="299">
        <v>2.5</v>
      </c>
      <c r="AG26" s="299"/>
      <c r="AH26" s="299">
        <v>4</v>
      </c>
      <c r="AI26" s="299">
        <v>2.5</v>
      </c>
      <c r="AJ26" s="299"/>
      <c r="AK26" s="299"/>
      <c r="AL26" s="434">
        <v>3</v>
      </c>
      <c r="AM26" s="459" t="s">
        <v>172</v>
      </c>
      <c r="AN26" s="433"/>
      <c r="AO26" s="298">
        <v>0</v>
      </c>
      <c r="AP26" s="299">
        <v>3</v>
      </c>
      <c r="AQ26" s="299">
        <v>-1</v>
      </c>
      <c r="AR26" s="299"/>
      <c r="AS26" s="299"/>
      <c r="AT26" s="299"/>
      <c r="AU26" s="299">
        <f t="shared" si="13"/>
        <v>2</v>
      </c>
      <c r="AV26" s="435" t="s">
        <v>223</v>
      </c>
    </row>
    <row r="27" spans="1:48" ht="15.75" thickBot="1" x14ac:dyDescent="0.3">
      <c r="A27" s="133" t="s">
        <v>178</v>
      </c>
      <c r="B27" s="131">
        <v>17</v>
      </c>
      <c r="C27" s="126">
        <f ca="1">71+$A$30-$A$32-112</f>
        <v>57</v>
      </c>
      <c r="D27" s="132"/>
      <c r="E27" s="191">
        <f t="shared" ca="1" si="14"/>
        <v>14</v>
      </c>
      <c r="F27" s="194">
        <v>43749</v>
      </c>
      <c r="G27" s="357"/>
      <c r="H27" s="381"/>
      <c r="I27" s="388"/>
      <c r="J27" s="390">
        <v>3</v>
      </c>
      <c r="K27" s="388"/>
      <c r="L27" s="429">
        <v>2</v>
      </c>
      <c r="M27" s="430">
        <v>2.99</v>
      </c>
      <c r="N27" s="385"/>
      <c r="O27" s="382">
        <v>3.99</v>
      </c>
      <c r="P27" s="385"/>
      <c r="Q27" s="386"/>
      <c r="R27" s="387"/>
      <c r="S27" s="386"/>
      <c r="T27" s="387"/>
      <c r="U27" s="388"/>
      <c r="V27" s="363">
        <f t="shared" si="12"/>
        <v>2</v>
      </c>
      <c r="W27" s="128">
        <f t="shared" si="12"/>
        <v>2</v>
      </c>
      <c r="X27" s="408">
        <v>0</v>
      </c>
      <c r="Y27" s="192">
        <v>0</v>
      </c>
      <c r="Z27" s="433">
        <v>1.5</v>
      </c>
      <c r="AA27" s="298"/>
      <c r="AB27" s="299"/>
      <c r="AC27" s="299"/>
      <c r="AD27" s="299"/>
      <c r="AE27" s="299">
        <v>4</v>
      </c>
      <c r="AF27" s="299">
        <v>4</v>
      </c>
      <c r="AG27" s="299"/>
      <c r="AH27" s="299"/>
      <c r="AI27" s="299">
        <v>3.5</v>
      </c>
      <c r="AJ27" s="299"/>
      <c r="AK27" s="299"/>
      <c r="AL27" s="434">
        <v>4.5</v>
      </c>
      <c r="AM27" s="459" t="s">
        <v>172</v>
      </c>
      <c r="AN27" s="433"/>
      <c r="AO27" s="298">
        <v>3</v>
      </c>
      <c r="AP27" s="299">
        <v>0</v>
      </c>
      <c r="AQ27" s="299">
        <v>2</v>
      </c>
      <c r="AR27" s="299"/>
      <c r="AS27" s="299"/>
      <c r="AT27" s="299"/>
      <c r="AU27" s="299">
        <f t="shared" si="13"/>
        <v>5</v>
      </c>
      <c r="AV27" s="435" t="s">
        <v>223</v>
      </c>
    </row>
    <row r="28" spans="1:48" x14ac:dyDescent="0.25">
      <c r="A28" s="131"/>
      <c r="B28" s="131"/>
      <c r="C28" s="135"/>
      <c r="D28" s="113"/>
      <c r="E28" s="131"/>
      <c r="F28" s="131"/>
      <c r="G28" s="113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13"/>
      <c r="W28" s="113"/>
      <c r="X28" s="113"/>
      <c r="Y28" s="113"/>
      <c r="Z28" s="113"/>
      <c r="AA28" s="113"/>
      <c r="AM28" s="113"/>
      <c r="AN28" s="113"/>
      <c r="AO28" s="113"/>
      <c r="AV28" s="129"/>
    </row>
    <row r="29" spans="1:48" x14ac:dyDescent="0.25">
      <c r="A29" s="399" t="s">
        <v>179</v>
      </c>
      <c r="B29" s="136"/>
      <c r="C29" s="136"/>
      <c r="D29" s="136"/>
      <c r="E29" s="137"/>
      <c r="F29" s="136"/>
      <c r="G29" s="130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1"/>
      <c r="S29" s="131"/>
      <c r="T29" s="136"/>
      <c r="U29" s="136"/>
      <c r="V29" s="130"/>
      <c r="W29" s="130"/>
      <c r="X29" s="130"/>
      <c r="Y29" s="130"/>
      <c r="Z29" s="130"/>
      <c r="AA29" s="130"/>
      <c r="AM29" s="130"/>
      <c r="AN29" s="130"/>
      <c r="AO29" s="130"/>
      <c r="AV29" s="138"/>
    </row>
    <row r="30" spans="1:48" x14ac:dyDescent="0.25">
      <c r="A30" s="139">
        <f ca="1">TODAY()</f>
        <v>43735</v>
      </c>
      <c r="B30" s="140"/>
      <c r="C30" s="136"/>
      <c r="D30" s="136"/>
      <c r="E30" s="137"/>
      <c r="F30" s="1" t="s">
        <v>180</v>
      </c>
      <c r="G30" s="8"/>
      <c r="I30" s="136"/>
      <c r="J30" s="136"/>
      <c r="K30" s="136"/>
      <c r="L30" s="136"/>
      <c r="M30" s="136"/>
      <c r="N30" s="136"/>
      <c r="O30" s="136"/>
      <c r="P30" s="136"/>
      <c r="Q30" s="136"/>
      <c r="R30" s="131"/>
      <c r="S30" s="131"/>
      <c r="T30" s="136"/>
      <c r="U30" s="136"/>
      <c r="V30" s="130"/>
      <c r="W30" s="130"/>
      <c r="X30" s="130"/>
      <c r="Y30" s="130"/>
      <c r="Z30" s="130"/>
      <c r="AA30" s="130"/>
      <c r="AM30" s="130"/>
      <c r="AN30" s="130"/>
      <c r="AO30" s="130"/>
      <c r="AV30" s="141"/>
    </row>
    <row r="31" spans="1:48" x14ac:dyDescent="0.25">
      <c r="A31" s="142">
        <f ca="1">A32-A30</f>
        <v>-98</v>
      </c>
      <c r="B31" s="140"/>
      <c r="C31" s="136"/>
      <c r="D31" s="131"/>
      <c r="E31" s="131"/>
      <c r="F31" s="360" t="s">
        <v>346</v>
      </c>
      <c r="G31" s="360"/>
      <c r="I31" s="136"/>
      <c r="J31" s="136"/>
      <c r="K31" s="136"/>
      <c r="L31" s="136"/>
      <c r="M31" s="136"/>
      <c r="N31" s="136"/>
      <c r="O31" s="136"/>
      <c r="P31" s="136"/>
      <c r="Q31" s="136"/>
      <c r="R31" s="131"/>
      <c r="S31" s="131"/>
      <c r="T31" s="136"/>
      <c r="U31" s="136"/>
      <c r="V31" s="130"/>
      <c r="W31" s="130"/>
      <c r="X31" s="130"/>
      <c r="Y31" s="130"/>
      <c r="Z31" s="130"/>
      <c r="AA31" s="130"/>
      <c r="AM31" s="130"/>
      <c r="AN31" s="130"/>
      <c r="AO31" s="130"/>
      <c r="AV31" s="138"/>
    </row>
    <row r="32" spans="1:48" x14ac:dyDescent="0.25">
      <c r="A32" s="143">
        <v>43637</v>
      </c>
      <c r="B32" s="140"/>
      <c r="C32" s="136"/>
      <c r="D32" s="131"/>
      <c r="E32" s="131"/>
      <c r="F32" s="144" t="s">
        <v>156</v>
      </c>
      <c r="G32" s="130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1"/>
      <c r="S32" s="131"/>
      <c r="T32" s="136"/>
      <c r="U32" s="136"/>
      <c r="V32" s="130"/>
      <c r="W32" s="130"/>
      <c r="X32" s="130"/>
      <c r="Y32" s="130"/>
      <c r="Z32" s="130"/>
      <c r="AA32" s="130"/>
      <c r="AM32" s="130"/>
      <c r="AN32" s="130"/>
      <c r="AO32" s="130"/>
      <c r="AV32" s="138"/>
    </row>
    <row r="33" spans="1:48" x14ac:dyDescent="0.25">
      <c r="A33" s="131"/>
      <c r="B33" s="140"/>
      <c r="C33" s="136"/>
      <c r="D33" s="131"/>
      <c r="E33" s="131"/>
      <c r="F33" s="360" t="s">
        <v>342</v>
      </c>
      <c r="G33" s="360"/>
      <c r="I33" s="136"/>
      <c r="J33" s="442"/>
      <c r="K33" s="136"/>
      <c r="L33" s="136"/>
      <c r="M33" s="136"/>
      <c r="N33" s="136"/>
      <c r="O33" s="136"/>
      <c r="P33" s="136"/>
      <c r="Q33" s="136"/>
      <c r="R33" s="131"/>
      <c r="S33" s="131"/>
      <c r="T33" s="136"/>
      <c r="U33" s="136"/>
      <c r="V33" s="130"/>
      <c r="W33" s="130"/>
      <c r="X33" s="130"/>
      <c r="Y33" s="130"/>
      <c r="Z33" s="130"/>
      <c r="AA33" s="130"/>
      <c r="AM33" s="130"/>
      <c r="AN33" s="130"/>
      <c r="AO33" s="130"/>
      <c r="AV33" s="138"/>
    </row>
  </sheetData>
  <mergeCells count="5">
    <mergeCell ref="A1:E1"/>
    <mergeCell ref="A9:E9"/>
    <mergeCell ref="A22:E22"/>
    <mergeCell ref="H10:U10"/>
    <mergeCell ref="H9:U9"/>
  </mergeCells>
  <conditionalFormatting sqref="E4:E8 E25:E27 E12:E21">
    <cfRule type="cellIs" dxfId="12" priority="20" operator="lessThan">
      <formula>15</formula>
    </cfRule>
    <cfRule type="cellIs" dxfId="11" priority="21" operator="between">
      <formula>15</formula>
      <formula>50</formula>
    </cfRule>
    <cfRule type="cellIs" dxfId="10" priority="22" operator="greaterThan">
      <formula>50</formula>
    </cfRule>
  </conditionalFormatting>
  <conditionalFormatting sqref="E19">
    <cfRule type="cellIs" dxfId="9" priority="10" operator="lessThan">
      <formula>15</formula>
    </cfRule>
    <cfRule type="cellIs" dxfId="8" priority="11" operator="between">
      <formula>15</formula>
      <formula>50</formula>
    </cfRule>
    <cfRule type="cellIs" dxfId="7" priority="12" operator="greaterThan">
      <formula>50</formula>
    </cfRule>
  </conditionalFormatting>
  <conditionalFormatting sqref="Z19:AL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:AL27 Z4:AL8 Z12:AL18 Z20:AL21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W27 V4:W8 V12:W21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Y27 X4:Y8 X12:Y21">
    <cfRule type="colorScale" priority="531">
      <colorScale>
        <cfvo type="min"/>
        <cfvo type="max"/>
        <color rgb="FFFCFCFF"/>
        <color rgb="FF63BE7B"/>
      </colorScale>
    </cfRule>
  </conditionalFormatting>
  <conditionalFormatting sqref="AU25:AU27 AU4:AU8 AU12:A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5:AT27 AN4:AT8 AN12:A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I21 H27:K27 L13:O13 L5:U5 N27:U27 P26:U26 H25:I26 L25:U25 H17:I17 L17:M17 P17:U17 H15:M15 P15:U15 H13:I13 N21:U21 H8:K8 N8:O8 H6:K6 H7:I7 H5:I5 P6:U7 L7:M7 H22:U24 R8:U8 H9:U12 H4:U4 H18:U20 H14:U14 R13:U13 H16:U16">
    <cfRule type="colorScale" priority="63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6"/>
  <sheetViews>
    <sheetView workbookViewId="0">
      <selection activeCell="A6" sqref="A6"/>
    </sheetView>
  </sheetViews>
  <sheetFormatPr baseColWidth="10" defaultRowHeight="15" x14ac:dyDescent="0.25"/>
  <sheetData>
    <row r="1" spans="1:1" s="339" customFormat="1" x14ac:dyDescent="0.25">
      <c r="A1" s="339" t="s">
        <v>302</v>
      </c>
    </row>
    <row r="2" spans="1:1" x14ac:dyDescent="0.25">
      <c r="A2" t="s">
        <v>303</v>
      </c>
    </row>
    <row r="3" spans="1:1" x14ac:dyDescent="0.25">
      <c r="A3" t="s">
        <v>304</v>
      </c>
    </row>
    <row r="6" spans="1:1" x14ac:dyDescent="0.25">
      <c r="A6" t="s">
        <v>348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148C-587D-4F4A-8561-8A50729FCDC3}">
  <sheetPr>
    <tabColor rgb="FFFF0000"/>
  </sheetPr>
  <dimension ref="A1:U45"/>
  <sheetViews>
    <sheetView workbookViewId="0">
      <selection activeCell="I56" sqref="I56"/>
    </sheetView>
  </sheetViews>
  <sheetFormatPr baseColWidth="10" defaultRowHeight="15" x14ac:dyDescent="0.25"/>
  <cols>
    <col min="1" max="1" width="11.7109375" style="62" bestFit="1" customWidth="1"/>
    <col min="2" max="2" width="10.42578125" style="62" bestFit="1" customWidth="1"/>
    <col min="3" max="9" width="4.5703125" style="62" bestFit="1" customWidth="1"/>
    <col min="10" max="10" width="5.5703125" style="62" bestFit="1" customWidth="1"/>
    <col min="11" max="11" width="5.7109375" style="62" bestFit="1" customWidth="1"/>
    <col min="12" max="12" width="5.28515625" style="62" bestFit="1" customWidth="1"/>
    <col min="13" max="13" width="5.5703125" style="62" bestFit="1" customWidth="1"/>
    <col min="14" max="14" width="5.42578125" style="62" bestFit="1" customWidth="1"/>
    <col min="15" max="16" width="5.7109375" style="62" bestFit="1" customWidth="1"/>
    <col min="17" max="17" width="9.140625" style="62" bestFit="1" customWidth="1"/>
  </cols>
  <sheetData>
    <row r="1" spans="1:21" x14ac:dyDescent="0.25">
      <c r="A1" s="455" t="s">
        <v>359</v>
      </c>
      <c r="B1" s="450" t="s">
        <v>1</v>
      </c>
      <c r="C1" s="450" t="s">
        <v>32</v>
      </c>
      <c r="D1" s="450" t="s">
        <v>33</v>
      </c>
      <c r="E1" s="450" t="s">
        <v>34</v>
      </c>
      <c r="F1" s="450" t="s">
        <v>35</v>
      </c>
      <c r="G1" s="450" t="s">
        <v>36</v>
      </c>
      <c r="H1" s="450" t="s">
        <v>37</v>
      </c>
      <c r="I1" s="450" t="s">
        <v>6</v>
      </c>
      <c r="J1" s="450" t="s">
        <v>350</v>
      </c>
      <c r="K1" s="450" t="s">
        <v>351</v>
      </c>
      <c r="L1" s="450" t="s">
        <v>352</v>
      </c>
      <c r="M1" s="450" t="s">
        <v>353</v>
      </c>
      <c r="N1" s="450" t="s">
        <v>354</v>
      </c>
      <c r="O1" s="450" t="s">
        <v>355</v>
      </c>
      <c r="P1" s="450" t="s">
        <v>356</v>
      </c>
      <c r="Q1" s="450" t="s">
        <v>357</v>
      </c>
    </row>
    <row r="2" spans="1:21" x14ac:dyDescent="0.25">
      <c r="A2" s="62" t="s">
        <v>50</v>
      </c>
      <c r="B2" s="451" t="s">
        <v>56</v>
      </c>
      <c r="C2" s="452">
        <v>15</v>
      </c>
      <c r="D2" s="453">
        <v>12</v>
      </c>
      <c r="E2" s="452">
        <v>2</v>
      </c>
      <c r="F2" s="453">
        <v>2</v>
      </c>
      <c r="G2" s="452">
        <v>2</v>
      </c>
      <c r="H2" s="453">
        <v>2</v>
      </c>
      <c r="I2" s="452">
        <v>19</v>
      </c>
      <c r="J2" s="62">
        <v>52</v>
      </c>
      <c r="K2" s="62">
        <v>56</v>
      </c>
      <c r="L2" s="62">
        <v>0</v>
      </c>
      <c r="M2" s="317">
        <v>0</v>
      </c>
      <c r="N2" s="317">
        <v>0</v>
      </c>
      <c r="O2" s="317">
        <v>0</v>
      </c>
      <c r="P2" s="317">
        <v>33</v>
      </c>
      <c r="Q2" s="454">
        <f>SUM(J2:P2)</f>
        <v>141</v>
      </c>
    </row>
    <row r="3" spans="1:21" x14ac:dyDescent="0.25">
      <c r="A3" s="62" t="s">
        <v>358</v>
      </c>
      <c r="B3" s="451" t="s">
        <v>335</v>
      </c>
      <c r="C3" s="452">
        <v>2</v>
      </c>
      <c r="D3" s="453">
        <v>13</v>
      </c>
      <c r="E3" s="452">
        <v>2</v>
      </c>
      <c r="F3" s="453">
        <v>11</v>
      </c>
      <c r="G3" s="452">
        <v>12</v>
      </c>
      <c r="H3" s="453">
        <v>2</v>
      </c>
      <c r="I3" s="452">
        <v>19</v>
      </c>
      <c r="J3" s="62">
        <v>0</v>
      </c>
      <c r="K3" s="62">
        <v>67</v>
      </c>
      <c r="L3" s="62">
        <v>0</v>
      </c>
      <c r="M3" s="317">
        <v>28</v>
      </c>
      <c r="N3" s="317">
        <v>43</v>
      </c>
      <c r="O3" s="317">
        <v>0</v>
      </c>
      <c r="P3" s="317">
        <v>33</v>
      </c>
      <c r="Q3" s="454">
        <f t="shared" ref="Q3:Q15" si="0">SUM(J3:P3)</f>
        <v>171</v>
      </c>
      <c r="U3" s="168"/>
    </row>
    <row r="4" spans="1:21" x14ac:dyDescent="0.25">
      <c r="A4" s="62" t="s">
        <v>55</v>
      </c>
      <c r="B4" s="451" t="s">
        <v>335</v>
      </c>
      <c r="C4" s="452">
        <v>2</v>
      </c>
      <c r="D4" s="453">
        <v>13</v>
      </c>
      <c r="E4" s="452">
        <v>2</v>
      </c>
      <c r="F4" s="453">
        <v>11</v>
      </c>
      <c r="G4" s="452">
        <v>12</v>
      </c>
      <c r="H4" s="453">
        <v>2</v>
      </c>
      <c r="I4" s="452">
        <v>19</v>
      </c>
      <c r="J4" s="62">
        <v>0</v>
      </c>
      <c r="K4" s="62">
        <v>67</v>
      </c>
      <c r="L4" s="62">
        <v>0</v>
      </c>
      <c r="M4" s="317">
        <v>28</v>
      </c>
      <c r="N4" s="317">
        <v>43</v>
      </c>
      <c r="O4" s="317">
        <v>0</v>
      </c>
      <c r="P4" s="317">
        <v>33</v>
      </c>
      <c r="Q4" s="454">
        <f t="shared" si="0"/>
        <v>171</v>
      </c>
      <c r="T4" s="168"/>
    </row>
    <row r="5" spans="1:21" x14ac:dyDescent="0.25">
      <c r="A5" s="62" t="s">
        <v>64</v>
      </c>
      <c r="B5" s="451" t="s">
        <v>335</v>
      </c>
      <c r="C5" s="452">
        <v>2</v>
      </c>
      <c r="D5" s="453">
        <v>13</v>
      </c>
      <c r="E5" s="452">
        <v>2</v>
      </c>
      <c r="F5" s="453">
        <v>15</v>
      </c>
      <c r="G5" s="452">
        <v>12</v>
      </c>
      <c r="H5" s="453">
        <v>2</v>
      </c>
      <c r="I5" s="452">
        <v>17.2</v>
      </c>
      <c r="J5" s="62">
        <v>0</v>
      </c>
      <c r="K5" s="62">
        <v>67</v>
      </c>
      <c r="L5" s="62">
        <v>0</v>
      </c>
      <c r="M5" s="317">
        <v>56</v>
      </c>
      <c r="N5" s="317">
        <v>43</v>
      </c>
      <c r="O5" s="317">
        <v>0</v>
      </c>
      <c r="P5" s="317">
        <v>26</v>
      </c>
      <c r="Q5" s="454">
        <f t="shared" si="0"/>
        <v>192</v>
      </c>
      <c r="T5" s="168"/>
    </row>
    <row r="6" spans="1:21" x14ac:dyDescent="0.25">
      <c r="A6" s="62" t="s">
        <v>66</v>
      </c>
      <c r="B6" s="451" t="s">
        <v>266</v>
      </c>
      <c r="C6" s="452">
        <v>2</v>
      </c>
      <c r="D6" s="453">
        <v>13</v>
      </c>
      <c r="E6" s="452">
        <v>10.199999999999999</v>
      </c>
      <c r="F6" s="453">
        <v>2</v>
      </c>
      <c r="G6" s="452">
        <v>12</v>
      </c>
      <c r="H6" s="453">
        <v>2</v>
      </c>
      <c r="I6" s="452">
        <v>19</v>
      </c>
      <c r="J6" s="62">
        <v>0</v>
      </c>
      <c r="K6" s="62">
        <v>67</v>
      </c>
      <c r="L6" s="62">
        <v>34</v>
      </c>
      <c r="M6" s="317">
        <v>0</v>
      </c>
      <c r="N6" s="317">
        <v>43</v>
      </c>
      <c r="O6" s="317">
        <v>0</v>
      </c>
      <c r="P6" s="317">
        <v>33</v>
      </c>
      <c r="Q6" s="454">
        <f t="shared" si="0"/>
        <v>177</v>
      </c>
    </row>
    <row r="7" spans="1:21" x14ac:dyDescent="0.25">
      <c r="A7" s="62" t="s">
        <v>62</v>
      </c>
      <c r="B7" s="451" t="s">
        <v>362</v>
      </c>
      <c r="C7" s="452">
        <v>2</v>
      </c>
      <c r="D7" s="453">
        <v>13</v>
      </c>
      <c r="E7" s="452">
        <v>14</v>
      </c>
      <c r="F7" s="453">
        <v>2</v>
      </c>
      <c r="G7" s="452">
        <v>12</v>
      </c>
      <c r="H7" s="453">
        <v>9.1999999999999993</v>
      </c>
      <c r="I7" s="452">
        <v>17.2</v>
      </c>
      <c r="J7" s="62">
        <v>0</v>
      </c>
      <c r="K7" s="62">
        <v>67</v>
      </c>
      <c r="L7" s="62">
        <v>68</v>
      </c>
      <c r="M7" s="317">
        <v>0</v>
      </c>
      <c r="N7" s="317">
        <v>43</v>
      </c>
      <c r="O7" s="317">
        <v>28</v>
      </c>
      <c r="P7" s="317">
        <v>26</v>
      </c>
      <c r="Q7" s="454">
        <f t="shared" si="0"/>
        <v>232</v>
      </c>
    </row>
    <row r="8" spans="1:21" x14ac:dyDescent="0.25">
      <c r="A8" s="62" t="s">
        <v>59</v>
      </c>
      <c r="B8" s="451" t="s">
        <v>362</v>
      </c>
      <c r="C8" s="452">
        <v>2</v>
      </c>
      <c r="D8" s="453">
        <v>13</v>
      </c>
      <c r="E8" s="452">
        <v>14</v>
      </c>
      <c r="F8" s="453">
        <v>2</v>
      </c>
      <c r="G8" s="452">
        <v>12</v>
      </c>
      <c r="H8" s="453">
        <v>9.1999999999999993</v>
      </c>
      <c r="I8" s="452">
        <v>17.2</v>
      </c>
      <c r="J8" s="62">
        <v>0</v>
      </c>
      <c r="K8" s="62">
        <v>67</v>
      </c>
      <c r="L8" s="62">
        <v>68</v>
      </c>
      <c r="M8" s="317">
        <v>0</v>
      </c>
      <c r="N8" s="317">
        <v>43</v>
      </c>
      <c r="O8" s="317">
        <v>28</v>
      </c>
      <c r="P8" s="317">
        <v>26</v>
      </c>
      <c r="Q8" s="454">
        <f t="shared" si="0"/>
        <v>232</v>
      </c>
    </row>
    <row r="9" spans="1:21" x14ac:dyDescent="0.25">
      <c r="A9" s="62" t="s">
        <v>72</v>
      </c>
      <c r="B9" s="451" t="s">
        <v>362</v>
      </c>
      <c r="C9" s="452">
        <v>2</v>
      </c>
      <c r="D9" s="453">
        <v>13</v>
      </c>
      <c r="E9" s="452">
        <v>14</v>
      </c>
      <c r="F9" s="453">
        <v>2</v>
      </c>
      <c r="G9" s="452">
        <v>12</v>
      </c>
      <c r="H9" s="453">
        <v>9.1999999999999993</v>
      </c>
      <c r="I9" s="452">
        <v>17.2</v>
      </c>
      <c r="J9" s="62">
        <v>0</v>
      </c>
      <c r="K9" s="62">
        <v>67</v>
      </c>
      <c r="L9" s="62">
        <v>68</v>
      </c>
      <c r="M9" s="317">
        <v>0</v>
      </c>
      <c r="N9" s="317">
        <v>43</v>
      </c>
      <c r="O9" s="317">
        <v>28</v>
      </c>
      <c r="P9" s="317">
        <v>26</v>
      </c>
      <c r="Q9" s="454">
        <f t="shared" si="0"/>
        <v>232</v>
      </c>
    </row>
    <row r="10" spans="1:21" x14ac:dyDescent="0.25">
      <c r="A10" s="62" t="s">
        <v>74</v>
      </c>
      <c r="B10" s="451" t="s">
        <v>362</v>
      </c>
      <c r="C10" s="452">
        <v>2</v>
      </c>
      <c r="D10" s="453">
        <v>13</v>
      </c>
      <c r="E10" s="452">
        <v>14</v>
      </c>
      <c r="F10" s="453">
        <v>2</v>
      </c>
      <c r="G10" s="452">
        <v>12</v>
      </c>
      <c r="H10" s="453">
        <v>9.1999999999999993</v>
      </c>
      <c r="I10" s="452">
        <v>17.2</v>
      </c>
      <c r="J10" s="62">
        <v>0</v>
      </c>
      <c r="K10" s="62">
        <v>67</v>
      </c>
      <c r="L10" s="62">
        <v>68</v>
      </c>
      <c r="M10" s="317">
        <v>0</v>
      </c>
      <c r="N10" s="317">
        <v>43</v>
      </c>
      <c r="O10" s="317">
        <v>28</v>
      </c>
      <c r="P10" s="317">
        <v>26</v>
      </c>
      <c r="Q10" s="454">
        <f t="shared" si="0"/>
        <v>232</v>
      </c>
    </row>
    <row r="11" spans="1:21" x14ac:dyDescent="0.25">
      <c r="A11" s="62" t="s">
        <v>76</v>
      </c>
      <c r="B11" s="451" t="s">
        <v>84</v>
      </c>
      <c r="C11" s="452">
        <v>2</v>
      </c>
      <c r="D11" s="453">
        <v>8.3000000000000007</v>
      </c>
      <c r="E11" s="452">
        <v>14</v>
      </c>
      <c r="F11" s="453">
        <v>15</v>
      </c>
      <c r="G11" s="452">
        <v>12</v>
      </c>
      <c r="H11" s="453">
        <v>9.1999999999999993</v>
      </c>
      <c r="I11" s="452">
        <v>17.2</v>
      </c>
      <c r="J11" s="62">
        <v>0</v>
      </c>
      <c r="K11" s="62">
        <v>26</v>
      </c>
      <c r="L11" s="62">
        <v>68</v>
      </c>
      <c r="M11" s="317">
        <v>56</v>
      </c>
      <c r="N11" s="317">
        <v>43</v>
      </c>
      <c r="O11" s="317">
        <v>28</v>
      </c>
      <c r="P11" s="317">
        <v>26</v>
      </c>
      <c r="Q11" s="454">
        <f t="shared" si="0"/>
        <v>247</v>
      </c>
    </row>
    <row r="12" spans="1:21" x14ac:dyDescent="0.25">
      <c r="A12" s="62" t="s">
        <v>68</v>
      </c>
      <c r="B12" s="451" t="s">
        <v>84</v>
      </c>
      <c r="C12" s="452">
        <v>2</v>
      </c>
      <c r="D12" s="453">
        <v>8.3000000000000007</v>
      </c>
      <c r="E12" s="452">
        <v>14</v>
      </c>
      <c r="F12" s="453">
        <v>15</v>
      </c>
      <c r="G12" s="452">
        <v>12</v>
      </c>
      <c r="H12" s="453">
        <v>9.1999999999999993</v>
      </c>
      <c r="I12" s="452">
        <v>17.2</v>
      </c>
      <c r="J12" s="62">
        <v>0</v>
      </c>
      <c r="K12" s="62">
        <v>26</v>
      </c>
      <c r="L12" s="62">
        <v>68</v>
      </c>
      <c r="M12" s="317">
        <v>56</v>
      </c>
      <c r="N12" s="317">
        <v>43</v>
      </c>
      <c r="O12" s="317">
        <v>28</v>
      </c>
      <c r="P12" s="317">
        <v>26</v>
      </c>
      <c r="Q12" s="454">
        <f t="shared" si="0"/>
        <v>247</v>
      </c>
    </row>
    <row r="13" spans="1:21" x14ac:dyDescent="0.25">
      <c r="A13" s="62" t="s">
        <v>78</v>
      </c>
      <c r="B13" s="451" t="s">
        <v>84</v>
      </c>
      <c r="C13" s="452">
        <v>2</v>
      </c>
      <c r="D13" s="453">
        <v>8.3000000000000007</v>
      </c>
      <c r="E13" s="452">
        <v>10.199999999999999</v>
      </c>
      <c r="F13" s="453">
        <v>15</v>
      </c>
      <c r="G13" s="452">
        <v>12</v>
      </c>
      <c r="H13" s="453">
        <v>9.1999999999999993</v>
      </c>
      <c r="I13" s="452">
        <v>17.2</v>
      </c>
      <c r="J13" s="62">
        <v>0</v>
      </c>
      <c r="K13" s="62">
        <v>26</v>
      </c>
      <c r="L13" s="62">
        <v>34</v>
      </c>
      <c r="M13" s="317">
        <v>56</v>
      </c>
      <c r="N13" s="317">
        <v>43</v>
      </c>
      <c r="O13" s="317">
        <v>28</v>
      </c>
      <c r="P13" s="317">
        <v>26</v>
      </c>
      <c r="Q13" s="454">
        <f t="shared" si="0"/>
        <v>213</v>
      </c>
    </row>
    <row r="14" spans="1:21" x14ac:dyDescent="0.25">
      <c r="A14" s="62" t="s">
        <v>83</v>
      </c>
      <c r="B14" s="451" t="s">
        <v>89</v>
      </c>
      <c r="C14" s="452">
        <v>2</v>
      </c>
      <c r="D14" s="453">
        <v>2</v>
      </c>
      <c r="E14" s="452">
        <v>10.199999999999999</v>
      </c>
      <c r="F14" s="453">
        <v>11</v>
      </c>
      <c r="G14" s="452">
        <v>12</v>
      </c>
      <c r="H14" s="453">
        <v>12</v>
      </c>
      <c r="I14" s="452">
        <v>17.2</v>
      </c>
      <c r="J14" s="62">
        <v>0</v>
      </c>
      <c r="K14" s="62">
        <v>0</v>
      </c>
      <c r="L14" s="62">
        <v>34</v>
      </c>
      <c r="M14" s="317">
        <v>28</v>
      </c>
      <c r="N14" s="317">
        <v>43</v>
      </c>
      <c r="O14" s="317">
        <v>49</v>
      </c>
      <c r="P14" s="317">
        <v>26</v>
      </c>
      <c r="Q14" s="454">
        <f t="shared" si="0"/>
        <v>180</v>
      </c>
    </row>
    <row r="15" spans="1:21" x14ac:dyDescent="0.25">
      <c r="A15" s="62" t="s">
        <v>80</v>
      </c>
      <c r="B15" s="451" t="s">
        <v>89</v>
      </c>
      <c r="C15" s="452">
        <v>2</v>
      </c>
      <c r="D15" s="453">
        <v>2</v>
      </c>
      <c r="E15" s="452">
        <v>10.199999999999999</v>
      </c>
      <c r="F15" s="453">
        <v>11</v>
      </c>
      <c r="G15" s="452">
        <v>12</v>
      </c>
      <c r="H15" s="453">
        <v>12</v>
      </c>
      <c r="I15" s="452">
        <v>17.2</v>
      </c>
      <c r="J15" s="62">
        <v>0</v>
      </c>
      <c r="K15" s="62">
        <v>0</v>
      </c>
      <c r="L15" s="62">
        <v>34</v>
      </c>
      <c r="M15" s="317">
        <v>28</v>
      </c>
      <c r="N15" s="317">
        <v>43</v>
      </c>
      <c r="O15" s="317">
        <v>49</v>
      </c>
      <c r="P15" s="317">
        <v>26</v>
      </c>
      <c r="Q15" s="454">
        <f t="shared" si="0"/>
        <v>180</v>
      </c>
    </row>
    <row r="17" spans="1:17" x14ac:dyDescent="0.25">
      <c r="A17" s="455" t="s">
        <v>360</v>
      </c>
      <c r="B17" s="450" t="s">
        <v>1</v>
      </c>
      <c r="C17" s="450" t="s">
        <v>32</v>
      </c>
      <c r="D17" s="450" t="s">
        <v>33</v>
      </c>
      <c r="E17" s="450" t="s">
        <v>34</v>
      </c>
      <c r="F17" s="450" t="s">
        <v>35</v>
      </c>
      <c r="G17" s="450" t="s">
        <v>36</v>
      </c>
      <c r="H17" s="450" t="s">
        <v>37</v>
      </c>
      <c r="I17" s="450" t="s">
        <v>6</v>
      </c>
      <c r="J17" s="450" t="s">
        <v>350</v>
      </c>
      <c r="K17" s="450" t="s">
        <v>351</v>
      </c>
      <c r="L17" s="450" t="s">
        <v>352</v>
      </c>
      <c r="M17" s="450" t="s">
        <v>353</v>
      </c>
      <c r="N17" s="450" t="s">
        <v>354</v>
      </c>
      <c r="O17" s="450" t="s">
        <v>355</v>
      </c>
      <c r="P17" s="450" t="s">
        <v>356</v>
      </c>
      <c r="Q17" s="450" t="s">
        <v>357</v>
      </c>
    </row>
    <row r="18" spans="1:17" x14ac:dyDescent="0.25">
      <c r="A18" s="62" t="s">
        <v>50</v>
      </c>
      <c r="B18" s="451" t="s">
        <v>56</v>
      </c>
      <c r="C18" s="452">
        <v>15</v>
      </c>
      <c r="D18" s="453">
        <v>6</v>
      </c>
      <c r="E18" s="452">
        <v>2</v>
      </c>
      <c r="F18" s="453">
        <v>2</v>
      </c>
      <c r="G18" s="452">
        <v>2</v>
      </c>
      <c r="H18" s="453">
        <v>2</v>
      </c>
      <c r="I18" s="452">
        <v>19</v>
      </c>
      <c r="J18" s="62">
        <v>52</v>
      </c>
      <c r="K18" s="62">
        <v>14</v>
      </c>
      <c r="L18" s="62">
        <v>0</v>
      </c>
      <c r="M18" s="317">
        <v>0</v>
      </c>
      <c r="N18" s="317">
        <v>0</v>
      </c>
      <c r="O18" s="317">
        <v>0</v>
      </c>
      <c r="P18" s="317">
        <v>33</v>
      </c>
      <c r="Q18" s="454">
        <f>SUM(J18:P18)</f>
        <v>99</v>
      </c>
    </row>
    <row r="19" spans="1:17" x14ac:dyDescent="0.25">
      <c r="A19" s="62" t="s">
        <v>358</v>
      </c>
      <c r="B19" s="451"/>
      <c r="C19" s="452">
        <v>2</v>
      </c>
      <c r="D19" s="453">
        <v>2</v>
      </c>
      <c r="E19" s="452">
        <v>14</v>
      </c>
      <c r="F19" s="453">
        <v>2</v>
      </c>
      <c r="G19" s="452">
        <v>12</v>
      </c>
      <c r="H19" s="453">
        <v>5</v>
      </c>
      <c r="I19" s="452">
        <v>19</v>
      </c>
      <c r="J19" s="62">
        <v>0</v>
      </c>
      <c r="K19" s="62">
        <v>0</v>
      </c>
      <c r="L19" s="62">
        <v>68</v>
      </c>
      <c r="M19" s="317">
        <v>0</v>
      </c>
      <c r="N19" s="317">
        <v>43</v>
      </c>
      <c r="O19" s="317">
        <v>8</v>
      </c>
      <c r="P19" s="317">
        <v>33</v>
      </c>
      <c r="Q19" s="454">
        <f t="shared" ref="Q19:Q28" si="1">SUM(J19:P19)</f>
        <v>152</v>
      </c>
    </row>
    <row r="20" spans="1:17" x14ac:dyDescent="0.25">
      <c r="A20" s="62" t="s">
        <v>55</v>
      </c>
      <c r="B20" s="451"/>
      <c r="C20" s="452">
        <v>2</v>
      </c>
      <c r="D20" s="453">
        <v>2</v>
      </c>
      <c r="E20" s="452">
        <v>14</v>
      </c>
      <c r="F20" s="453">
        <v>2</v>
      </c>
      <c r="G20" s="452">
        <v>12</v>
      </c>
      <c r="H20" s="453">
        <v>5</v>
      </c>
      <c r="I20" s="452">
        <v>19</v>
      </c>
      <c r="J20" s="62">
        <v>0</v>
      </c>
      <c r="K20" s="62">
        <v>0</v>
      </c>
      <c r="L20" s="62">
        <v>68</v>
      </c>
      <c r="M20" s="317">
        <v>0</v>
      </c>
      <c r="N20" s="317">
        <v>43</v>
      </c>
      <c r="O20" s="317">
        <v>8</v>
      </c>
      <c r="P20" s="317">
        <v>33</v>
      </c>
      <c r="Q20" s="454">
        <f t="shared" si="1"/>
        <v>152</v>
      </c>
    </row>
    <row r="21" spans="1:17" x14ac:dyDescent="0.25">
      <c r="A21" s="62" t="s">
        <v>64</v>
      </c>
      <c r="B21" s="451"/>
      <c r="C21" s="452">
        <v>2</v>
      </c>
      <c r="D21" s="453">
        <v>2</v>
      </c>
      <c r="E21" s="452">
        <v>14</v>
      </c>
      <c r="F21" s="453">
        <v>2</v>
      </c>
      <c r="G21" s="452">
        <v>12</v>
      </c>
      <c r="H21" s="453">
        <v>5</v>
      </c>
      <c r="I21" s="452">
        <v>19</v>
      </c>
      <c r="J21" s="62">
        <v>0</v>
      </c>
      <c r="K21" s="62">
        <v>0</v>
      </c>
      <c r="L21" s="62">
        <v>68</v>
      </c>
      <c r="M21" s="317">
        <v>0</v>
      </c>
      <c r="N21" s="317">
        <v>43</v>
      </c>
      <c r="O21" s="317">
        <v>8</v>
      </c>
      <c r="P21" s="317">
        <v>33</v>
      </c>
      <c r="Q21" s="454">
        <f t="shared" si="1"/>
        <v>152</v>
      </c>
    </row>
    <row r="22" spans="1:17" x14ac:dyDescent="0.25">
      <c r="A22" s="62" t="s">
        <v>66</v>
      </c>
      <c r="B22" s="451"/>
      <c r="C22" s="452">
        <v>2</v>
      </c>
      <c r="D22" s="453">
        <v>2</v>
      </c>
      <c r="E22" s="452">
        <v>14</v>
      </c>
      <c r="F22" s="453">
        <v>2</v>
      </c>
      <c r="G22" s="452">
        <v>12</v>
      </c>
      <c r="H22" s="453">
        <v>5</v>
      </c>
      <c r="I22" s="452">
        <v>17.2</v>
      </c>
      <c r="J22" s="62">
        <v>0</v>
      </c>
      <c r="K22" s="62">
        <v>0</v>
      </c>
      <c r="L22" s="62">
        <v>68</v>
      </c>
      <c r="M22" s="317">
        <v>0</v>
      </c>
      <c r="N22" s="317">
        <v>43</v>
      </c>
      <c r="O22" s="317">
        <v>8</v>
      </c>
      <c r="P22" s="317">
        <v>26</v>
      </c>
      <c r="Q22" s="454">
        <f t="shared" si="1"/>
        <v>145</v>
      </c>
    </row>
    <row r="23" spans="1:17" x14ac:dyDescent="0.25">
      <c r="A23" s="62" t="s">
        <v>62</v>
      </c>
      <c r="B23" s="451"/>
      <c r="C23" s="452">
        <v>2</v>
      </c>
      <c r="D23" s="453">
        <v>2</v>
      </c>
      <c r="E23" s="452">
        <v>14</v>
      </c>
      <c r="F23" s="453">
        <v>2</v>
      </c>
      <c r="G23" s="452">
        <v>12</v>
      </c>
      <c r="H23" s="453">
        <v>12</v>
      </c>
      <c r="I23" s="452">
        <v>17.2</v>
      </c>
      <c r="J23" s="62">
        <v>0</v>
      </c>
      <c r="K23" s="62">
        <v>0</v>
      </c>
      <c r="L23" s="62">
        <v>68</v>
      </c>
      <c r="M23" s="317">
        <v>0</v>
      </c>
      <c r="N23" s="317">
        <v>43</v>
      </c>
      <c r="O23" s="317">
        <v>49</v>
      </c>
      <c r="P23" s="317">
        <v>26</v>
      </c>
      <c r="Q23" s="454">
        <f t="shared" si="1"/>
        <v>186</v>
      </c>
    </row>
    <row r="24" spans="1:17" x14ac:dyDescent="0.25">
      <c r="A24" s="62" t="s">
        <v>59</v>
      </c>
      <c r="B24" s="451"/>
      <c r="C24" s="452">
        <v>2</v>
      </c>
      <c r="D24" s="453">
        <v>2</v>
      </c>
      <c r="E24" s="452">
        <v>14</v>
      </c>
      <c r="F24" s="453">
        <v>2</v>
      </c>
      <c r="G24" s="452">
        <v>12</v>
      </c>
      <c r="H24" s="453">
        <v>12</v>
      </c>
      <c r="I24" s="452">
        <v>17.2</v>
      </c>
      <c r="J24" s="62">
        <v>0</v>
      </c>
      <c r="K24" s="62">
        <v>0</v>
      </c>
      <c r="L24" s="62">
        <v>68</v>
      </c>
      <c r="M24" s="317">
        <v>0</v>
      </c>
      <c r="N24" s="317">
        <v>43</v>
      </c>
      <c r="O24" s="317">
        <v>49</v>
      </c>
      <c r="P24" s="317">
        <v>26</v>
      </c>
      <c r="Q24" s="454">
        <f t="shared" si="1"/>
        <v>186</v>
      </c>
    </row>
    <row r="25" spans="1:17" x14ac:dyDescent="0.25">
      <c r="A25" s="62" t="s">
        <v>72</v>
      </c>
      <c r="B25" s="451"/>
      <c r="C25" s="452">
        <v>2</v>
      </c>
      <c r="D25" s="453">
        <v>2</v>
      </c>
      <c r="E25" s="452">
        <v>10.199999999999999</v>
      </c>
      <c r="F25" s="453">
        <v>2</v>
      </c>
      <c r="G25" s="452">
        <v>12</v>
      </c>
      <c r="H25" s="453">
        <v>12</v>
      </c>
      <c r="I25" s="452">
        <v>17.2</v>
      </c>
      <c r="J25" s="62">
        <v>0</v>
      </c>
      <c r="K25" s="62">
        <v>0</v>
      </c>
      <c r="L25" s="62">
        <v>34</v>
      </c>
      <c r="M25" s="317">
        <v>0</v>
      </c>
      <c r="N25" s="317">
        <v>43</v>
      </c>
      <c r="O25" s="317">
        <v>49</v>
      </c>
      <c r="P25" s="317">
        <v>26</v>
      </c>
      <c r="Q25" s="454">
        <f t="shared" si="1"/>
        <v>152</v>
      </c>
    </row>
    <row r="26" spans="1:17" x14ac:dyDescent="0.25">
      <c r="A26" s="62" t="s">
        <v>74</v>
      </c>
      <c r="B26" s="451"/>
      <c r="C26" s="452">
        <v>2</v>
      </c>
      <c r="D26" s="453">
        <v>2</v>
      </c>
      <c r="E26" s="452">
        <v>10.199999999999999</v>
      </c>
      <c r="F26" s="453">
        <v>2</v>
      </c>
      <c r="G26" s="452">
        <v>12</v>
      </c>
      <c r="H26" s="453">
        <v>12</v>
      </c>
      <c r="I26" s="452">
        <v>17.2</v>
      </c>
      <c r="J26" s="62">
        <v>0</v>
      </c>
      <c r="K26" s="62">
        <v>0</v>
      </c>
      <c r="L26" s="62">
        <v>34</v>
      </c>
      <c r="M26" s="317">
        <v>0</v>
      </c>
      <c r="N26" s="317">
        <v>43</v>
      </c>
      <c r="O26" s="317">
        <v>49</v>
      </c>
      <c r="P26" s="317">
        <v>26</v>
      </c>
      <c r="Q26" s="454">
        <f t="shared" si="1"/>
        <v>152</v>
      </c>
    </row>
    <row r="27" spans="1:17" x14ac:dyDescent="0.25">
      <c r="A27" s="62" t="s">
        <v>76</v>
      </c>
      <c r="B27" s="451"/>
      <c r="C27" s="452">
        <v>2</v>
      </c>
      <c r="D27" s="453">
        <v>2</v>
      </c>
      <c r="E27" s="452">
        <v>10.199999999999999</v>
      </c>
      <c r="F27" s="453">
        <v>2</v>
      </c>
      <c r="G27" s="452">
        <v>12</v>
      </c>
      <c r="H27" s="453">
        <v>12</v>
      </c>
      <c r="I27" s="452">
        <v>17.2</v>
      </c>
      <c r="J27" s="62">
        <v>0</v>
      </c>
      <c r="K27" s="62">
        <v>0</v>
      </c>
      <c r="L27" s="62">
        <v>34</v>
      </c>
      <c r="M27" s="317">
        <v>0</v>
      </c>
      <c r="N27" s="317">
        <v>43</v>
      </c>
      <c r="O27" s="317">
        <v>49</v>
      </c>
      <c r="P27" s="317">
        <v>26</v>
      </c>
      <c r="Q27" s="454">
        <f t="shared" si="1"/>
        <v>152</v>
      </c>
    </row>
    <row r="28" spans="1:17" x14ac:dyDescent="0.25">
      <c r="A28" s="62" t="s">
        <v>68</v>
      </c>
      <c r="B28" s="451"/>
      <c r="C28" s="452">
        <v>2</v>
      </c>
      <c r="D28" s="453">
        <v>2</v>
      </c>
      <c r="E28" s="452">
        <v>10.199999999999999</v>
      </c>
      <c r="F28" s="453">
        <v>2</v>
      </c>
      <c r="G28" s="452">
        <v>12</v>
      </c>
      <c r="H28" s="453">
        <v>12</v>
      </c>
      <c r="I28" s="452">
        <v>17.2</v>
      </c>
      <c r="J28" s="62">
        <v>0</v>
      </c>
      <c r="K28" s="62">
        <v>0</v>
      </c>
      <c r="L28" s="62">
        <v>34</v>
      </c>
      <c r="M28" s="317">
        <v>0</v>
      </c>
      <c r="N28" s="317">
        <v>43</v>
      </c>
      <c r="O28" s="317">
        <v>49</v>
      </c>
      <c r="P28" s="317">
        <v>26</v>
      </c>
      <c r="Q28" s="454">
        <f t="shared" si="1"/>
        <v>152</v>
      </c>
    </row>
    <row r="30" spans="1:17" x14ac:dyDescent="0.25">
      <c r="A30" s="455" t="s">
        <v>361</v>
      </c>
      <c r="B30" s="450" t="s">
        <v>1</v>
      </c>
      <c r="C30" s="450" t="s">
        <v>32</v>
      </c>
      <c r="D30" s="450" t="s">
        <v>33</v>
      </c>
      <c r="E30" s="450" t="s">
        <v>34</v>
      </c>
      <c r="F30" s="450" t="s">
        <v>35</v>
      </c>
      <c r="G30" s="450" t="s">
        <v>36</v>
      </c>
      <c r="H30" s="450" t="s">
        <v>37</v>
      </c>
      <c r="I30" s="450" t="s">
        <v>6</v>
      </c>
      <c r="J30" s="450" t="s">
        <v>350</v>
      </c>
      <c r="K30" s="450" t="s">
        <v>351</v>
      </c>
      <c r="L30" s="450" t="s">
        <v>352</v>
      </c>
      <c r="M30" s="450" t="s">
        <v>353</v>
      </c>
      <c r="N30" s="450" t="s">
        <v>354</v>
      </c>
      <c r="O30" s="450" t="s">
        <v>355</v>
      </c>
      <c r="P30" s="450" t="s">
        <v>356</v>
      </c>
      <c r="Q30" s="450" t="s">
        <v>357</v>
      </c>
    </row>
    <row r="31" spans="1:17" x14ac:dyDescent="0.25">
      <c r="A31" s="62" t="s">
        <v>50</v>
      </c>
      <c r="B31" s="451" t="s">
        <v>56</v>
      </c>
      <c r="C31" s="452">
        <v>15</v>
      </c>
      <c r="D31" s="453">
        <v>12</v>
      </c>
      <c r="E31" s="452">
        <v>2</v>
      </c>
      <c r="F31" s="453">
        <v>2</v>
      </c>
      <c r="G31" s="452">
        <v>2</v>
      </c>
      <c r="H31" s="453">
        <v>2</v>
      </c>
      <c r="I31" s="452">
        <v>19</v>
      </c>
      <c r="J31" s="62">
        <v>52</v>
      </c>
      <c r="K31" s="62">
        <v>56</v>
      </c>
      <c r="L31" s="62">
        <v>0</v>
      </c>
      <c r="M31" s="317">
        <v>0</v>
      </c>
      <c r="N31" s="317">
        <v>0</v>
      </c>
      <c r="O31" s="317">
        <v>0</v>
      </c>
      <c r="P31" s="317">
        <v>33</v>
      </c>
      <c r="Q31" s="454">
        <f>SUM(J31:P31)</f>
        <v>141</v>
      </c>
    </row>
    <row r="32" spans="1:17" x14ac:dyDescent="0.25">
      <c r="A32" s="62" t="s">
        <v>358</v>
      </c>
      <c r="B32" s="451" t="s">
        <v>335</v>
      </c>
      <c r="C32" s="452">
        <v>2</v>
      </c>
      <c r="D32" s="453">
        <v>13</v>
      </c>
      <c r="E32" s="452">
        <v>2</v>
      </c>
      <c r="F32" s="453">
        <v>6</v>
      </c>
      <c r="G32" s="452">
        <v>12</v>
      </c>
      <c r="H32" s="453">
        <v>2</v>
      </c>
      <c r="I32" s="452">
        <v>17.2</v>
      </c>
      <c r="J32" s="62">
        <v>0</v>
      </c>
      <c r="K32" s="62">
        <v>67</v>
      </c>
      <c r="L32" s="62">
        <v>0</v>
      </c>
      <c r="M32" s="317">
        <v>8</v>
      </c>
      <c r="N32" s="317">
        <v>43</v>
      </c>
      <c r="O32" s="317">
        <v>0</v>
      </c>
      <c r="P32" s="317">
        <v>26</v>
      </c>
      <c r="Q32" s="454">
        <f t="shared" ref="Q32:Q45" si="2">SUM(J32:P32)</f>
        <v>144</v>
      </c>
    </row>
    <row r="33" spans="1:17" x14ac:dyDescent="0.25">
      <c r="A33" s="62" t="s">
        <v>55</v>
      </c>
      <c r="B33" s="451" t="s">
        <v>335</v>
      </c>
      <c r="C33" s="452">
        <v>2</v>
      </c>
      <c r="D33" s="453">
        <v>13</v>
      </c>
      <c r="E33" s="452">
        <v>2</v>
      </c>
      <c r="F33" s="453">
        <v>11</v>
      </c>
      <c r="G33" s="452">
        <v>12</v>
      </c>
      <c r="H33" s="453">
        <v>2</v>
      </c>
      <c r="I33" s="452">
        <v>17.2</v>
      </c>
      <c r="J33" s="62">
        <v>0</v>
      </c>
      <c r="K33" s="62">
        <v>67</v>
      </c>
      <c r="L33" s="62">
        <v>0</v>
      </c>
      <c r="M33" s="317">
        <v>28</v>
      </c>
      <c r="N33" s="317">
        <v>43</v>
      </c>
      <c r="O33" s="317">
        <v>0</v>
      </c>
      <c r="P33" s="317">
        <v>26</v>
      </c>
      <c r="Q33" s="454">
        <f t="shared" si="2"/>
        <v>164</v>
      </c>
    </row>
    <row r="34" spans="1:17" x14ac:dyDescent="0.25">
      <c r="A34" s="62" t="s">
        <v>64</v>
      </c>
      <c r="B34" s="451" t="s">
        <v>335</v>
      </c>
      <c r="C34" s="452">
        <v>2</v>
      </c>
      <c r="D34" s="453">
        <v>13</v>
      </c>
      <c r="E34" s="452">
        <v>2</v>
      </c>
      <c r="F34" s="453">
        <v>11</v>
      </c>
      <c r="G34" s="452">
        <v>12</v>
      </c>
      <c r="H34" s="453">
        <v>2</v>
      </c>
      <c r="I34" s="452">
        <v>17.2</v>
      </c>
      <c r="J34" s="62">
        <v>0</v>
      </c>
      <c r="K34" s="62">
        <v>67</v>
      </c>
      <c r="L34" s="62">
        <v>0</v>
      </c>
      <c r="M34" s="317">
        <v>28</v>
      </c>
      <c r="N34" s="317">
        <v>43</v>
      </c>
      <c r="O34" s="317">
        <v>0</v>
      </c>
      <c r="P34" s="317">
        <v>26</v>
      </c>
      <c r="Q34" s="454">
        <f t="shared" si="2"/>
        <v>164</v>
      </c>
    </row>
    <row r="35" spans="1:17" x14ac:dyDescent="0.25">
      <c r="A35" s="62" t="s">
        <v>66</v>
      </c>
      <c r="B35" s="451" t="s">
        <v>363</v>
      </c>
      <c r="C35" s="452">
        <v>2</v>
      </c>
      <c r="D35" s="453">
        <v>13</v>
      </c>
      <c r="E35" s="452">
        <v>2</v>
      </c>
      <c r="F35" s="453">
        <v>6</v>
      </c>
      <c r="G35" s="452">
        <v>12</v>
      </c>
      <c r="H35" s="453">
        <v>2</v>
      </c>
      <c r="I35" s="452">
        <v>17.2</v>
      </c>
      <c r="J35" s="62">
        <v>0</v>
      </c>
      <c r="K35" s="62">
        <v>67</v>
      </c>
      <c r="L35" s="62">
        <v>0</v>
      </c>
      <c r="M35" s="317">
        <v>8</v>
      </c>
      <c r="N35" s="317">
        <v>43</v>
      </c>
      <c r="O35" s="317">
        <v>0</v>
      </c>
      <c r="P35" s="317">
        <v>26</v>
      </c>
      <c r="Q35" s="454">
        <f t="shared" si="2"/>
        <v>144</v>
      </c>
    </row>
    <row r="36" spans="1:17" x14ac:dyDescent="0.25">
      <c r="A36" s="62" t="s">
        <v>62</v>
      </c>
      <c r="B36" s="451" t="s">
        <v>363</v>
      </c>
      <c r="C36" s="452">
        <v>2</v>
      </c>
      <c r="D36" s="453">
        <v>13</v>
      </c>
      <c r="E36" s="452">
        <v>2</v>
      </c>
      <c r="F36" s="453">
        <v>6</v>
      </c>
      <c r="G36" s="452">
        <v>12</v>
      </c>
      <c r="H36" s="453">
        <v>2</v>
      </c>
      <c r="I36" s="452">
        <v>17.2</v>
      </c>
      <c r="J36" s="62">
        <v>0</v>
      </c>
      <c r="K36" s="62">
        <v>67</v>
      </c>
      <c r="L36" s="62">
        <v>0</v>
      </c>
      <c r="M36" s="317">
        <v>8</v>
      </c>
      <c r="N36" s="317">
        <v>43</v>
      </c>
      <c r="O36" s="317">
        <v>0</v>
      </c>
      <c r="P36" s="317">
        <v>26</v>
      </c>
      <c r="Q36" s="454">
        <f t="shared" si="2"/>
        <v>144</v>
      </c>
    </row>
    <row r="37" spans="1:17" x14ac:dyDescent="0.25">
      <c r="A37" s="62" t="s">
        <v>59</v>
      </c>
      <c r="B37" s="451" t="s">
        <v>363</v>
      </c>
      <c r="C37" s="452">
        <v>2</v>
      </c>
      <c r="D37" s="453">
        <v>13</v>
      </c>
      <c r="E37" s="452">
        <v>2</v>
      </c>
      <c r="F37" s="453">
        <v>6</v>
      </c>
      <c r="G37" s="452">
        <v>12</v>
      </c>
      <c r="H37" s="453">
        <v>10</v>
      </c>
      <c r="I37" s="452">
        <v>19</v>
      </c>
      <c r="J37" s="62">
        <v>0</v>
      </c>
      <c r="K37" s="62">
        <v>67</v>
      </c>
      <c r="L37" s="62">
        <v>0</v>
      </c>
      <c r="M37" s="317">
        <v>8</v>
      </c>
      <c r="N37" s="317">
        <v>43</v>
      </c>
      <c r="O37" s="317">
        <v>33</v>
      </c>
      <c r="P37" s="317">
        <v>33</v>
      </c>
      <c r="Q37" s="454">
        <f t="shared" si="2"/>
        <v>184</v>
      </c>
    </row>
    <row r="38" spans="1:17" x14ac:dyDescent="0.25">
      <c r="A38" s="62" t="s">
        <v>72</v>
      </c>
      <c r="B38" s="451" t="s">
        <v>363</v>
      </c>
      <c r="C38" s="452">
        <v>2</v>
      </c>
      <c r="D38" s="453">
        <v>13</v>
      </c>
      <c r="E38" s="452">
        <v>2</v>
      </c>
      <c r="F38" s="453">
        <v>6</v>
      </c>
      <c r="G38" s="452">
        <v>12</v>
      </c>
      <c r="H38" s="453">
        <v>10</v>
      </c>
      <c r="I38" s="452">
        <v>19</v>
      </c>
      <c r="J38" s="62">
        <v>0</v>
      </c>
      <c r="K38" s="62">
        <v>67</v>
      </c>
      <c r="L38" s="62">
        <v>0</v>
      </c>
      <c r="M38" s="317">
        <v>8</v>
      </c>
      <c r="N38" s="317">
        <v>43</v>
      </c>
      <c r="O38" s="317">
        <v>33</v>
      </c>
      <c r="P38" s="317">
        <v>33</v>
      </c>
      <c r="Q38" s="454">
        <f t="shared" si="2"/>
        <v>184</v>
      </c>
    </row>
    <row r="39" spans="1:17" x14ac:dyDescent="0.25">
      <c r="A39" s="62" t="s">
        <v>74</v>
      </c>
      <c r="B39" s="451" t="s">
        <v>363</v>
      </c>
      <c r="C39" s="452">
        <v>2</v>
      </c>
      <c r="D39" s="453">
        <v>13</v>
      </c>
      <c r="E39" s="452">
        <v>2</v>
      </c>
      <c r="F39" s="453">
        <v>6</v>
      </c>
      <c r="G39" s="452">
        <v>12</v>
      </c>
      <c r="H39" s="453">
        <v>10</v>
      </c>
      <c r="I39" s="452">
        <v>19</v>
      </c>
      <c r="J39" s="62">
        <v>0</v>
      </c>
      <c r="K39" s="62">
        <v>67</v>
      </c>
      <c r="L39" s="62">
        <v>0</v>
      </c>
      <c r="M39" s="317">
        <v>8</v>
      </c>
      <c r="N39" s="317">
        <v>43</v>
      </c>
      <c r="O39" s="317">
        <v>33</v>
      </c>
      <c r="P39" s="317">
        <v>33</v>
      </c>
      <c r="Q39" s="454">
        <f t="shared" si="2"/>
        <v>184</v>
      </c>
    </row>
    <row r="40" spans="1:17" x14ac:dyDescent="0.25">
      <c r="A40" s="62" t="s">
        <v>76</v>
      </c>
      <c r="B40" s="451" t="s">
        <v>84</v>
      </c>
      <c r="C40" s="452">
        <v>2</v>
      </c>
      <c r="D40" s="453">
        <v>8.3000000000000007</v>
      </c>
      <c r="E40" s="452">
        <v>2</v>
      </c>
      <c r="F40" s="453">
        <v>15</v>
      </c>
      <c r="G40" s="452">
        <v>12</v>
      </c>
      <c r="H40" s="453">
        <v>7</v>
      </c>
      <c r="I40" s="452">
        <v>17.2</v>
      </c>
      <c r="J40" s="62">
        <v>0</v>
      </c>
      <c r="K40" s="62">
        <v>26</v>
      </c>
      <c r="L40" s="62">
        <v>0</v>
      </c>
      <c r="M40" s="317">
        <v>56</v>
      </c>
      <c r="N40" s="317">
        <v>43</v>
      </c>
      <c r="O40" s="317">
        <v>16</v>
      </c>
      <c r="P40" s="317">
        <v>26</v>
      </c>
      <c r="Q40" s="454">
        <f t="shared" si="2"/>
        <v>167</v>
      </c>
    </row>
    <row r="41" spans="1:17" x14ac:dyDescent="0.25">
      <c r="A41" s="62" t="s">
        <v>68</v>
      </c>
      <c r="B41" s="451" t="s">
        <v>84</v>
      </c>
      <c r="C41" s="452">
        <v>2</v>
      </c>
      <c r="D41" s="453">
        <v>8.3000000000000007</v>
      </c>
      <c r="E41" s="452">
        <v>2</v>
      </c>
      <c r="F41" s="453">
        <v>15</v>
      </c>
      <c r="G41" s="452">
        <v>12</v>
      </c>
      <c r="H41" s="453">
        <v>7</v>
      </c>
      <c r="I41" s="452">
        <v>17.2</v>
      </c>
      <c r="J41" s="62">
        <v>0</v>
      </c>
      <c r="K41" s="62">
        <v>26</v>
      </c>
      <c r="L41" s="62">
        <v>0</v>
      </c>
      <c r="M41" s="317">
        <v>56</v>
      </c>
      <c r="N41" s="317">
        <v>43</v>
      </c>
      <c r="O41" s="317">
        <v>16</v>
      </c>
      <c r="P41" s="317">
        <v>26</v>
      </c>
      <c r="Q41" s="454">
        <f t="shared" si="2"/>
        <v>167</v>
      </c>
    </row>
    <row r="42" spans="1:17" x14ac:dyDescent="0.25">
      <c r="A42" s="62" t="s">
        <v>78</v>
      </c>
      <c r="B42" s="451" t="s">
        <v>84</v>
      </c>
      <c r="C42" s="452">
        <v>2</v>
      </c>
      <c r="D42" s="453">
        <v>8.3000000000000007</v>
      </c>
      <c r="E42" s="452">
        <v>2</v>
      </c>
      <c r="F42" s="453">
        <v>15</v>
      </c>
      <c r="G42" s="452">
        <v>12</v>
      </c>
      <c r="H42" s="453">
        <v>7</v>
      </c>
      <c r="I42" s="452">
        <v>17.2</v>
      </c>
      <c r="J42" s="62">
        <v>0</v>
      </c>
      <c r="K42" s="62">
        <v>26</v>
      </c>
      <c r="L42" s="62">
        <v>0</v>
      </c>
      <c r="M42" s="317">
        <v>56</v>
      </c>
      <c r="N42" s="317">
        <v>43</v>
      </c>
      <c r="O42" s="317">
        <v>16</v>
      </c>
      <c r="P42" s="317">
        <v>26</v>
      </c>
      <c r="Q42" s="454">
        <f t="shared" si="2"/>
        <v>167</v>
      </c>
    </row>
    <row r="43" spans="1:17" x14ac:dyDescent="0.25">
      <c r="A43" s="62" t="s">
        <v>83</v>
      </c>
      <c r="B43" s="451" t="s">
        <v>89</v>
      </c>
      <c r="C43" s="452">
        <v>2</v>
      </c>
      <c r="D43" s="453">
        <v>2</v>
      </c>
      <c r="E43" s="452">
        <v>2</v>
      </c>
      <c r="F43" s="453">
        <v>15</v>
      </c>
      <c r="G43" s="452">
        <v>12</v>
      </c>
      <c r="H43" s="453">
        <v>12</v>
      </c>
      <c r="I43" s="452">
        <v>17.2</v>
      </c>
      <c r="J43" s="62">
        <v>0</v>
      </c>
      <c r="K43" s="62">
        <v>0</v>
      </c>
      <c r="L43" s="62">
        <v>0</v>
      </c>
      <c r="M43" s="317">
        <v>56</v>
      </c>
      <c r="N43" s="317">
        <v>43</v>
      </c>
      <c r="O43" s="317">
        <v>49</v>
      </c>
      <c r="P43" s="317">
        <v>26</v>
      </c>
      <c r="Q43" s="454">
        <f t="shared" si="2"/>
        <v>174</v>
      </c>
    </row>
    <row r="44" spans="1:17" x14ac:dyDescent="0.25">
      <c r="A44" s="62" t="s">
        <v>80</v>
      </c>
      <c r="B44" s="451" t="s">
        <v>89</v>
      </c>
      <c r="C44" s="452">
        <v>2</v>
      </c>
      <c r="D44" s="453">
        <v>2</v>
      </c>
      <c r="E44" s="452">
        <v>2</v>
      </c>
      <c r="F44" s="453">
        <v>11</v>
      </c>
      <c r="G44" s="452">
        <v>12</v>
      </c>
      <c r="H44" s="453">
        <v>12</v>
      </c>
      <c r="I44" s="452">
        <v>17.2</v>
      </c>
      <c r="J44" s="62">
        <v>0</v>
      </c>
      <c r="K44" s="62">
        <v>0</v>
      </c>
      <c r="L44" s="62">
        <v>0</v>
      </c>
      <c r="M44" s="317">
        <v>28</v>
      </c>
      <c r="N44" s="317">
        <v>43</v>
      </c>
      <c r="O44" s="317">
        <v>49</v>
      </c>
      <c r="P44" s="317">
        <v>26</v>
      </c>
      <c r="Q44" s="454">
        <f t="shared" si="2"/>
        <v>146</v>
      </c>
    </row>
    <row r="45" spans="1:17" x14ac:dyDescent="0.25">
      <c r="A45" s="62" t="s">
        <v>86</v>
      </c>
      <c r="B45" s="451" t="s">
        <v>89</v>
      </c>
      <c r="C45" s="452">
        <v>2</v>
      </c>
      <c r="D45" s="453">
        <v>2</v>
      </c>
      <c r="E45" s="452">
        <v>2</v>
      </c>
      <c r="F45" s="453">
        <v>11</v>
      </c>
      <c r="G45" s="452">
        <v>12</v>
      </c>
      <c r="H45" s="453">
        <v>12</v>
      </c>
      <c r="I45" s="452">
        <v>17.2</v>
      </c>
      <c r="J45" s="62">
        <v>0</v>
      </c>
      <c r="K45" s="62">
        <v>0</v>
      </c>
      <c r="L45" s="62">
        <v>0</v>
      </c>
      <c r="M45" s="317">
        <v>28</v>
      </c>
      <c r="N45" s="317">
        <v>43</v>
      </c>
      <c r="O45" s="317">
        <v>49</v>
      </c>
      <c r="P45" s="317">
        <v>26</v>
      </c>
      <c r="Q45" s="454">
        <f t="shared" si="2"/>
        <v>146</v>
      </c>
    </row>
  </sheetData>
  <conditionalFormatting sqref="Q18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{7E0CFFFB-FCBD-4E50-9087-6D470AA5FD96}</x14:id>
        </ext>
      </extLst>
    </cfRule>
  </conditionalFormatting>
  <conditionalFormatting sqref="Q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{1D4FB27A-4D0C-4341-A060-54E8479229AD}</x14:id>
        </ext>
      </extLst>
    </cfRule>
  </conditionalFormatting>
  <conditionalFormatting sqref="C2:I15">
    <cfRule type="colorScale" priority="571">
      <colorScale>
        <cfvo type="min"/>
        <cfvo type="max"/>
        <color rgb="FFFFEF9C"/>
        <color rgb="FF63BE7B"/>
      </colorScale>
    </cfRule>
  </conditionalFormatting>
  <conditionalFormatting sqref="J2:P15">
    <cfRule type="colorScale" priority="572">
      <colorScale>
        <cfvo type="min"/>
        <cfvo type="max"/>
        <color rgb="FFFCFCFF"/>
        <color rgb="FFF8696B"/>
      </colorScale>
    </cfRule>
  </conditionalFormatting>
  <conditionalFormatting sqref="Q2:Q15">
    <cfRule type="dataBar" priority="5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{20567921-CA37-41DA-A7E8-64A96BA96F07}</x14:id>
        </ext>
      </extLst>
    </cfRule>
  </conditionalFormatting>
  <conditionalFormatting sqref="Q19:Q28">
    <cfRule type="dataBar" priority="5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{9EEA6D3D-1E3C-4ACF-AA4B-FD29DB5F3B73}</x14:id>
        </ext>
      </extLst>
    </cfRule>
  </conditionalFormatting>
  <conditionalFormatting sqref="C18:I28">
    <cfRule type="colorScale" priority="575">
      <colorScale>
        <cfvo type="min"/>
        <cfvo type="max"/>
        <color rgb="FFFFEF9C"/>
        <color rgb="FF63BE7B"/>
      </colorScale>
    </cfRule>
  </conditionalFormatting>
  <conditionalFormatting sqref="J18:P28">
    <cfRule type="colorScale" priority="577">
      <colorScale>
        <cfvo type="min"/>
        <cfvo type="max"/>
        <color rgb="FFFCFCFF"/>
        <color rgb="FFF8696B"/>
      </colorScale>
    </cfRule>
  </conditionalFormatting>
  <conditionalFormatting sqref="Q32:Q45">
    <cfRule type="dataBar" priority="5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{1D117DAA-7E4B-48CD-9539-F593E73D24B8}</x14:id>
        </ext>
      </extLst>
    </cfRule>
  </conditionalFormatting>
  <conditionalFormatting sqref="C31:I45">
    <cfRule type="colorScale" priority="579">
      <colorScale>
        <cfvo type="min"/>
        <cfvo type="max"/>
        <color rgb="FFFFEF9C"/>
        <color rgb="FF63BE7B"/>
      </colorScale>
    </cfRule>
  </conditionalFormatting>
  <conditionalFormatting sqref="J31:P45">
    <cfRule type="colorScale" priority="58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0CFFFB-FCBD-4E50-9087-6D470AA5FD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Q18</xm:sqref>
        </x14:conditionalFormatting>
        <x14:conditionalFormatting xmlns:xm="http://schemas.microsoft.com/office/excel/2006/main">
          <x14:cfRule type="dataBar" id="{1D4FB27A-4D0C-4341-A060-54E8479229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Q31</xm:sqref>
        </x14:conditionalFormatting>
        <x14:conditionalFormatting xmlns:xm="http://schemas.microsoft.com/office/excel/2006/main">
          <x14:cfRule type="dataBar" id="{20567921-CA37-41DA-A7E8-64A96BA96F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Q2:Q15</xm:sqref>
        </x14:conditionalFormatting>
        <x14:conditionalFormatting xmlns:xm="http://schemas.microsoft.com/office/excel/2006/main">
          <x14:cfRule type="dataBar" id="{9EEA6D3D-1E3C-4ACF-AA4B-FD29DB5F3B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Q19:Q28</xm:sqref>
        </x14:conditionalFormatting>
        <x14:conditionalFormatting xmlns:xm="http://schemas.microsoft.com/office/excel/2006/main">
          <x14:cfRule type="dataBar" id="{1D117DAA-7E4B-48CD-9539-F593E73D24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Q32:Q45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J20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8" sqref="K8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10.14062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</cols>
  <sheetData>
    <row r="1" spans="1:10" x14ac:dyDescent="0.25">
      <c r="A1" s="352" t="s">
        <v>317</v>
      </c>
      <c r="B1" s="353" t="s">
        <v>316</v>
      </c>
      <c r="C1" s="354" t="s">
        <v>3</v>
      </c>
      <c r="D1" s="354" t="s">
        <v>318</v>
      </c>
      <c r="E1" s="354" t="s">
        <v>4</v>
      </c>
      <c r="F1" s="355" t="s">
        <v>5</v>
      </c>
      <c r="G1" s="356" t="s">
        <v>3</v>
      </c>
      <c r="H1" s="356" t="s">
        <v>318</v>
      </c>
      <c r="I1" s="356" t="s">
        <v>4</v>
      </c>
      <c r="J1" s="356" t="s">
        <v>5</v>
      </c>
    </row>
    <row r="2" spans="1:10" x14ac:dyDescent="0.25">
      <c r="A2" s="348">
        <v>43727</v>
      </c>
      <c r="B2" s="349">
        <v>0</v>
      </c>
      <c r="C2" s="300" t="str">
        <f>Plantilla!D4</f>
        <v>E. Tarrida</v>
      </c>
      <c r="D2" s="350">
        <v>7.66</v>
      </c>
      <c r="E2" s="300">
        <v>19</v>
      </c>
      <c r="F2" s="351">
        <v>9</v>
      </c>
      <c r="G2" s="300" t="str">
        <f>Plantilla!D5</f>
        <v>S. Candela</v>
      </c>
      <c r="H2" s="350">
        <v>6.6</v>
      </c>
      <c r="I2" s="300">
        <v>22</v>
      </c>
      <c r="J2" s="300">
        <v>0</v>
      </c>
    </row>
    <row r="3" spans="1:10" x14ac:dyDescent="0.25">
      <c r="A3" s="348">
        <f t="shared" ref="A3:A9" si="0">A2+7</f>
        <v>43734</v>
      </c>
      <c r="B3" s="349">
        <v>1</v>
      </c>
      <c r="C3" s="300" t="str">
        <f t="shared" ref="C3:C20" si="1">C2</f>
        <v>E. Tarrida</v>
      </c>
      <c r="D3" s="350">
        <v>8</v>
      </c>
      <c r="E3" s="300">
        <f t="shared" ref="E3:E19" si="2">E2</f>
        <v>19</v>
      </c>
      <c r="F3" s="351">
        <f t="shared" ref="F3:F20" si="3">F2+7</f>
        <v>16</v>
      </c>
      <c r="G3" s="300" t="str">
        <f t="shared" ref="G3:G20" si="4">G2</f>
        <v>S. Candela</v>
      </c>
      <c r="H3" s="350">
        <v>7</v>
      </c>
      <c r="I3" s="300">
        <f t="shared" ref="I3:I20" si="5">I2</f>
        <v>22</v>
      </c>
      <c r="J3" s="300">
        <f t="shared" ref="J3:J20" si="6">J2+7</f>
        <v>7</v>
      </c>
    </row>
    <row r="4" spans="1:10" x14ac:dyDescent="0.25">
      <c r="A4" s="348">
        <f t="shared" si="0"/>
        <v>43741</v>
      </c>
      <c r="B4" s="349">
        <v>2</v>
      </c>
      <c r="C4" s="300" t="str">
        <f t="shared" si="1"/>
        <v>E. Tarrida</v>
      </c>
      <c r="D4" s="350">
        <f>D3+0.25</f>
        <v>8.25</v>
      </c>
      <c r="E4" s="300">
        <f t="shared" si="2"/>
        <v>19</v>
      </c>
      <c r="F4" s="351">
        <f t="shared" si="3"/>
        <v>23</v>
      </c>
      <c r="G4" s="300" t="str">
        <f t="shared" si="4"/>
        <v>S. Candela</v>
      </c>
      <c r="H4" s="350">
        <f>H3+1/3</f>
        <v>7.333333333333333</v>
      </c>
      <c r="I4" s="300">
        <f t="shared" si="5"/>
        <v>22</v>
      </c>
      <c r="J4" s="300">
        <f t="shared" si="6"/>
        <v>14</v>
      </c>
    </row>
    <row r="5" spans="1:10" x14ac:dyDescent="0.25">
      <c r="A5" s="348">
        <f t="shared" si="0"/>
        <v>43748</v>
      </c>
      <c r="B5" s="349">
        <v>3</v>
      </c>
      <c r="C5" s="300" t="str">
        <f t="shared" si="1"/>
        <v>E. Tarrida</v>
      </c>
      <c r="D5" s="350">
        <f t="shared" ref="D5:D7" si="7">D4+0.25</f>
        <v>8.5</v>
      </c>
      <c r="E5" s="300">
        <f t="shared" si="2"/>
        <v>19</v>
      </c>
      <c r="F5" s="351">
        <f t="shared" si="3"/>
        <v>30</v>
      </c>
      <c r="G5" s="300" t="str">
        <f t="shared" si="4"/>
        <v>S. Candela</v>
      </c>
      <c r="H5" s="350">
        <f t="shared" ref="H5" si="8">H4+1/3</f>
        <v>7.6666666666666661</v>
      </c>
      <c r="I5" s="300">
        <f t="shared" si="5"/>
        <v>22</v>
      </c>
      <c r="J5" s="300">
        <f t="shared" si="6"/>
        <v>21</v>
      </c>
    </row>
    <row r="6" spans="1:10" x14ac:dyDescent="0.25">
      <c r="A6" s="348">
        <f t="shared" si="0"/>
        <v>43755</v>
      </c>
      <c r="B6" s="349">
        <v>4</v>
      </c>
      <c r="C6" s="300" t="str">
        <f t="shared" si="1"/>
        <v>E. Tarrida</v>
      </c>
      <c r="D6" s="350">
        <f t="shared" si="7"/>
        <v>8.75</v>
      </c>
      <c r="E6" s="300">
        <f t="shared" si="2"/>
        <v>19</v>
      </c>
      <c r="F6" s="351">
        <f t="shared" si="3"/>
        <v>37</v>
      </c>
      <c r="G6" s="300" t="str">
        <f t="shared" si="4"/>
        <v>S. Candela</v>
      </c>
      <c r="H6" s="350">
        <v>8</v>
      </c>
      <c r="I6" s="300">
        <f t="shared" si="5"/>
        <v>22</v>
      </c>
      <c r="J6" s="300">
        <f t="shared" si="6"/>
        <v>28</v>
      </c>
    </row>
    <row r="7" spans="1:10" x14ac:dyDescent="0.25">
      <c r="A7" s="348">
        <f t="shared" si="0"/>
        <v>43762</v>
      </c>
      <c r="B7" s="349">
        <v>5</v>
      </c>
      <c r="C7" s="300" t="str">
        <f t="shared" si="1"/>
        <v>E. Tarrida</v>
      </c>
      <c r="D7" s="350">
        <f t="shared" si="7"/>
        <v>9</v>
      </c>
      <c r="E7" s="300">
        <f t="shared" si="2"/>
        <v>19</v>
      </c>
      <c r="F7" s="351">
        <f t="shared" si="3"/>
        <v>44</v>
      </c>
      <c r="G7" s="300" t="str">
        <f t="shared" si="4"/>
        <v>S. Candela</v>
      </c>
      <c r="H7" s="350">
        <f>H6+0.25</f>
        <v>8.25</v>
      </c>
      <c r="I7" s="300">
        <f t="shared" si="5"/>
        <v>22</v>
      </c>
      <c r="J7" s="300">
        <f t="shared" si="6"/>
        <v>35</v>
      </c>
    </row>
    <row r="8" spans="1:10" x14ac:dyDescent="0.25">
      <c r="A8" s="348">
        <f t="shared" si="0"/>
        <v>43769</v>
      </c>
      <c r="B8" s="349">
        <v>6</v>
      </c>
      <c r="C8" s="300" t="str">
        <f t="shared" si="1"/>
        <v>E. Tarrida</v>
      </c>
      <c r="D8" s="350">
        <f>D7+1/3</f>
        <v>9.3333333333333339</v>
      </c>
      <c r="E8" s="300">
        <f t="shared" si="2"/>
        <v>19</v>
      </c>
      <c r="F8" s="351">
        <f t="shared" si="3"/>
        <v>51</v>
      </c>
      <c r="G8" s="300" t="str">
        <f t="shared" si="4"/>
        <v>S. Candela</v>
      </c>
      <c r="H8" s="350">
        <f t="shared" ref="H8:H14" si="9">H7+0.25</f>
        <v>8.5</v>
      </c>
      <c r="I8" s="300">
        <f t="shared" si="5"/>
        <v>22</v>
      </c>
      <c r="J8" s="300">
        <f t="shared" si="6"/>
        <v>42</v>
      </c>
    </row>
    <row r="9" spans="1:10" x14ac:dyDescent="0.25">
      <c r="A9" s="348">
        <f t="shared" si="0"/>
        <v>43776</v>
      </c>
      <c r="B9" s="349">
        <v>7</v>
      </c>
      <c r="C9" s="300" t="str">
        <f t="shared" si="1"/>
        <v>E. Tarrida</v>
      </c>
      <c r="D9" s="350">
        <f t="shared" ref="D9:D10" si="10">D8+1/3</f>
        <v>9.6666666666666679</v>
      </c>
      <c r="E9" s="300">
        <f t="shared" si="2"/>
        <v>19</v>
      </c>
      <c r="F9" s="351">
        <f t="shared" si="3"/>
        <v>58</v>
      </c>
      <c r="G9" s="300" t="str">
        <f t="shared" si="4"/>
        <v>S. Candela</v>
      </c>
      <c r="H9" s="350">
        <f t="shared" si="9"/>
        <v>8.75</v>
      </c>
      <c r="I9" s="300">
        <f t="shared" si="5"/>
        <v>22</v>
      </c>
      <c r="J9" s="300">
        <f t="shared" si="6"/>
        <v>49</v>
      </c>
    </row>
    <row r="10" spans="1:10" x14ac:dyDescent="0.25">
      <c r="A10" s="348">
        <f t="shared" ref="A10:A20" si="11">A9+7</f>
        <v>43783</v>
      </c>
      <c r="B10" s="349">
        <v>8</v>
      </c>
      <c r="C10" s="300" t="str">
        <f t="shared" si="1"/>
        <v>E. Tarrida</v>
      </c>
      <c r="D10" s="350">
        <f t="shared" si="10"/>
        <v>10.000000000000002</v>
      </c>
      <c r="E10" s="300">
        <f t="shared" si="2"/>
        <v>19</v>
      </c>
      <c r="F10" s="351">
        <f t="shared" si="3"/>
        <v>65</v>
      </c>
      <c r="G10" s="300" t="str">
        <f t="shared" si="4"/>
        <v>S. Candela</v>
      </c>
      <c r="H10" s="350">
        <f t="shared" si="9"/>
        <v>9</v>
      </c>
      <c r="I10" s="300">
        <f t="shared" si="5"/>
        <v>22</v>
      </c>
      <c r="J10" s="300">
        <f t="shared" si="6"/>
        <v>56</v>
      </c>
    </row>
    <row r="11" spans="1:10" x14ac:dyDescent="0.25">
      <c r="A11" s="348">
        <f t="shared" si="11"/>
        <v>43790</v>
      </c>
      <c r="B11" s="349">
        <v>9</v>
      </c>
      <c r="C11" s="300" t="str">
        <f t="shared" si="1"/>
        <v>E. Tarrida</v>
      </c>
      <c r="D11" s="350">
        <f>D10+0.2</f>
        <v>10.200000000000001</v>
      </c>
      <c r="E11" s="300">
        <f t="shared" si="2"/>
        <v>19</v>
      </c>
      <c r="F11" s="351">
        <f t="shared" si="3"/>
        <v>72</v>
      </c>
      <c r="G11" s="300" t="str">
        <f t="shared" si="4"/>
        <v>S. Candela</v>
      </c>
      <c r="H11" s="350">
        <f t="shared" si="9"/>
        <v>9.25</v>
      </c>
      <c r="I11" s="300">
        <f t="shared" si="5"/>
        <v>22</v>
      </c>
      <c r="J11" s="300">
        <f t="shared" si="6"/>
        <v>63</v>
      </c>
    </row>
    <row r="12" spans="1:10" x14ac:dyDescent="0.25">
      <c r="A12" s="348">
        <f t="shared" si="11"/>
        <v>43797</v>
      </c>
      <c r="B12" s="349">
        <v>10</v>
      </c>
      <c r="C12" s="300" t="str">
        <f t="shared" si="1"/>
        <v>E. Tarrida</v>
      </c>
      <c r="D12" s="350">
        <f t="shared" ref="D12:D14" si="12">D11+0.2</f>
        <v>10.4</v>
      </c>
      <c r="E12" s="300">
        <f t="shared" si="2"/>
        <v>19</v>
      </c>
      <c r="F12" s="351">
        <f t="shared" si="3"/>
        <v>79</v>
      </c>
      <c r="G12" s="300" t="str">
        <f t="shared" si="4"/>
        <v>S. Candela</v>
      </c>
      <c r="H12" s="350">
        <f t="shared" si="9"/>
        <v>9.5</v>
      </c>
      <c r="I12" s="300">
        <f t="shared" si="5"/>
        <v>22</v>
      </c>
      <c r="J12" s="300">
        <f t="shared" si="6"/>
        <v>70</v>
      </c>
    </row>
    <row r="13" spans="1:10" x14ac:dyDescent="0.25">
      <c r="A13" s="348">
        <f t="shared" si="11"/>
        <v>43804</v>
      </c>
      <c r="B13" s="349">
        <v>11</v>
      </c>
      <c r="C13" s="300" t="str">
        <f t="shared" si="1"/>
        <v>E. Tarrida</v>
      </c>
      <c r="D13" s="350">
        <f t="shared" si="12"/>
        <v>10.6</v>
      </c>
      <c r="E13" s="300">
        <f t="shared" si="2"/>
        <v>19</v>
      </c>
      <c r="F13" s="351">
        <f t="shared" si="3"/>
        <v>86</v>
      </c>
      <c r="G13" s="300" t="str">
        <f t="shared" si="4"/>
        <v>S. Candela</v>
      </c>
      <c r="H13" s="350">
        <f t="shared" si="9"/>
        <v>9.75</v>
      </c>
      <c r="I13" s="300">
        <f t="shared" si="5"/>
        <v>22</v>
      </c>
      <c r="J13" s="300">
        <f t="shared" si="6"/>
        <v>77</v>
      </c>
    </row>
    <row r="14" spans="1:10" x14ac:dyDescent="0.25">
      <c r="A14" s="348">
        <f t="shared" si="11"/>
        <v>43811</v>
      </c>
      <c r="B14" s="349">
        <v>12</v>
      </c>
      <c r="C14" s="300" t="str">
        <f t="shared" si="1"/>
        <v>E. Tarrida</v>
      </c>
      <c r="D14" s="350">
        <f t="shared" si="12"/>
        <v>10.799999999999999</v>
      </c>
      <c r="E14" s="300">
        <f t="shared" si="2"/>
        <v>19</v>
      </c>
      <c r="F14" s="351">
        <f t="shared" si="3"/>
        <v>93</v>
      </c>
      <c r="G14" s="300" t="str">
        <f t="shared" si="4"/>
        <v>S. Candela</v>
      </c>
      <c r="H14" s="350">
        <f t="shared" si="9"/>
        <v>10</v>
      </c>
      <c r="I14" s="300">
        <f t="shared" si="5"/>
        <v>22</v>
      </c>
      <c r="J14" s="300">
        <f t="shared" si="6"/>
        <v>84</v>
      </c>
    </row>
    <row r="15" spans="1:10" x14ac:dyDescent="0.25">
      <c r="A15" s="348">
        <f t="shared" si="11"/>
        <v>43818</v>
      </c>
      <c r="B15" s="349">
        <v>13</v>
      </c>
      <c r="C15" s="300" t="str">
        <f t="shared" si="1"/>
        <v>E. Tarrida</v>
      </c>
      <c r="D15" s="350">
        <f>D14+0.2</f>
        <v>10.999999999999998</v>
      </c>
      <c r="E15" s="300">
        <f t="shared" si="2"/>
        <v>19</v>
      </c>
      <c r="F15" s="351">
        <f t="shared" si="3"/>
        <v>100</v>
      </c>
      <c r="G15" s="300" t="str">
        <f t="shared" si="4"/>
        <v>S. Candela</v>
      </c>
      <c r="H15" s="350">
        <f>H14+0.25</f>
        <v>10.25</v>
      </c>
      <c r="I15" s="300">
        <f t="shared" si="5"/>
        <v>22</v>
      </c>
      <c r="J15" s="300">
        <f t="shared" si="6"/>
        <v>91</v>
      </c>
    </row>
    <row r="16" spans="1:10" x14ac:dyDescent="0.25">
      <c r="A16" s="348">
        <f t="shared" si="11"/>
        <v>43825</v>
      </c>
      <c r="B16" s="349">
        <v>14</v>
      </c>
      <c r="C16" s="300" t="str">
        <f t="shared" si="1"/>
        <v>E. Tarrida</v>
      </c>
      <c r="D16" s="350">
        <v>11.2</v>
      </c>
      <c r="E16" s="300">
        <f t="shared" si="2"/>
        <v>19</v>
      </c>
      <c r="F16" s="351">
        <f t="shared" si="3"/>
        <v>107</v>
      </c>
      <c r="G16" s="300" t="str">
        <f t="shared" si="4"/>
        <v>S. Candela</v>
      </c>
      <c r="H16" s="350">
        <f t="shared" ref="H16:H17" si="13">H15+0.25</f>
        <v>10.5</v>
      </c>
      <c r="I16" s="300">
        <f t="shared" si="5"/>
        <v>22</v>
      </c>
      <c r="J16" s="300">
        <f t="shared" si="6"/>
        <v>98</v>
      </c>
    </row>
    <row r="17" spans="1:10" x14ac:dyDescent="0.25">
      <c r="A17" s="348">
        <f t="shared" si="11"/>
        <v>43832</v>
      </c>
      <c r="B17" s="349">
        <v>15</v>
      </c>
      <c r="C17" s="300" t="str">
        <f t="shared" si="1"/>
        <v>E. Tarrida</v>
      </c>
      <c r="D17" s="350">
        <v>11.4</v>
      </c>
      <c r="E17" s="300">
        <v>20</v>
      </c>
      <c r="F17" s="351">
        <f>F16+7-112</f>
        <v>2</v>
      </c>
      <c r="G17" s="300" t="str">
        <f t="shared" si="4"/>
        <v>S. Candela</v>
      </c>
      <c r="H17" s="350">
        <f t="shared" si="13"/>
        <v>10.75</v>
      </c>
      <c r="I17" s="300">
        <f t="shared" si="5"/>
        <v>22</v>
      </c>
      <c r="J17" s="300">
        <f t="shared" si="6"/>
        <v>105</v>
      </c>
    </row>
    <row r="18" spans="1:10" x14ac:dyDescent="0.25">
      <c r="A18" s="348">
        <f t="shared" si="11"/>
        <v>43839</v>
      </c>
      <c r="B18" s="349">
        <v>16</v>
      </c>
      <c r="C18" s="300" t="str">
        <f t="shared" si="1"/>
        <v>E. Tarrida</v>
      </c>
      <c r="D18" s="350">
        <v>11.6</v>
      </c>
      <c r="E18" s="300">
        <f t="shared" si="2"/>
        <v>20</v>
      </c>
      <c r="F18" s="351">
        <f t="shared" si="3"/>
        <v>9</v>
      </c>
      <c r="G18" s="300" t="str">
        <f t="shared" si="4"/>
        <v>S. Candela</v>
      </c>
      <c r="H18" s="350">
        <f>H17+0.25</f>
        <v>11</v>
      </c>
      <c r="I18" s="300">
        <v>23</v>
      </c>
      <c r="J18" s="300">
        <f>J17+7-112</f>
        <v>0</v>
      </c>
    </row>
    <row r="19" spans="1:10" x14ac:dyDescent="0.25">
      <c r="A19" s="348">
        <f t="shared" si="11"/>
        <v>43846</v>
      </c>
      <c r="B19" s="349">
        <v>17</v>
      </c>
      <c r="C19" s="300" t="str">
        <f t="shared" si="1"/>
        <v>E. Tarrida</v>
      </c>
      <c r="D19" s="350">
        <v>11.8</v>
      </c>
      <c r="E19" s="300">
        <f t="shared" si="2"/>
        <v>20</v>
      </c>
      <c r="F19" s="351">
        <f t="shared" si="3"/>
        <v>16</v>
      </c>
      <c r="G19" s="300" t="str">
        <f t="shared" si="4"/>
        <v>S. Candela</v>
      </c>
      <c r="H19" s="350">
        <f t="shared" ref="H19:H20" si="14">H18+1/6</f>
        <v>11.166666666666666</v>
      </c>
      <c r="I19" s="300">
        <f t="shared" si="5"/>
        <v>23</v>
      </c>
      <c r="J19" s="300">
        <f t="shared" si="6"/>
        <v>7</v>
      </c>
    </row>
    <row r="20" spans="1:10" x14ac:dyDescent="0.25">
      <c r="A20" s="348">
        <f t="shared" si="11"/>
        <v>43853</v>
      </c>
      <c r="B20" s="349">
        <v>18</v>
      </c>
      <c r="C20" s="300" t="str">
        <f t="shared" si="1"/>
        <v>E. Tarrida</v>
      </c>
      <c r="D20" s="350">
        <v>12</v>
      </c>
      <c r="E20" s="300">
        <f>E19</f>
        <v>20</v>
      </c>
      <c r="F20" s="351">
        <f t="shared" si="3"/>
        <v>23</v>
      </c>
      <c r="G20" s="300" t="str">
        <f t="shared" si="4"/>
        <v>S. Candela</v>
      </c>
      <c r="H20" s="350">
        <f t="shared" si="14"/>
        <v>11.333333333333332</v>
      </c>
      <c r="I20" s="300">
        <f t="shared" si="5"/>
        <v>23</v>
      </c>
      <c r="J20" s="300">
        <f t="shared" si="6"/>
        <v>14</v>
      </c>
    </row>
  </sheetData>
  <conditionalFormatting sqref="H2:H20 D2:D20">
    <cfRule type="colorScale" priority="52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V5" activePane="bottomRight" state="frozen"/>
      <selection pane="topRight" activeCell="N1" sqref="N1"/>
      <selection pane="bottomLeft" activeCell="A5" sqref="A5"/>
      <selection pane="bottomRight" activeCell="AB37" sqref="AB37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74" t="s">
        <v>254</v>
      </c>
      <c r="E1" s="475"/>
      <c r="F1" s="475"/>
      <c r="G1" s="475"/>
      <c r="H1" s="475"/>
      <c r="I1" s="476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242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77" t="s">
        <v>228</v>
      </c>
      <c r="E2" s="478"/>
      <c r="F2" s="478"/>
      <c r="G2" s="478"/>
      <c r="H2" s="478"/>
      <c r="I2" s="479"/>
      <c r="K2" s="78"/>
      <c r="L2" s="78"/>
      <c r="M2" s="78" t="s">
        <v>95</v>
      </c>
      <c r="N2" s="79" t="s">
        <v>96</v>
      </c>
      <c r="O2" s="79" t="s">
        <v>97</v>
      </c>
      <c r="P2" s="79" t="s">
        <v>98</v>
      </c>
      <c r="Q2" s="79" t="s">
        <v>99</v>
      </c>
      <c r="R2" s="79" t="s">
        <v>100</v>
      </c>
      <c r="S2" s="79" t="s">
        <v>101</v>
      </c>
      <c r="T2" s="79" t="s">
        <v>102</v>
      </c>
      <c r="U2" s="79" t="s">
        <v>103</v>
      </c>
      <c r="V2" s="79" t="s">
        <v>104</v>
      </c>
      <c r="W2" s="79" t="s">
        <v>105</v>
      </c>
      <c r="X2" s="79" t="s">
        <v>106</v>
      </c>
      <c r="Y2" s="79" t="s">
        <v>107</v>
      </c>
      <c r="Z2" s="79" t="s">
        <v>108</v>
      </c>
      <c r="AA2" s="79" t="s">
        <v>109</v>
      </c>
      <c r="AB2" s="243" t="s">
        <v>110</v>
      </c>
      <c r="AC2" s="79" t="s">
        <v>111</v>
      </c>
      <c r="AD2" s="79" t="s">
        <v>96</v>
      </c>
      <c r="AE2" s="79" t="s">
        <v>97</v>
      </c>
    </row>
    <row r="3" spans="1:35" ht="18.75" x14ac:dyDescent="0.3">
      <c r="A3" s="61"/>
      <c r="B3" s="61"/>
      <c r="C3" s="61"/>
      <c r="D3" s="480" t="s">
        <v>229</v>
      </c>
      <c r="E3" s="481"/>
      <c r="F3" s="198"/>
      <c r="G3" s="482" t="s">
        <v>230</v>
      </c>
      <c r="H3" s="483"/>
      <c r="I3" s="198"/>
      <c r="K3" s="73"/>
      <c r="L3" s="80"/>
      <c r="M3" s="80" t="s">
        <v>112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81">
        <f t="shared" si="1"/>
        <v>477</v>
      </c>
      <c r="X3" s="81">
        <f t="shared" si="1"/>
        <v>523</v>
      </c>
      <c r="Y3" s="81">
        <f t="shared" si="1"/>
        <v>568</v>
      </c>
      <c r="Z3" s="81">
        <f t="shared" si="1"/>
        <v>612</v>
      </c>
      <c r="AA3" s="81">
        <f t="shared" si="1"/>
        <v>656</v>
      </c>
      <c r="AB3" s="244">
        <f t="shared" si="1"/>
        <v>698</v>
      </c>
      <c r="AC3" s="81">
        <f t="shared" si="1"/>
        <v>719</v>
      </c>
      <c r="AD3" s="81">
        <f t="shared" si="1"/>
        <v>740</v>
      </c>
      <c r="AE3" s="81">
        <f t="shared" si="1"/>
        <v>761</v>
      </c>
    </row>
    <row r="4" spans="1:35" ht="18.75" x14ac:dyDescent="0.3">
      <c r="A4" s="61"/>
      <c r="B4" s="61"/>
      <c r="C4" s="61"/>
      <c r="D4" s="199"/>
      <c r="E4" s="200"/>
      <c r="F4" s="225"/>
      <c r="G4" s="199"/>
      <c r="H4" s="225"/>
      <c r="I4" s="201"/>
      <c r="K4" s="245" t="s">
        <v>255</v>
      </c>
      <c r="L4" s="245"/>
      <c r="M4" s="246">
        <v>0</v>
      </c>
      <c r="N4" s="246">
        <f>M4</f>
        <v>0</v>
      </c>
      <c r="O4" s="246">
        <f>N4-N13+N23</f>
        <v>0</v>
      </c>
      <c r="P4" s="246">
        <f>O4-O13+O23</f>
        <v>0</v>
      </c>
      <c r="Q4" s="246">
        <f t="shared" ref="Q4:AE4" si="2">P4-P13+P23</f>
        <v>0</v>
      </c>
      <c r="R4" s="246">
        <f t="shared" si="2"/>
        <v>0</v>
      </c>
      <c r="S4" s="246">
        <f t="shared" si="2"/>
        <v>0</v>
      </c>
      <c r="T4" s="246">
        <f t="shared" si="2"/>
        <v>0</v>
      </c>
      <c r="U4" s="247">
        <f t="shared" si="2"/>
        <v>0</v>
      </c>
      <c r="V4" s="246">
        <f t="shared" si="2"/>
        <v>0</v>
      </c>
      <c r="W4" s="246">
        <f t="shared" si="2"/>
        <v>0</v>
      </c>
      <c r="X4" s="246">
        <f t="shared" si="2"/>
        <v>0</v>
      </c>
      <c r="Y4" s="246">
        <f t="shared" si="2"/>
        <v>0</v>
      </c>
      <c r="Z4" s="247">
        <f t="shared" si="2"/>
        <v>0</v>
      </c>
      <c r="AA4" s="247">
        <f t="shared" si="2"/>
        <v>0</v>
      </c>
      <c r="AB4" s="247">
        <f t="shared" si="2"/>
        <v>0</v>
      </c>
      <c r="AC4" s="247">
        <f t="shared" si="2"/>
        <v>0</v>
      </c>
      <c r="AD4" s="247">
        <f t="shared" si="2"/>
        <v>0</v>
      </c>
      <c r="AE4" s="247">
        <f t="shared" si="2"/>
        <v>0</v>
      </c>
    </row>
    <row r="5" spans="1:35" ht="18.75" x14ac:dyDescent="0.3">
      <c r="A5" s="85"/>
      <c r="B5" s="85"/>
      <c r="C5" s="85"/>
      <c r="D5" s="202" t="s">
        <v>231</v>
      </c>
      <c r="E5" s="203">
        <f>SUM(E6:E8)</f>
        <v>539470</v>
      </c>
      <c r="F5" s="248">
        <f>E5/E35</f>
        <v>0.10648360337655682</v>
      </c>
      <c r="G5" s="202" t="s">
        <v>232</v>
      </c>
      <c r="H5" s="249">
        <f>H6+H7</f>
        <v>300000</v>
      </c>
      <c r="I5" s="204">
        <f>H5/$H$35</f>
        <v>5.9215676521339557E-2</v>
      </c>
      <c r="K5" s="82" t="s">
        <v>113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3">
        <f t="shared" si="3"/>
        <v>1180102</v>
      </c>
      <c r="X5" s="83">
        <f t="shared" si="3"/>
        <v>1079364</v>
      </c>
      <c r="Y5" s="83">
        <f t="shared" si="3"/>
        <v>1048744</v>
      </c>
      <c r="Z5" s="84">
        <f t="shared" si="3"/>
        <v>1159393</v>
      </c>
      <c r="AA5" s="84">
        <f t="shared" si="3"/>
        <v>1131452</v>
      </c>
      <c r="AB5" s="84">
        <f t="shared" si="3"/>
        <v>2439972</v>
      </c>
      <c r="AC5" s="84">
        <f t="shared" si="3"/>
        <v>2408484</v>
      </c>
      <c r="AD5" s="84">
        <f t="shared" si="3"/>
        <v>2442746</v>
      </c>
      <c r="AE5" s="84">
        <f t="shared" si="3"/>
        <v>2416258</v>
      </c>
    </row>
    <row r="6" spans="1:35" x14ac:dyDescent="0.25">
      <c r="A6" s="235" t="str">
        <f t="shared" ref="A6:A13" si="4">L6</f>
        <v>Taquillas</v>
      </c>
      <c r="B6" s="288">
        <f t="shared" ref="B6:B13" si="5">M6/$M$14</f>
        <v>0.26008125380315306</v>
      </c>
      <c r="D6" s="205" t="s">
        <v>127</v>
      </c>
      <c r="E6" s="206">
        <f>M17</f>
        <v>270770</v>
      </c>
      <c r="F6" s="250">
        <f>E6/E35</f>
        <v>5.3446095772277033E-2</v>
      </c>
      <c r="G6" s="207" t="s">
        <v>233</v>
      </c>
      <c r="H6" s="251">
        <v>300000</v>
      </c>
      <c r="I6" s="252">
        <f>H6/$H$35</f>
        <v>5.9215676521339557E-2</v>
      </c>
      <c r="K6" s="235" t="s">
        <v>114</v>
      </c>
      <c r="L6" s="235" t="s">
        <v>114</v>
      </c>
      <c r="M6" s="253">
        <f>SUM(N6:AE6)</f>
        <v>1099300</v>
      </c>
      <c r="N6" s="283">
        <v>0</v>
      </c>
      <c r="O6" s="283">
        <f>140449+2239</f>
        <v>142688</v>
      </c>
      <c r="P6" s="283">
        <f>2819+39724</f>
        <v>42543</v>
      </c>
      <c r="Q6" s="283">
        <f>81809+54656</f>
        <v>136465</v>
      </c>
      <c r="R6" s="283">
        <v>24227</v>
      </c>
      <c r="S6" s="283">
        <f>85603+17134</f>
        <v>102737</v>
      </c>
      <c r="T6" s="283">
        <f>112814+3673</f>
        <v>116487</v>
      </c>
      <c r="U6" s="232">
        <f>18695</f>
        <v>18695</v>
      </c>
      <c r="V6" s="283">
        <v>5397</v>
      </c>
      <c r="W6" s="283">
        <f>115800+5852</f>
        <v>121652</v>
      </c>
      <c r="X6" s="283">
        <v>6625</v>
      </c>
      <c r="Y6" s="283">
        <v>147337</v>
      </c>
      <c r="Z6" s="232">
        <v>7779</v>
      </c>
      <c r="AA6" s="232">
        <v>154668</v>
      </c>
      <c r="AB6" s="232">
        <v>0</v>
      </c>
      <c r="AC6" s="232">
        <v>65000</v>
      </c>
      <c r="AD6" s="233">
        <v>3500</v>
      </c>
      <c r="AE6" s="233">
        <v>3500</v>
      </c>
    </row>
    <row r="7" spans="1:35" x14ac:dyDescent="0.25">
      <c r="A7" s="235" t="str">
        <f t="shared" si="4"/>
        <v>Patrocinadores</v>
      </c>
      <c r="B7" s="288">
        <f t="shared" si="5"/>
        <v>0.20263672660546292</v>
      </c>
      <c r="D7" s="205" t="s">
        <v>132</v>
      </c>
      <c r="E7" s="206">
        <f>M21</f>
        <v>268700</v>
      </c>
      <c r="F7" s="250">
        <f>E7/E35</f>
        <v>5.303750760427979E-2</v>
      </c>
      <c r="G7" s="207" t="s">
        <v>234</v>
      </c>
      <c r="H7" s="251">
        <v>0</v>
      </c>
      <c r="I7" s="252">
        <f>H7/$H$35</f>
        <v>0</v>
      </c>
      <c r="K7" s="235" t="s">
        <v>115</v>
      </c>
      <c r="L7" s="235" t="s">
        <v>115</v>
      </c>
      <c r="M7" s="253">
        <f t="shared" ref="M7:M13" si="6">SUM(N7:AE7)</f>
        <v>856496</v>
      </c>
      <c r="N7" s="283">
        <v>0</v>
      </c>
      <c r="O7" s="283">
        <v>30345</v>
      </c>
      <c r="P7" s="283">
        <v>32010</v>
      </c>
      <c r="Q7" s="283">
        <v>34785</v>
      </c>
      <c r="R7" s="283">
        <v>38115</v>
      </c>
      <c r="S7" s="283">
        <v>41075</v>
      </c>
      <c r="T7" s="283">
        <v>44035</v>
      </c>
      <c r="U7" s="234">
        <f>45000+1873</f>
        <v>46873</v>
      </c>
      <c r="V7" s="283">
        <v>49215</v>
      </c>
      <c r="W7" s="283">
        <v>51620</v>
      </c>
      <c r="X7" s="283">
        <v>54025</v>
      </c>
      <c r="Y7" s="283">
        <v>56430</v>
      </c>
      <c r="Z7" s="234">
        <v>58738</v>
      </c>
      <c r="AA7" s="234">
        <v>60870</v>
      </c>
      <c r="AB7" s="234">
        <v>63090</v>
      </c>
      <c r="AC7" s="234">
        <f t="shared" ref="AC7:AE7" si="7">AB7+1000</f>
        <v>64090</v>
      </c>
      <c r="AD7" s="234">
        <f t="shared" si="7"/>
        <v>65090</v>
      </c>
      <c r="AE7" s="234">
        <f t="shared" si="7"/>
        <v>66090</v>
      </c>
    </row>
    <row r="8" spans="1:35" x14ac:dyDescent="0.25">
      <c r="A8" s="235" t="str">
        <f t="shared" si="4"/>
        <v>Ventas</v>
      </c>
      <c r="B8" s="288">
        <f t="shared" si="5"/>
        <v>0</v>
      </c>
      <c r="D8" s="208" t="s">
        <v>235</v>
      </c>
      <c r="E8" s="209">
        <v>0</v>
      </c>
      <c r="F8" s="250">
        <f>E8/E35</f>
        <v>0</v>
      </c>
      <c r="G8" s="212"/>
      <c r="H8" s="254"/>
      <c r="I8" s="204"/>
      <c r="K8" s="235" t="s">
        <v>116</v>
      </c>
      <c r="L8" s="235" t="s">
        <v>117</v>
      </c>
      <c r="M8" s="253">
        <f t="shared" si="6"/>
        <v>0</v>
      </c>
      <c r="N8" s="283">
        <v>0</v>
      </c>
      <c r="O8" s="283">
        <v>0</v>
      </c>
      <c r="P8" s="283">
        <v>0</v>
      </c>
      <c r="Q8" s="283">
        <v>0</v>
      </c>
      <c r="R8" s="283">
        <v>0</v>
      </c>
      <c r="S8" s="283">
        <v>0</v>
      </c>
      <c r="T8" s="283">
        <v>0</v>
      </c>
      <c r="U8" s="232">
        <v>0</v>
      </c>
      <c r="V8" s="283">
        <v>0</v>
      </c>
      <c r="W8" s="283">
        <v>0</v>
      </c>
      <c r="X8" s="283">
        <v>0</v>
      </c>
      <c r="Y8" s="283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G8" s="197"/>
      <c r="AH8" s="197"/>
    </row>
    <row r="9" spans="1:35" x14ac:dyDescent="0.25">
      <c r="A9" s="235" t="str">
        <f t="shared" si="4"/>
        <v>VentasCantera</v>
      </c>
      <c r="B9" s="288">
        <f t="shared" si="5"/>
        <v>0.28094832065063607</v>
      </c>
      <c r="D9" s="210"/>
      <c r="E9" s="211"/>
      <c r="F9" s="248"/>
      <c r="G9" s="212"/>
      <c r="H9" s="254"/>
      <c r="I9" s="204"/>
      <c r="K9" s="235"/>
      <c r="L9" s="235" t="s">
        <v>118</v>
      </c>
      <c r="M9" s="253">
        <f t="shared" si="6"/>
        <v>1187500</v>
      </c>
      <c r="N9" s="283">
        <v>0</v>
      </c>
      <c r="O9" s="283">
        <v>0</v>
      </c>
      <c r="P9" s="283">
        <v>0</v>
      </c>
      <c r="Q9" s="283">
        <v>0</v>
      </c>
      <c r="R9" s="283">
        <v>0</v>
      </c>
      <c r="S9" s="283">
        <v>0</v>
      </c>
      <c r="T9" s="283">
        <v>0</v>
      </c>
      <c r="U9" s="232">
        <v>0</v>
      </c>
      <c r="V9" s="283">
        <v>0</v>
      </c>
      <c r="W9" s="283">
        <v>0</v>
      </c>
      <c r="X9" s="283">
        <v>0</v>
      </c>
      <c r="Y9" s="283">
        <v>0</v>
      </c>
      <c r="Z9" s="232">
        <v>0</v>
      </c>
      <c r="AA9" s="232">
        <v>1187500</v>
      </c>
      <c r="AB9" s="232">
        <v>0</v>
      </c>
      <c r="AC9" s="232">
        <v>0</v>
      </c>
      <c r="AD9" s="232">
        <v>0</v>
      </c>
      <c r="AE9" s="232">
        <v>0</v>
      </c>
    </row>
    <row r="10" spans="1:35" x14ac:dyDescent="0.25">
      <c r="A10" s="235" t="str">
        <f t="shared" si="4"/>
        <v>Comisiones</v>
      </c>
      <c r="B10" s="288">
        <f t="shared" si="5"/>
        <v>0</v>
      </c>
      <c r="D10" s="202" t="s">
        <v>256</v>
      </c>
      <c r="E10" s="203">
        <f>E11+E12+E13</f>
        <v>0</v>
      </c>
      <c r="F10" s="248">
        <f>E10/E35</f>
        <v>0</v>
      </c>
      <c r="G10" s="202" t="s">
        <v>236</v>
      </c>
      <c r="H10" s="249">
        <f>SUM(H11:H16)</f>
        <v>2629990</v>
      </c>
      <c r="I10" s="204">
        <f t="shared" ref="I10:I16" si="8">H10/$H$35</f>
        <v>0.51912212364785937</v>
      </c>
      <c r="K10" s="235" t="s">
        <v>119</v>
      </c>
      <c r="L10" s="235" t="s">
        <v>119</v>
      </c>
      <c r="M10" s="253">
        <f t="shared" si="6"/>
        <v>0</v>
      </c>
      <c r="N10" s="283">
        <v>0</v>
      </c>
      <c r="O10" s="283">
        <v>0</v>
      </c>
      <c r="P10" s="283">
        <v>0</v>
      </c>
      <c r="Q10" s="283">
        <f>P10</f>
        <v>0</v>
      </c>
      <c r="R10" s="283">
        <f t="shared" ref="R10:AE11" si="9">Q10</f>
        <v>0</v>
      </c>
      <c r="S10" s="283">
        <f t="shared" si="9"/>
        <v>0</v>
      </c>
      <c r="T10" s="283">
        <f t="shared" si="9"/>
        <v>0</v>
      </c>
      <c r="U10" s="234">
        <v>0</v>
      </c>
      <c r="V10" s="283">
        <v>0</v>
      </c>
      <c r="W10" s="283">
        <v>0</v>
      </c>
      <c r="X10" s="283">
        <f t="shared" si="9"/>
        <v>0</v>
      </c>
      <c r="Y10" s="283">
        <f t="shared" si="9"/>
        <v>0</v>
      </c>
      <c r="Z10" s="234">
        <f t="shared" si="9"/>
        <v>0</v>
      </c>
      <c r="AA10" s="234">
        <f t="shared" si="9"/>
        <v>0</v>
      </c>
      <c r="AB10" s="234">
        <f t="shared" si="9"/>
        <v>0</v>
      </c>
      <c r="AC10" s="234">
        <f t="shared" si="9"/>
        <v>0</v>
      </c>
      <c r="AD10" s="234">
        <f t="shared" si="9"/>
        <v>0</v>
      </c>
      <c r="AE10" s="234">
        <f t="shared" si="9"/>
        <v>0</v>
      </c>
    </row>
    <row r="11" spans="1:35" x14ac:dyDescent="0.25">
      <c r="A11" s="235" t="str">
        <f t="shared" si="4"/>
        <v>Nuevos Socios</v>
      </c>
      <c r="B11" s="288">
        <f t="shared" si="5"/>
        <v>4.8405916972732756E-3</v>
      </c>
      <c r="D11" s="213" t="s">
        <v>257</v>
      </c>
      <c r="E11" s="214">
        <f>N4</f>
        <v>0</v>
      </c>
      <c r="F11" s="250">
        <f>E11/E35</f>
        <v>0</v>
      </c>
      <c r="G11" s="222" t="s">
        <v>238</v>
      </c>
      <c r="H11" s="255">
        <v>0</v>
      </c>
      <c r="I11" s="252">
        <f t="shared" si="8"/>
        <v>0</v>
      </c>
      <c r="K11" s="485" t="s">
        <v>120</v>
      </c>
      <c r="L11" s="235" t="s">
        <v>121</v>
      </c>
      <c r="M11" s="253">
        <f t="shared" si="6"/>
        <v>20460</v>
      </c>
      <c r="N11" s="283">
        <v>0</v>
      </c>
      <c r="O11" s="283">
        <v>1200</v>
      </c>
      <c r="P11" s="283">
        <v>1320</v>
      </c>
      <c r="Q11" s="283">
        <f>780+750</f>
        <v>1530</v>
      </c>
      <c r="R11" s="283">
        <f>750*2</f>
        <v>1500</v>
      </c>
      <c r="S11" s="283">
        <f t="shared" si="9"/>
        <v>1500</v>
      </c>
      <c r="T11" s="283">
        <f>720+720</f>
        <v>1440</v>
      </c>
      <c r="U11" s="234">
        <v>1440</v>
      </c>
      <c r="V11" s="283">
        <v>1380</v>
      </c>
      <c r="W11" s="283">
        <v>1380</v>
      </c>
      <c r="X11" s="283">
        <v>1350</v>
      </c>
      <c r="Y11" s="283">
        <v>1320</v>
      </c>
      <c r="Z11" s="234">
        <f t="shared" si="9"/>
        <v>1320</v>
      </c>
      <c r="AA11" s="234">
        <v>1260</v>
      </c>
      <c r="AB11" s="234">
        <v>630</v>
      </c>
      <c r="AC11" s="234">
        <f t="shared" si="9"/>
        <v>630</v>
      </c>
      <c r="AD11" s="234">
        <f t="shared" si="9"/>
        <v>630</v>
      </c>
      <c r="AE11" s="234">
        <f t="shared" si="9"/>
        <v>630</v>
      </c>
    </row>
    <row r="12" spans="1:35" x14ac:dyDescent="0.25">
      <c r="A12" s="235" t="str">
        <f t="shared" si="4"/>
        <v>Premios</v>
      </c>
      <c r="B12" s="288">
        <f t="shared" si="5"/>
        <v>0.25149310724347468</v>
      </c>
      <c r="D12" s="213" t="str">
        <f>L13</f>
        <v>Ing Reservas</v>
      </c>
      <c r="E12" s="214">
        <f>M13*-1</f>
        <v>0</v>
      </c>
      <c r="F12" s="250">
        <f>E12/E35</f>
        <v>0</v>
      </c>
      <c r="G12" s="256" t="s">
        <v>239</v>
      </c>
      <c r="H12" s="257">
        <v>0</v>
      </c>
      <c r="I12" s="258">
        <f t="shared" si="8"/>
        <v>0</v>
      </c>
      <c r="K12" s="486"/>
      <c r="L12" s="235" t="s">
        <v>122</v>
      </c>
      <c r="M12" s="253">
        <f t="shared" si="6"/>
        <v>1063000</v>
      </c>
      <c r="N12" s="283">
        <v>0</v>
      </c>
      <c r="O12" s="283">
        <v>903000</v>
      </c>
      <c r="P12" s="283">
        <v>0</v>
      </c>
      <c r="Q12" s="283">
        <v>160000</v>
      </c>
      <c r="R12" s="283">
        <v>0</v>
      </c>
      <c r="S12" s="283">
        <v>0</v>
      </c>
      <c r="T12" s="283">
        <v>0</v>
      </c>
      <c r="U12" s="234">
        <v>0</v>
      </c>
      <c r="V12" s="283">
        <v>0</v>
      </c>
      <c r="W12" s="283">
        <v>0</v>
      </c>
      <c r="X12" s="283">
        <v>0</v>
      </c>
      <c r="Y12" s="283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</row>
    <row r="13" spans="1:35" ht="18.75" x14ac:dyDescent="0.3">
      <c r="A13" s="235" t="str">
        <f t="shared" si="4"/>
        <v>Ing Reservas</v>
      </c>
      <c r="B13" s="288">
        <f t="shared" si="5"/>
        <v>0</v>
      </c>
      <c r="C13" s="259"/>
      <c r="D13" s="213" t="str">
        <f>L23</f>
        <v>Pago Reservas</v>
      </c>
      <c r="E13" s="214">
        <f>M23</f>
        <v>0</v>
      </c>
      <c r="F13" s="250">
        <f>E13/E35</f>
        <v>0</v>
      </c>
      <c r="G13" s="222" t="s">
        <v>241</v>
      </c>
      <c r="H13" s="255">
        <v>1187500</v>
      </c>
      <c r="I13" s="252">
        <f t="shared" si="8"/>
        <v>0.2343953862303024</v>
      </c>
      <c r="J13" s="260"/>
      <c r="K13" s="487"/>
      <c r="L13" s="235" t="s">
        <v>258</v>
      </c>
      <c r="M13" s="253">
        <f t="shared" si="6"/>
        <v>0</v>
      </c>
      <c r="N13" s="283">
        <v>0</v>
      </c>
      <c r="O13" s="283">
        <v>0</v>
      </c>
      <c r="P13" s="283">
        <f>O13</f>
        <v>0</v>
      </c>
      <c r="Q13" s="283">
        <f t="shared" ref="Q13:AE13" si="10">P13</f>
        <v>0</v>
      </c>
      <c r="R13" s="283">
        <f t="shared" si="10"/>
        <v>0</v>
      </c>
      <c r="S13" s="283">
        <f t="shared" si="10"/>
        <v>0</v>
      </c>
      <c r="T13" s="283">
        <f t="shared" si="10"/>
        <v>0</v>
      </c>
      <c r="U13" s="234">
        <f t="shared" si="10"/>
        <v>0</v>
      </c>
      <c r="V13" s="283">
        <f t="shared" ref="V13" si="11">U13</f>
        <v>0</v>
      </c>
      <c r="W13" s="283">
        <f t="shared" ref="W13" si="12">V13</f>
        <v>0</v>
      </c>
      <c r="X13" s="283">
        <f t="shared" si="10"/>
        <v>0</v>
      </c>
      <c r="Y13" s="283">
        <f t="shared" si="10"/>
        <v>0</v>
      </c>
      <c r="Z13" s="234">
        <f t="shared" si="10"/>
        <v>0</v>
      </c>
      <c r="AA13" s="234">
        <f t="shared" si="10"/>
        <v>0</v>
      </c>
      <c r="AB13" s="234">
        <f t="shared" si="10"/>
        <v>0</v>
      </c>
      <c r="AC13" s="234">
        <f t="shared" si="10"/>
        <v>0</v>
      </c>
      <c r="AD13" s="234">
        <f t="shared" si="10"/>
        <v>0</v>
      </c>
      <c r="AE13" s="234">
        <f t="shared" si="10"/>
        <v>0</v>
      </c>
      <c r="AF13" s="260"/>
      <c r="AG13" s="260"/>
      <c r="AH13" s="260"/>
      <c r="AI13" s="260"/>
    </row>
    <row r="14" spans="1:35" ht="18.75" x14ac:dyDescent="0.3">
      <c r="A14" s="259"/>
      <c r="B14" s="261">
        <f>SUM(B6:B13)</f>
        <v>1</v>
      </c>
      <c r="D14" s="210"/>
      <c r="E14" s="262"/>
      <c r="G14" s="222" t="s">
        <v>243</v>
      </c>
      <c r="H14" s="255">
        <v>0</v>
      </c>
      <c r="I14" s="252">
        <f t="shared" si="8"/>
        <v>0</v>
      </c>
      <c r="K14" s="286" t="s">
        <v>123</v>
      </c>
      <c r="L14" s="287"/>
      <c r="M14" s="263">
        <f>SUM(N14:AE14)</f>
        <v>4226756</v>
      </c>
      <c r="N14" s="284">
        <f>SUM(N6:N13)</f>
        <v>0</v>
      </c>
      <c r="O14" s="284">
        <f>SUM(O6:O13)</f>
        <v>1077233</v>
      </c>
      <c r="P14" s="284">
        <f t="shared" ref="P14:AE14" si="13">SUM(P6:P13)</f>
        <v>75873</v>
      </c>
      <c r="Q14" s="284">
        <f t="shared" si="13"/>
        <v>332780</v>
      </c>
      <c r="R14" s="284">
        <f t="shared" si="13"/>
        <v>63842</v>
      </c>
      <c r="S14" s="284">
        <f t="shared" si="13"/>
        <v>145312</v>
      </c>
      <c r="T14" s="284">
        <f t="shared" si="13"/>
        <v>161962</v>
      </c>
      <c r="U14" s="284">
        <f t="shared" si="13"/>
        <v>67008</v>
      </c>
      <c r="V14" s="284">
        <f t="shared" si="13"/>
        <v>55992</v>
      </c>
      <c r="W14" s="284">
        <f t="shared" si="13"/>
        <v>174652</v>
      </c>
      <c r="X14" s="284">
        <f t="shared" si="13"/>
        <v>62000</v>
      </c>
      <c r="Y14" s="284">
        <f t="shared" si="13"/>
        <v>205087</v>
      </c>
      <c r="Z14" s="284">
        <f t="shared" si="13"/>
        <v>67837</v>
      </c>
      <c r="AA14" s="284">
        <f t="shared" si="13"/>
        <v>1404298</v>
      </c>
      <c r="AB14" s="284">
        <f t="shared" si="13"/>
        <v>63720</v>
      </c>
      <c r="AC14" s="284">
        <f t="shared" si="13"/>
        <v>129720</v>
      </c>
      <c r="AD14" s="284">
        <f t="shared" si="13"/>
        <v>69220</v>
      </c>
      <c r="AE14" s="284">
        <f t="shared" si="13"/>
        <v>70220</v>
      </c>
    </row>
    <row r="15" spans="1:35" ht="18.75" x14ac:dyDescent="0.3">
      <c r="A15" s="492">
        <f>M14</f>
        <v>4226756</v>
      </c>
      <c r="B15" s="492"/>
      <c r="D15" s="202" t="s">
        <v>137</v>
      </c>
      <c r="E15" s="203">
        <f>SUM(E16:E19)</f>
        <v>0</v>
      </c>
      <c r="F15" s="248">
        <f>E15/E35</f>
        <v>0</v>
      </c>
      <c r="G15" s="222" t="s">
        <v>244</v>
      </c>
      <c r="H15" s="255">
        <v>0</v>
      </c>
      <c r="I15" s="252">
        <f t="shared" si="8"/>
        <v>0</v>
      </c>
      <c r="K15" s="236" t="s">
        <v>124</v>
      </c>
      <c r="L15" s="237" t="str">
        <f>K15</f>
        <v>Sueldos</v>
      </c>
      <c r="M15" s="86">
        <f>SUM(N15:AE15)</f>
        <v>139280</v>
      </c>
      <c r="N15" s="285">
        <v>0</v>
      </c>
      <c r="O15" s="285">
        <v>8040</v>
      </c>
      <c r="P15" s="285">
        <v>8090</v>
      </c>
      <c r="Q15" s="285">
        <v>8090</v>
      </c>
      <c r="R15" s="285">
        <v>7700</v>
      </c>
      <c r="S15" s="285">
        <v>7700</v>
      </c>
      <c r="T15" s="285">
        <v>7700</v>
      </c>
      <c r="U15" s="240">
        <v>7700</v>
      </c>
      <c r="V15" s="285">
        <v>7700</v>
      </c>
      <c r="W15" s="285">
        <v>7700</v>
      </c>
      <c r="X15" s="285">
        <v>7700</v>
      </c>
      <c r="Y15" s="285">
        <v>7700</v>
      </c>
      <c r="Z15" s="240">
        <v>9040</v>
      </c>
      <c r="AA15" s="240">
        <v>9040</v>
      </c>
      <c r="AB15" s="240">
        <v>8470</v>
      </c>
      <c r="AC15" s="240">
        <f t="shared" ref="AC15:AE15" si="14">AB15+250</f>
        <v>8720</v>
      </c>
      <c r="AD15" s="240">
        <f t="shared" si="14"/>
        <v>8970</v>
      </c>
      <c r="AE15" s="240">
        <f t="shared" si="14"/>
        <v>9220</v>
      </c>
    </row>
    <row r="16" spans="1:35" x14ac:dyDescent="0.25">
      <c r="D16" s="213" t="s">
        <v>237</v>
      </c>
      <c r="E16" s="214">
        <v>0</v>
      </c>
      <c r="F16" s="250">
        <f>E16/E35</f>
        <v>0</v>
      </c>
      <c r="G16" s="264" t="s">
        <v>245</v>
      </c>
      <c r="H16" s="265">
        <f>E29-H26</f>
        <v>1442490</v>
      </c>
      <c r="I16" s="252">
        <f t="shared" si="8"/>
        <v>0.284726737417557</v>
      </c>
      <c r="K16" s="236" t="s">
        <v>125</v>
      </c>
      <c r="L16" s="237" t="str">
        <f>K16</f>
        <v xml:space="preserve">Mantenimiento </v>
      </c>
      <c r="M16" s="86">
        <f t="shared" ref="M16:M24" si="15">SUM(N16:AE16)</f>
        <v>143926</v>
      </c>
      <c r="N16" s="285">
        <v>0</v>
      </c>
      <c r="O16" s="285">
        <v>7100</v>
      </c>
      <c r="P16" s="285">
        <v>7100</v>
      </c>
      <c r="Q16" s="285">
        <v>7800</v>
      </c>
      <c r="R16" s="285">
        <f>Q16</f>
        <v>7800</v>
      </c>
      <c r="S16" s="285">
        <f t="shared" ref="S16:AE16" si="16">R16</f>
        <v>7800</v>
      </c>
      <c r="T16" s="285">
        <f t="shared" si="16"/>
        <v>7800</v>
      </c>
      <c r="U16" s="240">
        <f t="shared" si="16"/>
        <v>7800</v>
      </c>
      <c r="V16" s="285">
        <f t="shared" si="16"/>
        <v>7800</v>
      </c>
      <c r="W16" s="285">
        <f t="shared" si="16"/>
        <v>7800</v>
      </c>
      <c r="X16" s="285">
        <f t="shared" si="16"/>
        <v>7800</v>
      </c>
      <c r="Y16" s="285">
        <v>9618</v>
      </c>
      <c r="Z16" s="240">
        <f t="shared" si="16"/>
        <v>9618</v>
      </c>
      <c r="AA16" s="240">
        <f t="shared" si="16"/>
        <v>9618</v>
      </c>
      <c r="AB16" s="240">
        <f t="shared" si="16"/>
        <v>9618</v>
      </c>
      <c r="AC16" s="240">
        <f t="shared" si="16"/>
        <v>9618</v>
      </c>
      <c r="AD16" s="240">
        <f t="shared" si="16"/>
        <v>9618</v>
      </c>
      <c r="AE16" s="240">
        <f t="shared" si="16"/>
        <v>9618</v>
      </c>
    </row>
    <row r="17" spans="1:31" ht="20.25" customHeight="1" x14ac:dyDescent="0.25">
      <c r="D17" s="266" t="s">
        <v>137</v>
      </c>
      <c r="E17" s="267">
        <v>0</v>
      </c>
      <c r="F17" s="268">
        <f>E17/E35</f>
        <v>0</v>
      </c>
      <c r="G17" s="210"/>
      <c r="H17" s="254"/>
      <c r="I17" s="218"/>
      <c r="K17" s="236" t="s">
        <v>126</v>
      </c>
      <c r="L17" s="237" t="s">
        <v>127</v>
      </c>
      <c r="M17" s="86">
        <f t="shared" si="15"/>
        <v>270770</v>
      </c>
      <c r="N17" s="285">
        <v>88000</v>
      </c>
      <c r="O17" s="285">
        <v>0</v>
      </c>
      <c r="P17" s="285">
        <v>0</v>
      </c>
      <c r="Q17" s="285">
        <v>0</v>
      </c>
      <c r="R17" s="285">
        <v>0</v>
      </c>
      <c r="S17" s="285">
        <v>0</v>
      </c>
      <c r="T17" s="285">
        <v>0</v>
      </c>
      <c r="U17" s="240">
        <v>0</v>
      </c>
      <c r="V17" s="285">
        <v>0</v>
      </c>
      <c r="W17" s="285">
        <v>182770</v>
      </c>
      <c r="X17" s="285">
        <v>0</v>
      </c>
      <c r="Y17" s="285">
        <v>0</v>
      </c>
      <c r="Z17" s="240">
        <v>0</v>
      </c>
      <c r="AA17" s="240">
        <v>0</v>
      </c>
      <c r="AB17" s="240">
        <v>0</v>
      </c>
      <c r="AC17" s="240">
        <v>0</v>
      </c>
      <c r="AD17" s="240">
        <v>0</v>
      </c>
      <c r="AE17" s="240">
        <v>0</v>
      </c>
    </row>
    <row r="18" spans="1:31" x14ac:dyDescent="0.25">
      <c r="D18" s="213" t="s">
        <v>240</v>
      </c>
      <c r="E18" s="214">
        <v>0</v>
      </c>
      <c r="F18" s="250">
        <f>E18/E35</f>
        <v>0</v>
      </c>
      <c r="G18" s="202" t="s">
        <v>246</v>
      </c>
      <c r="H18" s="269">
        <f>H19</f>
        <v>0</v>
      </c>
      <c r="I18" s="204">
        <f>H18/$H$35</f>
        <v>0</v>
      </c>
      <c r="K18" s="236" t="s">
        <v>128</v>
      </c>
      <c r="L18" s="237" t="str">
        <f>K18</f>
        <v>Empleados</v>
      </c>
      <c r="M18" s="86">
        <f t="shared" si="15"/>
        <v>946560</v>
      </c>
      <c r="N18" s="285">
        <v>0</v>
      </c>
      <c r="O18" s="285">
        <v>32640</v>
      </c>
      <c r="P18" s="285">
        <v>57120</v>
      </c>
      <c r="Q18" s="285">
        <f>P18</f>
        <v>57120</v>
      </c>
      <c r="R18" s="285">
        <f t="shared" ref="R18:AE18" si="17">Q18</f>
        <v>57120</v>
      </c>
      <c r="S18" s="285">
        <f t="shared" si="17"/>
        <v>57120</v>
      </c>
      <c r="T18" s="285">
        <f t="shared" si="17"/>
        <v>57120</v>
      </c>
      <c r="U18" s="240">
        <f t="shared" si="17"/>
        <v>57120</v>
      </c>
      <c r="V18" s="285">
        <f t="shared" si="17"/>
        <v>57120</v>
      </c>
      <c r="W18" s="285">
        <f t="shared" si="17"/>
        <v>57120</v>
      </c>
      <c r="X18" s="285">
        <f t="shared" si="17"/>
        <v>57120</v>
      </c>
      <c r="Y18" s="285">
        <f t="shared" si="17"/>
        <v>57120</v>
      </c>
      <c r="Z18" s="240">
        <f t="shared" si="17"/>
        <v>57120</v>
      </c>
      <c r="AA18" s="240">
        <f t="shared" si="17"/>
        <v>57120</v>
      </c>
      <c r="AB18" s="240">
        <f t="shared" si="17"/>
        <v>57120</v>
      </c>
      <c r="AC18" s="240">
        <f t="shared" si="17"/>
        <v>57120</v>
      </c>
      <c r="AD18" s="240">
        <f t="shared" si="17"/>
        <v>57120</v>
      </c>
      <c r="AE18" s="240">
        <f t="shared" si="17"/>
        <v>57120</v>
      </c>
    </row>
    <row r="19" spans="1:31" x14ac:dyDescent="0.25">
      <c r="D19" s="213" t="s">
        <v>242</v>
      </c>
      <c r="E19" s="214">
        <v>0</v>
      </c>
      <c r="F19" s="250">
        <f>E19/E35</f>
        <v>0</v>
      </c>
      <c r="G19" s="219" t="s">
        <v>131</v>
      </c>
      <c r="H19" s="270">
        <f>M20</f>
        <v>0</v>
      </c>
      <c r="I19" s="252">
        <f>H19/$H$35</f>
        <v>0</v>
      </c>
      <c r="K19" s="236" t="s">
        <v>129</v>
      </c>
      <c r="L19" s="237" t="str">
        <f>K19</f>
        <v>Juveniles</v>
      </c>
      <c r="M19" s="86">
        <f t="shared" si="15"/>
        <v>360000</v>
      </c>
      <c r="N19" s="285">
        <v>20000</v>
      </c>
      <c r="O19" s="285">
        <v>20000</v>
      </c>
      <c r="P19" s="285">
        <v>20000</v>
      </c>
      <c r="Q19" s="285">
        <v>20000</v>
      </c>
      <c r="R19" s="285">
        <v>20000</v>
      </c>
      <c r="S19" s="285">
        <v>20000</v>
      </c>
      <c r="T19" s="285">
        <v>20000</v>
      </c>
      <c r="U19" s="240">
        <v>20000</v>
      </c>
      <c r="V19" s="285">
        <v>20000</v>
      </c>
      <c r="W19" s="285">
        <v>20000</v>
      </c>
      <c r="X19" s="285">
        <v>20000</v>
      </c>
      <c r="Y19" s="285">
        <v>20000</v>
      </c>
      <c r="Z19" s="240">
        <v>20000</v>
      </c>
      <c r="AA19" s="240">
        <v>20000</v>
      </c>
      <c r="AB19" s="240">
        <v>20000</v>
      </c>
      <c r="AC19" s="240">
        <v>20000</v>
      </c>
      <c r="AD19" s="240">
        <v>20000</v>
      </c>
      <c r="AE19" s="240">
        <v>20000</v>
      </c>
    </row>
    <row r="20" spans="1:31" ht="18.75" customHeight="1" x14ac:dyDescent="0.25">
      <c r="D20" s="210"/>
      <c r="E20" s="262"/>
      <c r="F20" s="183"/>
      <c r="G20" s="215"/>
      <c r="H20" s="271"/>
      <c r="I20" s="272"/>
      <c r="K20" s="236" t="s">
        <v>130</v>
      </c>
      <c r="L20" s="237" t="s">
        <v>131</v>
      </c>
      <c r="M20" s="86">
        <f t="shared" si="15"/>
        <v>0</v>
      </c>
      <c r="N20" s="285">
        <v>0</v>
      </c>
      <c r="O20" s="285">
        <v>0</v>
      </c>
      <c r="P20" s="285">
        <v>0</v>
      </c>
      <c r="Q20" s="285">
        <v>0</v>
      </c>
      <c r="R20" s="285">
        <v>0</v>
      </c>
      <c r="S20" s="285">
        <v>0</v>
      </c>
      <c r="T20" s="285">
        <v>0</v>
      </c>
      <c r="U20" s="240">
        <v>0</v>
      </c>
      <c r="V20" s="285">
        <v>0</v>
      </c>
      <c r="W20" s="285">
        <v>0</v>
      </c>
      <c r="X20" s="285">
        <v>0</v>
      </c>
      <c r="Y20" s="285">
        <v>0</v>
      </c>
      <c r="Z20" s="240">
        <v>0</v>
      </c>
      <c r="AA20" s="240">
        <v>0</v>
      </c>
      <c r="AB20" s="240">
        <v>0</v>
      </c>
      <c r="AC20" s="240">
        <v>0</v>
      </c>
      <c r="AD20" s="240">
        <v>0</v>
      </c>
      <c r="AE20" s="240">
        <v>0</v>
      </c>
    </row>
    <row r="21" spans="1:31" x14ac:dyDescent="0.25">
      <c r="D21" s="202" t="s">
        <v>117</v>
      </c>
      <c r="E21" s="217">
        <f>E22</f>
        <v>1187500</v>
      </c>
      <c r="F21" s="248">
        <f>E21/E35</f>
        <v>0.2343953862303024</v>
      </c>
      <c r="G21" s="215"/>
      <c r="H21" s="271"/>
      <c r="I21" s="272"/>
      <c r="K21" s="488" t="s">
        <v>120</v>
      </c>
      <c r="L21" s="237" t="s">
        <v>132</v>
      </c>
      <c r="M21" s="86">
        <f t="shared" si="15"/>
        <v>268700</v>
      </c>
      <c r="N21" s="285">
        <v>0</v>
      </c>
      <c r="O21" s="285">
        <v>268700</v>
      </c>
      <c r="P21" s="285">
        <v>0</v>
      </c>
      <c r="Q21" s="285">
        <v>0</v>
      </c>
      <c r="R21" s="285">
        <v>0</v>
      </c>
      <c r="S21" s="285">
        <v>0</v>
      </c>
      <c r="T21" s="285">
        <v>0</v>
      </c>
      <c r="U21" s="240">
        <v>0</v>
      </c>
      <c r="V21" s="285">
        <v>0</v>
      </c>
      <c r="W21" s="285">
        <v>0</v>
      </c>
      <c r="X21" s="285">
        <v>0</v>
      </c>
      <c r="Y21" s="285">
        <v>0</v>
      </c>
      <c r="Z21" s="240">
        <v>0</v>
      </c>
      <c r="AA21" s="240">
        <v>0</v>
      </c>
      <c r="AB21" s="240">
        <v>0</v>
      </c>
      <c r="AC21" s="240">
        <v>0</v>
      </c>
      <c r="AD21" s="240">
        <v>0</v>
      </c>
      <c r="AE21" s="240">
        <v>0</v>
      </c>
    </row>
    <row r="22" spans="1:31" x14ac:dyDescent="0.25">
      <c r="D22" s="213" t="s">
        <v>117</v>
      </c>
      <c r="E22" s="214">
        <f>M8+M9</f>
        <v>1187500</v>
      </c>
      <c r="F22" s="250">
        <f>E22/E35</f>
        <v>0.2343953862303024</v>
      </c>
      <c r="G22" s="202" t="s">
        <v>247</v>
      </c>
      <c r="H22" s="249">
        <f>SUM(H23:H24)</f>
        <v>539470</v>
      </c>
      <c r="I22" s="204">
        <f>H22/$H$35</f>
        <v>0.10648360337655682</v>
      </c>
      <c r="K22" s="489"/>
      <c r="L22" s="237" t="s">
        <v>133</v>
      </c>
      <c r="M22" s="86">
        <f t="shared" si="15"/>
        <v>7000</v>
      </c>
      <c r="N22" s="285">
        <v>7000</v>
      </c>
      <c r="O22" s="285">
        <v>0</v>
      </c>
      <c r="P22" s="285">
        <v>0</v>
      </c>
      <c r="Q22" s="285">
        <v>0</v>
      </c>
      <c r="R22" s="285">
        <v>0</v>
      </c>
      <c r="S22" s="285">
        <v>0</v>
      </c>
      <c r="T22" s="285">
        <v>0</v>
      </c>
      <c r="U22" s="240">
        <v>0</v>
      </c>
      <c r="V22" s="285">
        <v>0</v>
      </c>
      <c r="W22" s="285">
        <v>0</v>
      </c>
      <c r="X22" s="285">
        <v>0</v>
      </c>
      <c r="Y22" s="285">
        <v>0</v>
      </c>
      <c r="Z22" s="240">
        <v>0</v>
      </c>
      <c r="AA22" s="240">
        <v>0</v>
      </c>
      <c r="AB22" s="240">
        <v>0</v>
      </c>
      <c r="AC22" s="240">
        <v>0</v>
      </c>
      <c r="AD22" s="240">
        <v>0</v>
      </c>
      <c r="AE22" s="240">
        <v>0</v>
      </c>
    </row>
    <row r="23" spans="1:31" ht="15.75" customHeight="1" x14ac:dyDescent="0.3">
      <c r="C23" s="88"/>
      <c r="D23" s="210"/>
      <c r="E23" s="262"/>
      <c r="F23" s="183"/>
      <c r="G23" s="219" t="s">
        <v>127</v>
      </c>
      <c r="H23" s="273">
        <f>M17</f>
        <v>270770</v>
      </c>
      <c r="I23" s="252">
        <f>H23/$H$35</f>
        <v>5.3446095772277033E-2</v>
      </c>
      <c r="K23" s="490"/>
      <c r="L23" s="237" t="s">
        <v>259</v>
      </c>
      <c r="M23" s="86">
        <f t="shared" si="15"/>
        <v>0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40">
        <v>0</v>
      </c>
      <c r="V23" s="285">
        <v>0</v>
      </c>
      <c r="W23" s="285">
        <v>0</v>
      </c>
      <c r="X23" s="285">
        <v>0</v>
      </c>
      <c r="Y23" s="285">
        <v>0</v>
      </c>
      <c r="Z23" s="240">
        <v>0</v>
      </c>
      <c r="AA23" s="240">
        <v>0</v>
      </c>
      <c r="AB23" s="240">
        <v>0</v>
      </c>
      <c r="AC23" s="240">
        <v>0</v>
      </c>
      <c r="AD23" s="240">
        <v>0</v>
      </c>
      <c r="AE23" s="240">
        <v>0</v>
      </c>
    </row>
    <row r="24" spans="1:31" ht="18.75" x14ac:dyDescent="0.3">
      <c r="A24" s="237" t="str">
        <f t="shared" ref="A24:A31" si="18">L15</f>
        <v>Sueldos</v>
      </c>
      <c r="B24" s="289">
        <f t="shared" ref="B24:B31" si="19">M15/$M$25</f>
        <v>6.5198788897855853E-2</v>
      </c>
      <c r="C24" s="85"/>
      <c r="D24" s="202" t="s">
        <v>260</v>
      </c>
      <c r="E24" s="203">
        <f>E25+E26-E27</f>
        <v>300000</v>
      </c>
      <c r="F24" s="248">
        <f>E24/E35</f>
        <v>5.9215676521339557E-2</v>
      </c>
      <c r="G24" s="219" t="s">
        <v>132</v>
      </c>
      <c r="H24" s="273">
        <f>M21</f>
        <v>268700</v>
      </c>
      <c r="I24" s="252">
        <f>H24/$H$35</f>
        <v>5.303750760427979E-2</v>
      </c>
      <c r="K24" s="236" t="s">
        <v>134</v>
      </c>
      <c r="L24" s="237" t="str">
        <f>K24</f>
        <v>Intereses</v>
      </c>
      <c r="M24" s="86">
        <f t="shared" si="15"/>
        <v>0</v>
      </c>
      <c r="N24" s="285">
        <v>0</v>
      </c>
      <c r="O24" s="285">
        <v>0</v>
      </c>
      <c r="P24" s="285">
        <v>0</v>
      </c>
      <c r="Q24" s="285">
        <v>0</v>
      </c>
      <c r="R24" s="285">
        <v>0</v>
      </c>
      <c r="S24" s="285">
        <v>0</v>
      </c>
      <c r="T24" s="285">
        <v>0</v>
      </c>
      <c r="U24" s="240">
        <v>0</v>
      </c>
      <c r="V24" s="285">
        <v>0</v>
      </c>
      <c r="W24" s="285">
        <v>0</v>
      </c>
      <c r="X24" s="285">
        <v>0</v>
      </c>
      <c r="Y24" s="285">
        <v>0</v>
      </c>
      <c r="Z24" s="240">
        <v>0</v>
      </c>
      <c r="AA24" s="240">
        <v>0</v>
      </c>
      <c r="AB24" s="240">
        <v>0</v>
      </c>
      <c r="AC24" s="240">
        <v>0</v>
      </c>
      <c r="AD24" s="240">
        <v>0</v>
      </c>
      <c r="AE24" s="240">
        <v>0</v>
      </c>
    </row>
    <row r="25" spans="1:31" ht="18.75" x14ac:dyDescent="0.3">
      <c r="A25" s="237" t="str">
        <f t="shared" si="18"/>
        <v xml:space="preserve">Mantenimiento </v>
      </c>
      <c r="B25" s="289">
        <f t="shared" si="19"/>
        <v>6.7373642238029885E-2</v>
      </c>
      <c r="C25" s="75"/>
      <c r="D25" s="222" t="s">
        <v>261</v>
      </c>
      <c r="E25" s="223">
        <f>N5</f>
        <v>300000</v>
      </c>
      <c r="F25" s="250">
        <f>E25/E35</f>
        <v>5.9215676521339557E-2</v>
      </c>
      <c r="G25" s="220"/>
      <c r="H25" s="274"/>
      <c r="I25" s="221"/>
      <c r="K25" s="238" t="s">
        <v>135</v>
      </c>
      <c r="L25" s="239"/>
      <c r="M25" s="87">
        <f>SUM(N25:AE25)</f>
        <v>2136236</v>
      </c>
      <c r="N25" s="241">
        <f>SUM(N15:N24)</f>
        <v>115000</v>
      </c>
      <c r="O25" s="241">
        <f>SUM(O15:O24)</f>
        <v>336480</v>
      </c>
      <c r="P25" s="241">
        <f t="shared" ref="P25:AE25" si="20">SUM(P15:P24)</f>
        <v>92310</v>
      </c>
      <c r="Q25" s="241">
        <f t="shared" si="20"/>
        <v>93010</v>
      </c>
      <c r="R25" s="241">
        <f t="shared" si="20"/>
        <v>92620</v>
      </c>
      <c r="S25" s="241">
        <f t="shared" si="20"/>
        <v>92620</v>
      </c>
      <c r="T25" s="241">
        <f t="shared" si="20"/>
        <v>92620</v>
      </c>
      <c r="U25" s="241">
        <f t="shared" si="20"/>
        <v>92620</v>
      </c>
      <c r="V25" s="241">
        <f t="shared" si="20"/>
        <v>92620</v>
      </c>
      <c r="W25" s="241">
        <f t="shared" si="20"/>
        <v>275390</v>
      </c>
      <c r="X25" s="241">
        <f t="shared" si="20"/>
        <v>92620</v>
      </c>
      <c r="Y25" s="241">
        <f t="shared" si="20"/>
        <v>94438</v>
      </c>
      <c r="Z25" s="241">
        <f t="shared" si="20"/>
        <v>95778</v>
      </c>
      <c r="AA25" s="241">
        <f t="shared" si="20"/>
        <v>95778</v>
      </c>
      <c r="AB25" s="241">
        <f t="shared" si="20"/>
        <v>95208</v>
      </c>
      <c r="AC25" s="241">
        <f t="shared" si="20"/>
        <v>95458</v>
      </c>
      <c r="AD25" s="241">
        <f t="shared" si="20"/>
        <v>95708</v>
      </c>
      <c r="AE25" s="241">
        <f t="shared" si="20"/>
        <v>95958</v>
      </c>
    </row>
    <row r="26" spans="1:31" ht="18.75" x14ac:dyDescent="0.3">
      <c r="A26" s="237" t="str">
        <f t="shared" si="18"/>
        <v>Estadio</v>
      </c>
      <c r="B26" s="289">
        <f t="shared" si="19"/>
        <v>0.1267509769519847</v>
      </c>
      <c r="C26" s="61"/>
      <c r="D26" s="222" t="str">
        <f>D12</f>
        <v>Ing Reservas</v>
      </c>
      <c r="E26" s="223">
        <f>M13</f>
        <v>0</v>
      </c>
      <c r="F26" s="250">
        <f>E26/E35</f>
        <v>0</v>
      </c>
      <c r="G26" s="202" t="s">
        <v>249</v>
      </c>
      <c r="H26" s="249">
        <f>SUM(H27:H32)</f>
        <v>1596766</v>
      </c>
      <c r="I26" s="204">
        <f t="shared" ref="I26:I32" si="21">H26/$H$35</f>
        <v>0.31517859645424423</v>
      </c>
      <c r="K26" s="89" t="s">
        <v>136</v>
      </c>
      <c r="L26" s="89"/>
      <c r="M26" s="84">
        <f t="shared" ref="M26:AE26" si="22">M5+M14-M25</f>
        <v>2390520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1079364</v>
      </c>
      <c r="X26" s="84">
        <f t="shared" si="22"/>
        <v>1048744</v>
      </c>
      <c r="Y26" s="84">
        <f t="shared" si="22"/>
        <v>1159393</v>
      </c>
      <c r="Z26" s="84">
        <f t="shared" si="22"/>
        <v>1131452</v>
      </c>
      <c r="AA26" s="84">
        <f t="shared" si="22"/>
        <v>2439972</v>
      </c>
      <c r="AB26" s="84">
        <f t="shared" si="22"/>
        <v>2408484</v>
      </c>
      <c r="AC26" s="84">
        <f t="shared" si="22"/>
        <v>2442746</v>
      </c>
      <c r="AD26" s="84">
        <f t="shared" si="22"/>
        <v>2416258</v>
      </c>
      <c r="AE26" s="84">
        <f t="shared" si="22"/>
        <v>2390520</v>
      </c>
    </row>
    <row r="27" spans="1:31" x14ac:dyDescent="0.25">
      <c r="A27" s="237" t="str">
        <f t="shared" si="18"/>
        <v>Empleados</v>
      </c>
      <c r="B27" s="289">
        <f t="shared" si="19"/>
        <v>0.44309711099335469</v>
      </c>
      <c r="C27" s="7"/>
      <c r="D27" s="222" t="str">
        <f>D13</f>
        <v>Pago Reservas</v>
      </c>
      <c r="E27" s="223">
        <f>M23*-1</f>
        <v>0</v>
      </c>
      <c r="F27" s="250">
        <f>E27/E35</f>
        <v>0</v>
      </c>
      <c r="G27" s="219" t="s">
        <v>250</v>
      </c>
      <c r="H27" s="273">
        <f>M15</f>
        <v>139280</v>
      </c>
      <c r="I27" s="252">
        <f t="shared" si="21"/>
        <v>2.749186475297391E-2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37" t="str">
        <f t="shared" si="18"/>
        <v>Juveniles</v>
      </c>
      <c r="B28" s="289">
        <f t="shared" si="19"/>
        <v>0.1685207065136998</v>
      </c>
      <c r="C28" s="61"/>
      <c r="D28" s="215"/>
      <c r="E28" s="216"/>
      <c r="F28" s="250"/>
      <c r="G28" s="219" t="s">
        <v>125</v>
      </c>
      <c r="H28" s="273">
        <f>M16</f>
        <v>143926</v>
      </c>
      <c r="I28" s="252">
        <f t="shared" si="21"/>
        <v>2.8408918196701057E-2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37" t="str">
        <f t="shared" si="18"/>
        <v>Compra</v>
      </c>
      <c r="B29" s="289">
        <f t="shared" si="19"/>
        <v>0</v>
      </c>
      <c r="D29" s="202" t="s">
        <v>248</v>
      </c>
      <c r="E29" s="203">
        <f>SUM(E30:E34)</f>
        <v>3039256</v>
      </c>
      <c r="F29" s="248">
        <f>E29/E35</f>
        <v>0.59990533387180123</v>
      </c>
      <c r="G29" s="219" t="s">
        <v>128</v>
      </c>
      <c r="H29" s="273">
        <f>M18</f>
        <v>946560</v>
      </c>
      <c r="I29" s="252">
        <f t="shared" si="21"/>
        <v>0.18683730256013056</v>
      </c>
      <c r="K29" s="94"/>
      <c r="L29" s="94"/>
      <c r="M29" s="95" t="s">
        <v>137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>
        <v>18</v>
      </c>
      <c r="Y29" s="96">
        <v>18</v>
      </c>
      <c r="Z29" s="96"/>
      <c r="AA29" s="96"/>
      <c r="AB29" s="96">
        <v>17</v>
      </c>
      <c r="AC29" s="96"/>
      <c r="AD29" s="96"/>
      <c r="AE29" s="96"/>
    </row>
    <row r="30" spans="1:31" x14ac:dyDescent="0.25">
      <c r="A30" s="237" t="str">
        <f t="shared" si="18"/>
        <v>Entrenador</v>
      </c>
      <c r="B30" s="289">
        <f t="shared" si="19"/>
        <v>0.12578198288953094</v>
      </c>
      <c r="D30" s="222" t="s">
        <v>112</v>
      </c>
      <c r="E30" s="223">
        <f>M11</f>
        <v>20460</v>
      </c>
      <c r="F30" s="250">
        <f>E30/E35</f>
        <v>4.0385091387553579E-3</v>
      </c>
      <c r="G30" s="219" t="s">
        <v>129</v>
      </c>
      <c r="H30" s="273">
        <f>M19</f>
        <v>360000</v>
      </c>
      <c r="I30" s="252">
        <f t="shared" si="21"/>
        <v>7.1058811825607471E-2</v>
      </c>
      <c r="K30" s="73"/>
      <c r="L30" s="491" t="s">
        <v>138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>
        <v>29320</v>
      </c>
      <c r="Y30" s="96">
        <v>35860</v>
      </c>
      <c r="Z30" s="96"/>
      <c r="AA30" s="96"/>
      <c r="AB30" s="96">
        <v>28540</v>
      </c>
      <c r="AC30" s="96"/>
      <c r="AD30" s="96"/>
      <c r="AE30" s="96"/>
    </row>
    <row r="31" spans="1:31" x14ac:dyDescent="0.25">
      <c r="A31" s="237" t="str">
        <f t="shared" si="18"/>
        <v>Viajes+Venta</v>
      </c>
      <c r="B31" s="289">
        <f t="shared" si="19"/>
        <v>3.2767915155441627E-3</v>
      </c>
      <c r="D31" s="222" t="s">
        <v>122</v>
      </c>
      <c r="E31" s="223">
        <f>M12</f>
        <v>1063000</v>
      </c>
      <c r="F31" s="250">
        <f>E31/E35</f>
        <v>0.20982088047394648</v>
      </c>
      <c r="G31" s="219" t="s">
        <v>133</v>
      </c>
      <c r="H31" s="273">
        <f>M22</f>
        <v>7000</v>
      </c>
      <c r="I31" s="252">
        <f t="shared" si="21"/>
        <v>1.3816991188312562E-3</v>
      </c>
      <c r="K31" s="73"/>
      <c r="L31" s="491"/>
      <c r="M31" s="98" t="s">
        <v>139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>
        <v>7400</v>
      </c>
      <c r="Y31" s="96">
        <v>7400</v>
      </c>
      <c r="Z31" s="96"/>
      <c r="AA31" s="96"/>
      <c r="AB31" s="96">
        <v>8170</v>
      </c>
      <c r="AC31" s="96"/>
      <c r="AD31" s="96"/>
      <c r="AE31" s="96"/>
    </row>
    <row r="32" spans="1:31" x14ac:dyDescent="0.25">
      <c r="A32" s="237" t="str">
        <f>L24</f>
        <v>Intereses</v>
      </c>
      <c r="B32" s="289">
        <f>M24/$M$25</f>
        <v>0</v>
      </c>
      <c r="D32" s="222" t="s">
        <v>114</v>
      </c>
      <c r="E32" s="223">
        <f>M6</f>
        <v>1099300</v>
      </c>
      <c r="F32" s="250">
        <f>E32/E35</f>
        <v>0.21698597733302857</v>
      </c>
      <c r="G32" s="219" t="s">
        <v>134</v>
      </c>
      <c r="H32" s="273">
        <f>M24</f>
        <v>0</v>
      </c>
      <c r="I32" s="252">
        <f t="shared" si="21"/>
        <v>0</v>
      </c>
      <c r="K32" s="73"/>
      <c r="L32" s="491"/>
      <c r="M32" s="98" t="s">
        <v>140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>
        <v>25570</v>
      </c>
      <c r="Y32" s="96">
        <v>31910</v>
      </c>
      <c r="Z32" s="96"/>
      <c r="AA32" s="96"/>
      <c r="AB32" s="96">
        <v>25490</v>
      </c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2" t="s">
        <v>115</v>
      </c>
      <c r="E33" s="223">
        <f>M7</f>
        <v>856496</v>
      </c>
      <c r="F33" s="250">
        <f>E33/E35</f>
        <v>0.16905996692607081</v>
      </c>
      <c r="G33" s="215"/>
      <c r="H33" s="271"/>
      <c r="I33" s="272"/>
      <c r="K33" s="73"/>
      <c r="L33" s="491"/>
      <c r="M33" s="98" t="s">
        <v>141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>
        <v>5210</v>
      </c>
      <c r="Y33" s="96">
        <v>5250</v>
      </c>
      <c r="Z33" s="96"/>
      <c r="AA33" s="96"/>
      <c r="AB33" s="96">
        <v>6350</v>
      </c>
      <c r="AC33" s="96"/>
      <c r="AD33" s="96"/>
      <c r="AE33" s="96"/>
    </row>
    <row r="34" spans="1:31" ht="18.75" x14ac:dyDescent="0.3">
      <c r="A34" s="7"/>
      <c r="B34" s="97"/>
      <c r="D34" s="275" t="s">
        <v>119</v>
      </c>
      <c r="E34" s="276">
        <f>M10</f>
        <v>0</v>
      </c>
      <c r="F34" s="250">
        <f>E34/E35</f>
        <v>0</v>
      </c>
      <c r="G34" s="277"/>
      <c r="H34" s="278"/>
      <c r="I34" s="279"/>
      <c r="K34" s="73"/>
      <c r="L34" s="491"/>
      <c r="M34" s="98" t="s">
        <v>142</v>
      </c>
      <c r="N34" s="99" t="s">
        <v>143</v>
      </c>
      <c r="O34" s="99" t="s">
        <v>227</v>
      </c>
      <c r="P34" s="99" t="s">
        <v>265</v>
      </c>
      <c r="Q34" s="99" t="s">
        <v>269</v>
      </c>
      <c r="R34" s="99" t="s">
        <v>307</v>
      </c>
      <c r="S34" s="99" t="s">
        <v>311</v>
      </c>
      <c r="T34" s="99" t="s">
        <v>312</v>
      </c>
      <c r="U34" s="99"/>
      <c r="V34" s="99"/>
      <c r="W34" s="99" t="s">
        <v>329</v>
      </c>
      <c r="X34" s="99" t="s">
        <v>336</v>
      </c>
      <c r="Y34" s="99" t="s">
        <v>340</v>
      </c>
      <c r="Z34" s="99"/>
      <c r="AA34" s="99"/>
      <c r="AB34" s="99" t="s">
        <v>349</v>
      </c>
      <c r="AC34" s="99"/>
      <c r="AD34" s="99"/>
      <c r="AE34" s="99"/>
    </row>
    <row r="35" spans="1:31" ht="18.75" x14ac:dyDescent="0.3">
      <c r="A35" s="493">
        <f>M25</f>
        <v>2136236</v>
      </c>
      <c r="B35" s="493"/>
      <c r="D35" s="280" t="s">
        <v>206</v>
      </c>
      <c r="E35" s="281">
        <f>E29+E21+E15+E5+E10+E24</f>
        <v>5066226</v>
      </c>
      <c r="F35" s="224">
        <f>F29+F21+F15+F5+F10+F24</f>
        <v>1</v>
      </c>
      <c r="G35" s="280" t="s">
        <v>206</v>
      </c>
      <c r="H35" s="281">
        <f>H26+H18+H10+H5+H22</f>
        <v>5066226</v>
      </c>
      <c r="I35" s="282">
        <f>H35/$H$35</f>
        <v>1</v>
      </c>
      <c r="K35" s="73"/>
      <c r="L35" s="491"/>
      <c r="M35" s="98" t="s">
        <v>144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>
        <v>5.5</v>
      </c>
      <c r="Y35" s="100">
        <v>5.5</v>
      </c>
      <c r="Z35" s="100"/>
      <c r="AA35" s="100"/>
      <c r="AB35" s="100">
        <v>5.75</v>
      </c>
      <c r="AC35" s="100"/>
      <c r="AD35" s="100"/>
      <c r="AE35" s="100"/>
    </row>
    <row r="36" spans="1:31" x14ac:dyDescent="0.25">
      <c r="E36" s="197"/>
      <c r="F36" s="225"/>
      <c r="G36" s="226"/>
      <c r="H36" s="227">
        <f>E35-H35</f>
        <v>0</v>
      </c>
      <c r="I36" s="197"/>
      <c r="K36" s="61"/>
      <c r="L36" s="491"/>
      <c r="M36" s="98" t="s">
        <v>145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>
        <v>6</v>
      </c>
      <c r="Y36" s="100">
        <v>6</v>
      </c>
      <c r="Z36" s="100"/>
      <c r="AA36" s="100"/>
      <c r="AB36" s="100">
        <v>6.25</v>
      </c>
      <c r="AC36" s="100"/>
      <c r="AD36" s="100"/>
      <c r="AE36" s="100"/>
    </row>
    <row r="37" spans="1:31" x14ac:dyDescent="0.25">
      <c r="E37" s="197"/>
      <c r="F37" s="197"/>
      <c r="H37" s="197"/>
      <c r="I37" s="197"/>
      <c r="K37" s="61"/>
      <c r="L37" s="491"/>
      <c r="M37" s="98" t="s">
        <v>146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>
        <v>2.75</v>
      </c>
      <c r="Y37" s="100">
        <v>2.75</v>
      </c>
      <c r="Z37" s="100"/>
      <c r="AA37" s="100"/>
      <c r="AB37" s="100">
        <v>2.75</v>
      </c>
      <c r="AC37" s="100"/>
      <c r="AD37" s="100"/>
      <c r="AE37" s="100"/>
    </row>
    <row r="38" spans="1:31" ht="15.75" x14ac:dyDescent="0.25">
      <c r="D38" s="228"/>
      <c r="E38" s="229"/>
      <c r="F38" s="197"/>
      <c r="G38" s="230"/>
      <c r="H38" s="231"/>
      <c r="I38" s="231"/>
      <c r="K38" s="61"/>
      <c r="L38" s="61"/>
      <c r="M38" s="101" t="s">
        <v>147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>
        <f t="shared" si="25"/>
        <v>3.9621621621621621</v>
      </c>
      <c r="Y38" s="102">
        <f t="shared" si="25"/>
        <v>4.845945945945946</v>
      </c>
      <c r="Z38" s="102" t="e">
        <f t="shared" si="25"/>
        <v>#DIV/0!</v>
      </c>
      <c r="AA38" s="102" t="e">
        <f t="shared" si="25"/>
        <v>#DIV/0!</v>
      </c>
      <c r="AB38" s="102">
        <f t="shared" si="25"/>
        <v>3.4932680538555694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1"/>
      <c r="F39" s="197"/>
      <c r="H39" s="197"/>
      <c r="I39" s="197"/>
      <c r="K39" s="61"/>
      <c r="L39" s="61"/>
      <c r="M39" s="61"/>
      <c r="N39" s="61"/>
      <c r="O39" s="62"/>
      <c r="P39" s="74"/>
      <c r="Q39" s="494"/>
      <c r="R39" s="494"/>
      <c r="S39" s="494"/>
      <c r="T39" s="494"/>
    </row>
    <row r="40" spans="1:31" x14ac:dyDescent="0.25">
      <c r="E40" s="197"/>
      <c r="F40" s="197"/>
      <c r="H40" s="197"/>
      <c r="I40" s="197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368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84"/>
      <c r="R42" s="484"/>
      <c r="S42" s="484"/>
      <c r="T42" s="484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84"/>
      <c r="R44" s="484"/>
      <c r="S44" s="484"/>
      <c r="T44" s="484"/>
      <c r="Z44" s="104"/>
    </row>
    <row r="45" spans="1:31" x14ac:dyDescent="0.25">
      <c r="K45" s="61"/>
      <c r="L45" s="61"/>
      <c r="M45" s="61"/>
      <c r="N45" s="61"/>
      <c r="P45" s="74"/>
      <c r="Q45" s="484"/>
      <c r="R45" s="484"/>
      <c r="S45" s="484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5" t="s">
        <v>181</v>
      </c>
      <c r="N1" s="145" t="s">
        <v>182</v>
      </c>
      <c r="O1" s="145" t="s">
        <v>183</v>
      </c>
      <c r="P1" s="145" t="s">
        <v>184</v>
      </c>
      <c r="Q1" s="145" t="s">
        <v>185</v>
      </c>
      <c r="R1" s="145" t="s">
        <v>186</v>
      </c>
      <c r="S1" s="145" t="s">
        <v>187</v>
      </c>
      <c r="U1" s="145" t="s">
        <v>188</v>
      </c>
    </row>
    <row r="2" spans="1:35" x14ac:dyDescent="0.25">
      <c r="C2" s="146" t="s">
        <v>189</v>
      </c>
      <c r="D2" s="495" t="s">
        <v>190</v>
      </c>
      <c r="E2" s="495"/>
      <c r="F2" s="496" t="s">
        <v>191</v>
      </c>
      <c r="G2" s="496"/>
      <c r="H2" s="497" t="s">
        <v>192</v>
      </c>
      <c r="I2" s="497"/>
      <c r="K2" s="60"/>
      <c r="M2" s="147">
        <v>11</v>
      </c>
      <c r="N2" s="148">
        <v>14.98</v>
      </c>
      <c r="O2" s="148">
        <v>5.95</v>
      </c>
      <c r="P2" s="149">
        <f t="shared" ref="P2:P12" si="0">U2*0.97</f>
        <v>5.3253000000000004</v>
      </c>
      <c r="Q2" s="148">
        <v>0.68</v>
      </c>
      <c r="R2" s="150">
        <v>27.09</v>
      </c>
      <c r="U2" s="148">
        <v>5.49</v>
      </c>
    </row>
    <row r="3" spans="1:35" x14ac:dyDescent="0.25">
      <c r="A3" s="151" t="s">
        <v>193</v>
      </c>
      <c r="B3" s="152">
        <f>B4+B5+B6+B7</f>
        <v>14287</v>
      </c>
      <c r="C3" s="153">
        <f>C4+C5+C6+C7</f>
        <v>15763.329599999999</v>
      </c>
      <c r="D3" s="25" t="s">
        <v>194</v>
      </c>
      <c r="E3" s="25" t="s">
        <v>195</v>
      </c>
      <c r="F3" s="25" t="s">
        <v>194</v>
      </c>
      <c r="G3" s="25" t="s">
        <v>196</v>
      </c>
      <c r="H3" s="25" t="s">
        <v>194</v>
      </c>
      <c r="I3" s="154" t="s">
        <v>197</v>
      </c>
      <c r="J3" s="25" t="s">
        <v>198</v>
      </c>
      <c r="K3" s="25" t="s">
        <v>199</v>
      </c>
      <c r="M3" s="147">
        <v>10</v>
      </c>
      <c r="N3" s="155">
        <v>14.23</v>
      </c>
      <c r="O3" s="155">
        <v>5.59</v>
      </c>
      <c r="P3" s="149">
        <f t="shared" si="0"/>
        <v>4.9179000000000004</v>
      </c>
      <c r="Q3" s="155">
        <v>0.62</v>
      </c>
      <c r="R3" s="156">
        <v>25.52</v>
      </c>
      <c r="U3" s="155">
        <v>5.07</v>
      </c>
    </row>
    <row r="4" spans="1:35" x14ac:dyDescent="0.25">
      <c r="A4" s="151" t="s">
        <v>200</v>
      </c>
      <c r="B4" s="152">
        <v>8389</v>
      </c>
      <c r="C4" s="157">
        <v>9255.7199999999993</v>
      </c>
      <c r="D4" s="158">
        <v>45</v>
      </c>
      <c r="E4" s="159">
        <f>D4*(C4-B4)</f>
        <v>39002.399999999972</v>
      </c>
      <c r="F4" s="160">
        <v>0.5</v>
      </c>
      <c r="G4" s="159">
        <f>(C4-B4)*F4</f>
        <v>433.35999999999967</v>
      </c>
      <c r="H4" s="160">
        <v>7</v>
      </c>
      <c r="I4" s="161">
        <f>(C4-B4)*H4</f>
        <v>6067.0399999999954</v>
      </c>
      <c r="J4" s="159">
        <f>H4*C4</f>
        <v>64790.039999999994</v>
      </c>
      <c r="K4" s="25">
        <f>B4*F4</f>
        <v>4194.5</v>
      </c>
      <c r="L4" s="68">
        <f>5000*N13*F4</f>
        <v>1382.4289405684756</v>
      </c>
      <c r="M4" s="147">
        <v>9</v>
      </c>
      <c r="N4" s="148">
        <v>13.49</v>
      </c>
      <c r="O4" s="148">
        <v>5.24</v>
      </c>
      <c r="P4" s="149">
        <f t="shared" si="0"/>
        <v>4.5202</v>
      </c>
      <c r="Q4" s="148">
        <v>0.56999999999999995</v>
      </c>
      <c r="R4" s="150">
        <v>23.95</v>
      </c>
      <c r="U4" s="148">
        <v>4.66</v>
      </c>
    </row>
    <row r="5" spans="1:35" x14ac:dyDescent="0.25">
      <c r="A5" s="151" t="s">
        <v>201</v>
      </c>
      <c r="B5" s="152">
        <v>3107</v>
      </c>
      <c r="C5" s="162">
        <v>3427.74</v>
      </c>
      <c r="D5" s="163">
        <v>75</v>
      </c>
      <c r="E5" s="159">
        <f>D5*(C5-B5)</f>
        <v>24055.499999999985</v>
      </c>
      <c r="F5" s="164">
        <v>0.7</v>
      </c>
      <c r="G5" s="159">
        <f>(C5-B5)*F5</f>
        <v>224.51799999999983</v>
      </c>
      <c r="H5" s="164">
        <v>10</v>
      </c>
      <c r="I5" s="161">
        <f>(C5-B5)*H5</f>
        <v>3207.3999999999978</v>
      </c>
      <c r="J5" s="159">
        <f>H5*C5</f>
        <v>34277.399999999994</v>
      </c>
      <c r="K5" s="25">
        <f>B5*F5</f>
        <v>2174.8999999999996</v>
      </c>
      <c r="L5" s="68">
        <f>5000*O13*F5</f>
        <v>768.73385012919903</v>
      </c>
      <c r="M5" s="147">
        <v>8</v>
      </c>
      <c r="N5" s="155">
        <v>12.74</v>
      </c>
      <c r="O5" s="155">
        <v>4.8899999999999997</v>
      </c>
      <c r="P5" s="149">
        <f t="shared" si="0"/>
        <v>4.1224999999999996</v>
      </c>
      <c r="Q5" s="155">
        <v>0.51</v>
      </c>
      <c r="R5" s="156">
        <v>22.39</v>
      </c>
      <c r="U5" s="155">
        <v>4.25</v>
      </c>
    </row>
    <row r="6" spans="1:35" x14ac:dyDescent="0.25">
      <c r="A6" s="151" t="s">
        <v>202</v>
      </c>
      <c r="B6" s="152">
        <v>2486</v>
      </c>
      <c r="C6" s="162">
        <v>2742.8496</v>
      </c>
      <c r="D6" s="158">
        <v>90</v>
      </c>
      <c r="E6" s="159">
        <f>D6*(C6-B6)</f>
        <v>23116.464</v>
      </c>
      <c r="F6" s="160">
        <v>1</v>
      </c>
      <c r="G6" s="159">
        <f>(C6-B6)*F6</f>
        <v>256.84960000000001</v>
      </c>
      <c r="H6" s="160">
        <v>19</v>
      </c>
      <c r="I6" s="161">
        <f>(C6-B6)*H6</f>
        <v>4880.1424000000006</v>
      </c>
      <c r="J6" s="159">
        <f>H6*C6</f>
        <v>52114.142399999997</v>
      </c>
      <c r="K6" s="25">
        <f>B6*F6</f>
        <v>2486</v>
      </c>
      <c r="L6" s="68">
        <f>5000*P13*F6</f>
        <v>982.89036544850512</v>
      </c>
      <c r="M6" s="147">
        <v>7</v>
      </c>
      <c r="N6" s="148">
        <v>12</v>
      </c>
      <c r="O6" s="148">
        <v>4.53</v>
      </c>
      <c r="P6" s="149">
        <f t="shared" si="0"/>
        <v>3.7247999999999997</v>
      </c>
      <c r="Q6" s="148">
        <v>0.46</v>
      </c>
      <c r="R6" s="150">
        <v>20.83</v>
      </c>
      <c r="U6" s="148">
        <v>3.84</v>
      </c>
    </row>
    <row r="7" spans="1:35" x14ac:dyDescent="0.25">
      <c r="A7" s="151" t="s">
        <v>203</v>
      </c>
      <c r="B7" s="152">
        <v>305</v>
      </c>
      <c r="C7" s="165">
        <v>337.02</v>
      </c>
      <c r="D7" s="163">
        <v>300</v>
      </c>
      <c r="E7" s="159">
        <f>D7*(C7-B7)</f>
        <v>9605.9999999999945</v>
      </c>
      <c r="F7" s="164">
        <v>2.5</v>
      </c>
      <c r="G7" s="159">
        <f>(C7-B7)*F7</f>
        <v>80.049999999999955</v>
      </c>
      <c r="H7" s="164">
        <v>35</v>
      </c>
      <c r="I7" s="161">
        <f>(C7-B7)*H7</f>
        <v>1120.6999999999994</v>
      </c>
      <c r="J7" s="159">
        <f>H7*C7</f>
        <v>11795.699999999999</v>
      </c>
      <c r="K7" s="25">
        <f>B7*F7</f>
        <v>762.5</v>
      </c>
      <c r="L7" s="68">
        <f>5000*Q13*F7</f>
        <v>313.76891842008126</v>
      </c>
      <c r="M7" s="147">
        <v>6</v>
      </c>
      <c r="N7" s="155">
        <v>11.26</v>
      </c>
      <c r="O7" s="155">
        <v>4.17</v>
      </c>
      <c r="P7" s="149">
        <f t="shared" si="0"/>
        <v>3.3367999999999998</v>
      </c>
      <c r="Q7" s="155">
        <v>0.41</v>
      </c>
      <c r="R7" s="156">
        <v>19.27</v>
      </c>
      <c r="U7" s="155">
        <v>3.44</v>
      </c>
    </row>
    <row r="8" spans="1:35" x14ac:dyDescent="0.25">
      <c r="C8" s="166">
        <f>C4/$C$3</f>
        <v>0.58716782779191523</v>
      </c>
      <c r="J8" s="159">
        <f>J7+J6+J5+J4</f>
        <v>162977.28239999997</v>
      </c>
      <c r="K8" s="25">
        <f>K7+K6+K5+K4</f>
        <v>9617.9</v>
      </c>
      <c r="L8" s="25">
        <f>L7+L6+L5+L4</f>
        <v>3447.8220745662611</v>
      </c>
      <c r="M8" s="147">
        <v>5</v>
      </c>
      <c r="N8" s="148">
        <v>10.52</v>
      </c>
      <c r="O8" s="148">
        <v>3.81</v>
      </c>
      <c r="P8" s="149">
        <f t="shared" si="0"/>
        <v>2.9390999999999998</v>
      </c>
      <c r="Q8" s="148">
        <v>0.35</v>
      </c>
      <c r="R8" s="150">
        <v>17.72</v>
      </c>
      <c r="U8" s="148">
        <v>3.03</v>
      </c>
    </row>
    <row r="9" spans="1:35" x14ac:dyDescent="0.25">
      <c r="C9" s="167">
        <f>C5/$C$3</f>
        <v>0.21745025238830254</v>
      </c>
      <c r="E9" s="168">
        <f>C4-B4</f>
        <v>866.71999999999935</v>
      </c>
      <c r="H9">
        <f>H10+H11+H12+H13</f>
        <v>71304</v>
      </c>
      <c r="M9" s="147">
        <v>4</v>
      </c>
      <c r="N9" s="155">
        <v>9.8000000000000007</v>
      </c>
      <c r="O9" s="155">
        <v>3.46</v>
      </c>
      <c r="P9" s="149">
        <f t="shared" si="0"/>
        <v>2.5510999999999999</v>
      </c>
      <c r="Q9" s="155">
        <v>0.3</v>
      </c>
      <c r="R9" s="156">
        <v>16.170000000000002</v>
      </c>
      <c r="U9" s="155">
        <v>2.63</v>
      </c>
    </row>
    <row r="10" spans="1:35" x14ac:dyDescent="0.25">
      <c r="B10" s="169">
        <f>B11/B13</f>
        <v>9.4535503772704033E-2</v>
      </c>
      <c r="C10" s="167">
        <f>C6/$C$3</f>
        <v>0.17400191898544076</v>
      </c>
      <c r="E10" s="168">
        <f>C5-B5</f>
        <v>320.73999999999978</v>
      </c>
      <c r="H10">
        <v>40146</v>
      </c>
      <c r="I10" s="170">
        <f>H10/$H$9</f>
        <v>0.56302591719959605</v>
      </c>
      <c r="M10" s="147">
        <v>3</v>
      </c>
      <c r="N10" s="148">
        <v>9.09</v>
      </c>
      <c r="O10" s="148">
        <v>3.1</v>
      </c>
      <c r="P10" s="149">
        <f t="shared" si="0"/>
        <v>2.1436999999999999</v>
      </c>
      <c r="Q10" s="148">
        <v>0.24</v>
      </c>
      <c r="R10" s="150">
        <v>14.63</v>
      </c>
      <c r="U10" s="148">
        <v>2.21</v>
      </c>
    </row>
    <row r="11" spans="1:35" x14ac:dyDescent="0.25">
      <c r="A11" s="171" t="s">
        <v>204</v>
      </c>
      <c r="B11" s="172">
        <v>10000</v>
      </c>
      <c r="C11" s="167">
        <f>C7/$C$3</f>
        <v>2.1380000834341495E-2</v>
      </c>
      <c r="E11" s="168">
        <f>C6-B6</f>
        <v>256.84960000000001</v>
      </c>
      <c r="H11">
        <v>15594</v>
      </c>
      <c r="I11" s="170">
        <f>H11/$H$9</f>
        <v>0.21869740828004039</v>
      </c>
      <c r="M11" s="147">
        <v>2</v>
      </c>
      <c r="N11" s="155">
        <v>8.42</v>
      </c>
      <c r="O11" s="155">
        <v>2.73</v>
      </c>
      <c r="P11" s="149">
        <f t="shared" si="0"/>
        <v>1.7168999999999999</v>
      </c>
      <c r="Q11" s="155">
        <v>0.18</v>
      </c>
      <c r="R11" s="156">
        <v>13.09</v>
      </c>
      <c r="U11" s="155">
        <v>1.77</v>
      </c>
    </row>
    <row r="12" spans="1:35" x14ac:dyDescent="0.25">
      <c r="A12" s="171" t="s">
        <v>205</v>
      </c>
      <c r="B12" s="173">
        <f>E7+E6+E5+E4</f>
        <v>95780.363999999943</v>
      </c>
      <c r="E12" s="168">
        <f>C7-B7</f>
        <v>32.019999999999982</v>
      </c>
      <c r="H12">
        <v>13868</v>
      </c>
      <c r="I12" s="170">
        <f>H12/$H$9</f>
        <v>0.19449119263996409</v>
      </c>
      <c r="M12" s="147">
        <v>1</v>
      </c>
      <c r="N12" s="148">
        <v>7.85</v>
      </c>
      <c r="O12" s="148">
        <v>2.34</v>
      </c>
      <c r="P12" s="149">
        <f t="shared" si="0"/>
        <v>1.1931</v>
      </c>
      <c r="Q12" s="148">
        <v>0.1</v>
      </c>
      <c r="R12" s="150">
        <v>11.53</v>
      </c>
      <c r="U12" s="148">
        <v>1.23</v>
      </c>
    </row>
    <row r="13" spans="1:35" x14ac:dyDescent="0.25">
      <c r="A13" s="174" t="s">
        <v>206</v>
      </c>
      <c r="B13" s="175">
        <f>B11+B12</f>
        <v>105780.36399999994</v>
      </c>
      <c r="H13">
        <v>1696</v>
      </c>
      <c r="I13" s="170">
        <f>H13/$H$9</f>
        <v>2.3785481880399417E-2</v>
      </c>
      <c r="N13">
        <f>N2/R2</f>
        <v>0.55297157622739024</v>
      </c>
      <c r="O13">
        <f>O2/R2</f>
        <v>0.21963824289405687</v>
      </c>
      <c r="P13" s="149">
        <f>P2/R2</f>
        <v>0.19657807308970102</v>
      </c>
      <c r="Q13">
        <f>Q2/R2</f>
        <v>2.51015134736065E-2</v>
      </c>
    </row>
    <row r="15" spans="1:35" x14ac:dyDescent="0.25">
      <c r="A15" s="7"/>
      <c r="B15" s="176" t="s">
        <v>98</v>
      </c>
      <c r="C15" s="176" t="s">
        <v>99</v>
      </c>
      <c r="D15" s="176" t="s">
        <v>100</v>
      </c>
      <c r="E15" s="176" t="s">
        <v>101</v>
      </c>
      <c r="F15" s="176" t="s">
        <v>102</v>
      </c>
      <c r="G15" s="176" t="s">
        <v>103</v>
      </c>
      <c r="H15" s="176" t="s">
        <v>104</v>
      </c>
      <c r="I15" s="176" t="s">
        <v>105</v>
      </c>
      <c r="J15" s="176" t="s">
        <v>106</v>
      </c>
      <c r="K15" s="176" t="s">
        <v>107</v>
      </c>
      <c r="L15" s="176" t="s">
        <v>108</v>
      </c>
      <c r="M15" s="176" t="s">
        <v>109</v>
      </c>
      <c r="N15" s="176" t="s">
        <v>110</v>
      </c>
      <c r="O15" s="176" t="s">
        <v>111</v>
      </c>
      <c r="P15" s="176" t="s">
        <v>96</v>
      </c>
      <c r="Q15" s="176" t="s">
        <v>97</v>
      </c>
      <c r="R15" s="176" t="s">
        <v>98</v>
      </c>
      <c r="S15" s="176" t="s">
        <v>99</v>
      </c>
      <c r="T15" s="176" t="s">
        <v>100</v>
      </c>
      <c r="U15" s="176" t="s">
        <v>101</v>
      </c>
      <c r="V15" s="176" t="s">
        <v>102</v>
      </c>
      <c r="W15" s="176" t="s">
        <v>103</v>
      </c>
      <c r="X15" s="176" t="s">
        <v>104</v>
      </c>
      <c r="Y15" s="176" t="s">
        <v>105</v>
      </c>
      <c r="Z15" s="176" t="s">
        <v>106</v>
      </c>
      <c r="AA15" s="176" t="s">
        <v>107</v>
      </c>
      <c r="AB15" s="176" t="s">
        <v>108</v>
      </c>
      <c r="AC15" s="176" t="s">
        <v>109</v>
      </c>
      <c r="AD15" s="176" t="s">
        <v>110</v>
      </c>
      <c r="AE15" s="176" t="s">
        <v>111</v>
      </c>
      <c r="AF15" s="176" t="s">
        <v>96</v>
      </c>
      <c r="AG15" s="176" t="s">
        <v>97</v>
      </c>
      <c r="AH15" s="176"/>
      <c r="AI15" s="176"/>
    </row>
    <row r="16" spans="1:35" x14ac:dyDescent="0.25">
      <c r="A16" s="177" t="s">
        <v>207</v>
      </c>
      <c r="B16" s="178">
        <v>612</v>
      </c>
      <c r="C16" s="178">
        <f>B16+35</f>
        <v>647</v>
      </c>
      <c r="D16" s="178">
        <f t="shared" ref="D16:AD16" si="1">C16+35</f>
        <v>682</v>
      </c>
      <c r="E16" s="178">
        <f t="shared" si="1"/>
        <v>717</v>
      </c>
      <c r="F16" s="178">
        <f t="shared" si="1"/>
        <v>752</v>
      </c>
      <c r="G16" s="178">
        <f t="shared" si="1"/>
        <v>787</v>
      </c>
      <c r="H16" s="178">
        <f t="shared" si="1"/>
        <v>822</v>
      </c>
      <c r="I16" s="178">
        <f t="shared" si="1"/>
        <v>857</v>
      </c>
      <c r="J16" s="178">
        <f t="shared" si="1"/>
        <v>892</v>
      </c>
      <c r="K16" s="178">
        <f t="shared" si="1"/>
        <v>927</v>
      </c>
      <c r="L16" s="178">
        <f t="shared" si="1"/>
        <v>962</v>
      </c>
      <c r="M16" s="178">
        <f t="shared" si="1"/>
        <v>997</v>
      </c>
      <c r="N16" s="178">
        <f t="shared" si="1"/>
        <v>1032</v>
      </c>
      <c r="O16" s="178">
        <f t="shared" si="1"/>
        <v>1067</v>
      </c>
      <c r="P16" s="178">
        <f t="shared" si="1"/>
        <v>1102</v>
      </c>
      <c r="Q16" s="178">
        <f t="shared" si="1"/>
        <v>1137</v>
      </c>
      <c r="R16" s="178">
        <f t="shared" si="1"/>
        <v>1172</v>
      </c>
      <c r="S16" s="178">
        <f t="shared" si="1"/>
        <v>1207</v>
      </c>
      <c r="T16" s="178">
        <f t="shared" si="1"/>
        <v>1242</v>
      </c>
      <c r="U16" s="178">
        <f t="shared" si="1"/>
        <v>1277</v>
      </c>
      <c r="V16" s="178">
        <f t="shared" si="1"/>
        <v>1312</v>
      </c>
      <c r="W16" s="178">
        <f t="shared" si="1"/>
        <v>1347</v>
      </c>
      <c r="X16" s="178">
        <f t="shared" si="1"/>
        <v>1382</v>
      </c>
      <c r="Y16" s="178">
        <f t="shared" si="1"/>
        <v>1417</v>
      </c>
      <c r="Z16" s="178">
        <f t="shared" si="1"/>
        <v>1452</v>
      </c>
      <c r="AA16" s="178">
        <f t="shared" si="1"/>
        <v>1487</v>
      </c>
      <c r="AB16" s="178">
        <f t="shared" si="1"/>
        <v>1522</v>
      </c>
      <c r="AC16" s="178">
        <f t="shared" si="1"/>
        <v>1557</v>
      </c>
      <c r="AD16" s="178">
        <f t="shared" si="1"/>
        <v>1592</v>
      </c>
      <c r="AE16" s="178"/>
      <c r="AF16" s="177"/>
      <c r="AG16" s="177"/>
      <c r="AH16" s="177"/>
      <c r="AI16" s="177"/>
    </row>
    <row r="17" spans="1:48" x14ac:dyDescent="0.25">
      <c r="A17" s="177"/>
      <c r="B17" s="178">
        <f t="shared" ref="B17:AD17" si="2">B18+B19+B20+B21</f>
        <v>11736.2016</v>
      </c>
      <c r="C17" s="178">
        <f t="shared" si="2"/>
        <v>12407.389599999999</v>
      </c>
      <c r="D17" s="178">
        <f t="shared" si="2"/>
        <v>13078.577600000001</v>
      </c>
      <c r="E17" s="178">
        <f t="shared" si="2"/>
        <v>13749.765599999999</v>
      </c>
      <c r="F17" s="178">
        <f t="shared" si="2"/>
        <v>14420.953600000001</v>
      </c>
      <c r="G17" s="178">
        <f t="shared" si="2"/>
        <v>15092.141600000001</v>
      </c>
      <c r="H17" s="178">
        <f t="shared" si="2"/>
        <v>15763.329599999999</v>
      </c>
      <c r="I17" s="178">
        <f t="shared" si="2"/>
        <v>16434.517599999999</v>
      </c>
      <c r="J17" s="178">
        <f t="shared" si="2"/>
        <v>17105.705600000001</v>
      </c>
      <c r="K17" s="178">
        <f t="shared" si="2"/>
        <v>17776.893599999999</v>
      </c>
      <c r="L17" s="178">
        <f t="shared" si="2"/>
        <v>18448.081599999998</v>
      </c>
      <c r="M17" s="178">
        <f t="shared" si="2"/>
        <v>19119.2696</v>
      </c>
      <c r="N17" s="178">
        <f t="shared" si="2"/>
        <v>19790.457599999998</v>
      </c>
      <c r="O17" s="178">
        <f t="shared" si="2"/>
        <v>20461.645600000003</v>
      </c>
      <c r="P17" s="178">
        <f t="shared" si="2"/>
        <v>21132.833599999998</v>
      </c>
      <c r="Q17" s="178">
        <f t="shared" si="2"/>
        <v>21804.021599999996</v>
      </c>
      <c r="R17" s="178">
        <f t="shared" si="2"/>
        <v>22475.209599999998</v>
      </c>
      <c r="S17" s="178">
        <f t="shared" si="2"/>
        <v>23146.397599999997</v>
      </c>
      <c r="T17" s="178">
        <f t="shared" si="2"/>
        <v>23817.585600000002</v>
      </c>
      <c r="U17" s="178">
        <f t="shared" si="2"/>
        <v>24488.7736</v>
      </c>
      <c r="V17" s="178">
        <f t="shared" si="2"/>
        <v>25159.961599999999</v>
      </c>
      <c r="W17" s="178">
        <f t="shared" si="2"/>
        <v>25831.149600000001</v>
      </c>
      <c r="X17" s="178">
        <f t="shared" si="2"/>
        <v>26502.337599999995</v>
      </c>
      <c r="Y17" s="178">
        <f t="shared" si="2"/>
        <v>27173.525600000001</v>
      </c>
      <c r="Z17" s="178">
        <f t="shared" si="2"/>
        <v>27844.713599999999</v>
      </c>
      <c r="AA17" s="178">
        <f t="shared" si="2"/>
        <v>28515.901599999997</v>
      </c>
      <c r="AB17" s="178">
        <f t="shared" si="2"/>
        <v>29187.089599999999</v>
      </c>
      <c r="AC17" s="178">
        <f t="shared" si="2"/>
        <v>29858.277599999998</v>
      </c>
      <c r="AD17" s="178">
        <f t="shared" si="2"/>
        <v>30529.4656</v>
      </c>
      <c r="AE17" s="178"/>
      <c r="AF17" s="178"/>
      <c r="AG17" s="178"/>
      <c r="AH17" s="178"/>
      <c r="AI17" s="178"/>
    </row>
    <row r="18" spans="1:48" x14ac:dyDescent="0.25">
      <c r="A18" s="179" t="s">
        <v>208</v>
      </c>
      <c r="B18" s="180">
        <f>B16*$N$7</f>
        <v>6891.12</v>
      </c>
      <c r="C18" s="180">
        <f t="shared" ref="C18:AD18" si="3">C16*$N$7</f>
        <v>7285.22</v>
      </c>
      <c r="D18" s="180">
        <f t="shared" si="3"/>
        <v>7679.32</v>
      </c>
      <c r="E18" s="180">
        <f t="shared" si="3"/>
        <v>8073.42</v>
      </c>
      <c r="F18" s="180">
        <f t="shared" si="3"/>
        <v>8467.52</v>
      </c>
      <c r="G18" s="180">
        <f t="shared" si="3"/>
        <v>8861.619999999999</v>
      </c>
      <c r="H18" s="180">
        <f t="shared" si="3"/>
        <v>9255.7199999999993</v>
      </c>
      <c r="I18" s="180">
        <f t="shared" si="3"/>
        <v>9649.82</v>
      </c>
      <c r="J18" s="180">
        <f t="shared" si="3"/>
        <v>10043.92</v>
      </c>
      <c r="K18" s="180">
        <f t="shared" si="3"/>
        <v>10438.02</v>
      </c>
      <c r="L18" s="180">
        <f t="shared" si="3"/>
        <v>10832.119999999999</v>
      </c>
      <c r="M18" s="180">
        <f t="shared" si="3"/>
        <v>11226.22</v>
      </c>
      <c r="N18" s="180">
        <f t="shared" si="3"/>
        <v>11620.32</v>
      </c>
      <c r="O18" s="180">
        <f t="shared" si="3"/>
        <v>12014.42</v>
      </c>
      <c r="P18" s="180">
        <f t="shared" si="3"/>
        <v>12408.52</v>
      </c>
      <c r="Q18" s="180">
        <f t="shared" si="3"/>
        <v>12802.619999999999</v>
      </c>
      <c r="R18" s="180">
        <f t="shared" si="3"/>
        <v>13196.72</v>
      </c>
      <c r="S18" s="180">
        <f t="shared" si="3"/>
        <v>13590.82</v>
      </c>
      <c r="T18" s="180">
        <f t="shared" si="3"/>
        <v>13984.92</v>
      </c>
      <c r="U18" s="180">
        <f t="shared" si="3"/>
        <v>14379.02</v>
      </c>
      <c r="V18" s="180">
        <f t="shared" si="3"/>
        <v>14773.119999999999</v>
      </c>
      <c r="W18" s="180">
        <f t="shared" si="3"/>
        <v>15167.22</v>
      </c>
      <c r="X18" s="180">
        <f t="shared" si="3"/>
        <v>15561.32</v>
      </c>
      <c r="Y18" s="180">
        <f t="shared" si="3"/>
        <v>15955.42</v>
      </c>
      <c r="Z18" s="180">
        <f t="shared" si="3"/>
        <v>16349.52</v>
      </c>
      <c r="AA18" s="180">
        <f t="shared" si="3"/>
        <v>16743.62</v>
      </c>
      <c r="AB18" s="180">
        <f t="shared" si="3"/>
        <v>17137.72</v>
      </c>
      <c r="AC18" s="180">
        <f t="shared" si="3"/>
        <v>17531.82</v>
      </c>
      <c r="AD18" s="180">
        <f t="shared" si="3"/>
        <v>17925.919999999998</v>
      </c>
      <c r="AE18" s="180"/>
      <c r="AF18" s="180"/>
      <c r="AG18" s="180"/>
      <c r="AH18" s="180"/>
      <c r="AI18" s="18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79" t="s">
        <v>209</v>
      </c>
      <c r="B19" s="180">
        <f>B16*$O$7</f>
        <v>2552.04</v>
      </c>
      <c r="C19" s="180">
        <f t="shared" ref="C19:AD19" si="4">C16*$O$7</f>
        <v>2697.99</v>
      </c>
      <c r="D19" s="180">
        <f t="shared" si="4"/>
        <v>2843.94</v>
      </c>
      <c r="E19" s="180">
        <f t="shared" si="4"/>
        <v>2989.89</v>
      </c>
      <c r="F19" s="180">
        <f t="shared" si="4"/>
        <v>3135.84</v>
      </c>
      <c r="G19" s="180">
        <f t="shared" si="4"/>
        <v>3281.79</v>
      </c>
      <c r="H19" s="180">
        <f t="shared" si="4"/>
        <v>3427.74</v>
      </c>
      <c r="I19" s="180">
        <f t="shared" si="4"/>
        <v>3573.69</v>
      </c>
      <c r="J19" s="180">
        <f t="shared" si="4"/>
        <v>3719.64</v>
      </c>
      <c r="K19" s="180">
        <f t="shared" si="4"/>
        <v>3865.59</v>
      </c>
      <c r="L19" s="180">
        <f t="shared" si="4"/>
        <v>4011.54</v>
      </c>
      <c r="M19" s="180">
        <f t="shared" si="4"/>
        <v>4157.49</v>
      </c>
      <c r="N19" s="180">
        <f t="shared" si="4"/>
        <v>4303.4399999999996</v>
      </c>
      <c r="O19" s="180">
        <f t="shared" si="4"/>
        <v>4449.3900000000003</v>
      </c>
      <c r="P19" s="180">
        <f t="shared" si="4"/>
        <v>4595.34</v>
      </c>
      <c r="Q19" s="180">
        <f t="shared" si="4"/>
        <v>4741.29</v>
      </c>
      <c r="R19" s="180">
        <f t="shared" si="4"/>
        <v>4887.24</v>
      </c>
      <c r="S19" s="180">
        <f t="shared" si="4"/>
        <v>5033.1899999999996</v>
      </c>
      <c r="T19" s="180">
        <f t="shared" si="4"/>
        <v>5179.1400000000003</v>
      </c>
      <c r="U19" s="180">
        <f t="shared" si="4"/>
        <v>5325.09</v>
      </c>
      <c r="V19" s="180">
        <f t="shared" si="4"/>
        <v>5471.04</v>
      </c>
      <c r="W19" s="180">
        <f t="shared" si="4"/>
        <v>5616.99</v>
      </c>
      <c r="X19" s="180">
        <f t="shared" si="4"/>
        <v>5762.94</v>
      </c>
      <c r="Y19" s="180">
        <f t="shared" si="4"/>
        <v>5908.89</v>
      </c>
      <c r="Z19" s="180">
        <f t="shared" si="4"/>
        <v>6054.84</v>
      </c>
      <c r="AA19" s="180">
        <f t="shared" si="4"/>
        <v>6200.79</v>
      </c>
      <c r="AB19" s="180">
        <f t="shared" si="4"/>
        <v>6346.74</v>
      </c>
      <c r="AC19" s="180">
        <f t="shared" si="4"/>
        <v>6492.69</v>
      </c>
      <c r="AD19" s="180">
        <f t="shared" si="4"/>
        <v>6638.64</v>
      </c>
      <c r="AE19" s="180"/>
      <c r="AF19" s="180"/>
      <c r="AG19" s="180"/>
      <c r="AH19" s="180"/>
      <c r="AI19" s="180"/>
    </row>
    <row r="20" spans="1:48" x14ac:dyDescent="0.25">
      <c r="A20" s="179" t="s">
        <v>210</v>
      </c>
      <c r="B20" s="180">
        <f>B16*$P$7</f>
        <v>2042.1215999999999</v>
      </c>
      <c r="C20" s="180">
        <f t="shared" ref="C20:AD20" si="5">C16*$P$7</f>
        <v>2158.9096</v>
      </c>
      <c r="D20" s="180">
        <f t="shared" si="5"/>
        <v>2275.6976</v>
      </c>
      <c r="E20" s="180">
        <f t="shared" si="5"/>
        <v>2392.4856</v>
      </c>
      <c r="F20" s="180">
        <f t="shared" si="5"/>
        <v>2509.2736</v>
      </c>
      <c r="G20" s="180">
        <f t="shared" si="5"/>
        <v>2626.0616</v>
      </c>
      <c r="H20" s="180">
        <f t="shared" si="5"/>
        <v>2742.8496</v>
      </c>
      <c r="I20" s="180">
        <f t="shared" si="5"/>
        <v>2859.6376</v>
      </c>
      <c r="J20" s="180">
        <f t="shared" si="5"/>
        <v>2976.4255999999996</v>
      </c>
      <c r="K20" s="180">
        <f t="shared" si="5"/>
        <v>3093.2135999999996</v>
      </c>
      <c r="L20" s="180">
        <f t="shared" si="5"/>
        <v>3210.0015999999996</v>
      </c>
      <c r="M20" s="180">
        <f t="shared" si="5"/>
        <v>3326.7895999999996</v>
      </c>
      <c r="N20" s="180">
        <f t="shared" si="5"/>
        <v>3443.5775999999996</v>
      </c>
      <c r="O20" s="180">
        <f t="shared" si="5"/>
        <v>3560.3655999999996</v>
      </c>
      <c r="P20" s="180">
        <f t="shared" si="5"/>
        <v>3677.1535999999996</v>
      </c>
      <c r="Q20" s="180">
        <f t="shared" si="5"/>
        <v>3793.9415999999997</v>
      </c>
      <c r="R20" s="180">
        <f t="shared" si="5"/>
        <v>3910.7295999999997</v>
      </c>
      <c r="S20" s="180">
        <f t="shared" si="5"/>
        <v>4027.5175999999997</v>
      </c>
      <c r="T20" s="180">
        <f t="shared" si="5"/>
        <v>4144.3055999999997</v>
      </c>
      <c r="U20" s="180">
        <f t="shared" si="5"/>
        <v>4261.0936000000002</v>
      </c>
      <c r="V20" s="180">
        <f t="shared" si="5"/>
        <v>4377.8815999999997</v>
      </c>
      <c r="W20" s="180">
        <f t="shared" si="5"/>
        <v>4494.6695999999993</v>
      </c>
      <c r="X20" s="180">
        <f t="shared" si="5"/>
        <v>4611.4575999999997</v>
      </c>
      <c r="Y20" s="180">
        <f t="shared" si="5"/>
        <v>4728.2455999999993</v>
      </c>
      <c r="Z20" s="180">
        <f t="shared" si="5"/>
        <v>4845.0335999999998</v>
      </c>
      <c r="AA20" s="180">
        <f t="shared" si="5"/>
        <v>4961.8215999999993</v>
      </c>
      <c r="AB20" s="180">
        <f t="shared" si="5"/>
        <v>5078.6095999999998</v>
      </c>
      <c r="AC20" s="180">
        <f t="shared" si="5"/>
        <v>5195.3975999999993</v>
      </c>
      <c r="AD20" s="180">
        <f t="shared" si="5"/>
        <v>5312.1855999999998</v>
      </c>
      <c r="AE20" s="180"/>
      <c r="AF20" s="180"/>
      <c r="AG20" s="180"/>
      <c r="AH20" s="180"/>
      <c r="AI20" s="180"/>
    </row>
    <row r="21" spans="1:48" x14ac:dyDescent="0.25">
      <c r="A21" s="179" t="s">
        <v>211</v>
      </c>
      <c r="B21" s="180">
        <f>B16*$Q$7</f>
        <v>250.92</v>
      </c>
      <c r="C21" s="180">
        <f t="shared" ref="C21:AD21" si="6">C16*$Q$7</f>
        <v>265.27</v>
      </c>
      <c r="D21" s="180">
        <f t="shared" si="6"/>
        <v>279.62</v>
      </c>
      <c r="E21" s="180">
        <f t="shared" si="6"/>
        <v>293.96999999999997</v>
      </c>
      <c r="F21" s="180">
        <f t="shared" si="6"/>
        <v>308.32</v>
      </c>
      <c r="G21" s="180">
        <f t="shared" si="6"/>
        <v>322.66999999999996</v>
      </c>
      <c r="H21" s="180">
        <f t="shared" si="6"/>
        <v>337.02</v>
      </c>
      <c r="I21" s="180">
        <f t="shared" si="6"/>
        <v>351.37</v>
      </c>
      <c r="J21" s="180">
        <f t="shared" si="6"/>
        <v>365.71999999999997</v>
      </c>
      <c r="K21" s="180">
        <f t="shared" si="6"/>
        <v>380.07</v>
      </c>
      <c r="L21" s="180">
        <f t="shared" si="6"/>
        <v>394.41999999999996</v>
      </c>
      <c r="M21" s="180">
        <f t="shared" si="6"/>
        <v>408.77</v>
      </c>
      <c r="N21" s="180">
        <f t="shared" si="6"/>
        <v>423.11999999999995</v>
      </c>
      <c r="O21" s="180">
        <f t="shared" si="6"/>
        <v>437.46999999999997</v>
      </c>
      <c r="P21" s="180">
        <f t="shared" si="6"/>
        <v>451.82</v>
      </c>
      <c r="Q21" s="180">
        <f t="shared" si="6"/>
        <v>466.16999999999996</v>
      </c>
      <c r="R21" s="180">
        <f t="shared" si="6"/>
        <v>480.52</v>
      </c>
      <c r="S21" s="180">
        <f t="shared" si="6"/>
        <v>494.86999999999995</v>
      </c>
      <c r="T21" s="180">
        <f t="shared" si="6"/>
        <v>509.21999999999997</v>
      </c>
      <c r="U21" s="180">
        <f t="shared" si="6"/>
        <v>523.56999999999994</v>
      </c>
      <c r="V21" s="180">
        <f t="shared" si="6"/>
        <v>537.91999999999996</v>
      </c>
      <c r="W21" s="180">
        <f t="shared" si="6"/>
        <v>552.27</v>
      </c>
      <c r="X21" s="180">
        <f t="shared" si="6"/>
        <v>566.62</v>
      </c>
      <c r="Y21" s="180">
        <f t="shared" si="6"/>
        <v>580.96999999999991</v>
      </c>
      <c r="Z21" s="180">
        <f t="shared" si="6"/>
        <v>595.31999999999994</v>
      </c>
      <c r="AA21" s="180">
        <f t="shared" si="6"/>
        <v>609.66999999999996</v>
      </c>
      <c r="AB21" s="180">
        <f t="shared" si="6"/>
        <v>624.02</v>
      </c>
      <c r="AC21" s="180">
        <f t="shared" si="6"/>
        <v>638.37</v>
      </c>
      <c r="AD21" s="180">
        <f t="shared" si="6"/>
        <v>652.71999999999991</v>
      </c>
      <c r="AE21" s="180"/>
      <c r="AF21" s="180"/>
      <c r="AG21" s="180"/>
      <c r="AH21" s="180"/>
      <c r="AI21" s="180"/>
    </row>
    <row r="22" spans="1:48" x14ac:dyDescent="0.25">
      <c r="A22" s="179" t="s">
        <v>212</v>
      </c>
      <c r="B22" s="180">
        <f t="shared" ref="B22:AD22" si="7">MIN(B$18,$C$4)</f>
        <v>6891.12</v>
      </c>
      <c r="C22" s="180">
        <f t="shared" si="7"/>
        <v>7285.22</v>
      </c>
      <c r="D22" s="180">
        <f t="shared" si="7"/>
        <v>7679.32</v>
      </c>
      <c r="E22" s="180">
        <f t="shared" si="7"/>
        <v>8073.42</v>
      </c>
      <c r="F22" s="180">
        <f t="shared" si="7"/>
        <v>8467.52</v>
      </c>
      <c r="G22" s="180">
        <f t="shared" si="7"/>
        <v>8861.619999999999</v>
      </c>
      <c r="H22" s="180">
        <f t="shared" si="7"/>
        <v>9255.7199999999993</v>
      </c>
      <c r="I22" s="180">
        <f t="shared" si="7"/>
        <v>9255.7199999999993</v>
      </c>
      <c r="J22" s="180">
        <f t="shared" si="7"/>
        <v>9255.7199999999993</v>
      </c>
      <c r="K22" s="180">
        <f t="shared" si="7"/>
        <v>9255.7199999999993</v>
      </c>
      <c r="L22" s="180">
        <f t="shared" si="7"/>
        <v>9255.7199999999993</v>
      </c>
      <c r="M22" s="180">
        <f t="shared" si="7"/>
        <v>9255.7199999999993</v>
      </c>
      <c r="N22" s="180">
        <f t="shared" si="7"/>
        <v>9255.7199999999993</v>
      </c>
      <c r="O22" s="180">
        <f t="shared" si="7"/>
        <v>9255.7199999999993</v>
      </c>
      <c r="P22" s="180">
        <f t="shared" si="7"/>
        <v>9255.7199999999993</v>
      </c>
      <c r="Q22" s="180">
        <f t="shared" si="7"/>
        <v>9255.7199999999993</v>
      </c>
      <c r="R22" s="180">
        <f t="shared" si="7"/>
        <v>9255.7199999999993</v>
      </c>
      <c r="S22" s="180">
        <f t="shared" si="7"/>
        <v>9255.7199999999993</v>
      </c>
      <c r="T22" s="180">
        <f t="shared" si="7"/>
        <v>9255.7199999999993</v>
      </c>
      <c r="U22" s="180">
        <f t="shared" si="7"/>
        <v>9255.7199999999993</v>
      </c>
      <c r="V22" s="180">
        <f t="shared" si="7"/>
        <v>9255.7199999999993</v>
      </c>
      <c r="W22" s="180">
        <f t="shared" si="7"/>
        <v>9255.7199999999993</v>
      </c>
      <c r="X22" s="180">
        <f t="shared" si="7"/>
        <v>9255.7199999999993</v>
      </c>
      <c r="Y22" s="180">
        <f t="shared" si="7"/>
        <v>9255.7199999999993</v>
      </c>
      <c r="Z22" s="180">
        <f t="shared" si="7"/>
        <v>9255.7199999999993</v>
      </c>
      <c r="AA22" s="180">
        <f t="shared" si="7"/>
        <v>9255.7199999999993</v>
      </c>
      <c r="AB22" s="180">
        <f t="shared" si="7"/>
        <v>9255.7199999999993</v>
      </c>
      <c r="AC22" s="180">
        <f t="shared" si="7"/>
        <v>9255.7199999999993</v>
      </c>
      <c r="AD22" s="180">
        <f t="shared" si="7"/>
        <v>9255.7199999999993</v>
      </c>
      <c r="AE22" s="180"/>
      <c r="AF22" s="180"/>
      <c r="AG22" s="180"/>
      <c r="AH22" s="180"/>
      <c r="AI22" s="180"/>
    </row>
    <row r="23" spans="1:48" x14ac:dyDescent="0.25">
      <c r="A23" s="179" t="s">
        <v>213</v>
      </c>
      <c r="B23" s="180">
        <f t="shared" ref="B23:AD23" si="8">MIN(B$19,$C$5)</f>
        <v>2552.04</v>
      </c>
      <c r="C23" s="180">
        <f t="shared" si="8"/>
        <v>2697.99</v>
      </c>
      <c r="D23" s="180">
        <f t="shared" si="8"/>
        <v>2843.94</v>
      </c>
      <c r="E23" s="180">
        <f t="shared" si="8"/>
        <v>2989.89</v>
      </c>
      <c r="F23" s="180">
        <f t="shared" si="8"/>
        <v>3135.84</v>
      </c>
      <c r="G23" s="180">
        <f t="shared" si="8"/>
        <v>3281.79</v>
      </c>
      <c r="H23" s="180">
        <f t="shared" si="8"/>
        <v>3427.74</v>
      </c>
      <c r="I23" s="180">
        <f t="shared" si="8"/>
        <v>3427.74</v>
      </c>
      <c r="J23" s="180">
        <f t="shared" si="8"/>
        <v>3427.74</v>
      </c>
      <c r="K23" s="180">
        <f t="shared" si="8"/>
        <v>3427.74</v>
      </c>
      <c r="L23" s="180">
        <f t="shared" si="8"/>
        <v>3427.74</v>
      </c>
      <c r="M23" s="180">
        <f t="shared" si="8"/>
        <v>3427.74</v>
      </c>
      <c r="N23" s="180">
        <f t="shared" si="8"/>
        <v>3427.74</v>
      </c>
      <c r="O23" s="180">
        <f t="shared" si="8"/>
        <v>3427.74</v>
      </c>
      <c r="P23" s="180">
        <f t="shared" si="8"/>
        <v>3427.74</v>
      </c>
      <c r="Q23" s="180">
        <f t="shared" si="8"/>
        <v>3427.74</v>
      </c>
      <c r="R23" s="180">
        <f t="shared" si="8"/>
        <v>3427.74</v>
      </c>
      <c r="S23" s="180">
        <f t="shared" si="8"/>
        <v>3427.74</v>
      </c>
      <c r="T23" s="180">
        <f t="shared" si="8"/>
        <v>3427.74</v>
      </c>
      <c r="U23" s="180">
        <f t="shared" si="8"/>
        <v>3427.74</v>
      </c>
      <c r="V23" s="180">
        <f t="shared" si="8"/>
        <v>3427.74</v>
      </c>
      <c r="W23" s="180">
        <f t="shared" si="8"/>
        <v>3427.74</v>
      </c>
      <c r="X23" s="180">
        <f t="shared" si="8"/>
        <v>3427.74</v>
      </c>
      <c r="Y23" s="180">
        <f t="shared" si="8"/>
        <v>3427.74</v>
      </c>
      <c r="Z23" s="180">
        <f t="shared" si="8"/>
        <v>3427.74</v>
      </c>
      <c r="AA23" s="180">
        <f t="shared" si="8"/>
        <v>3427.74</v>
      </c>
      <c r="AB23" s="180">
        <f t="shared" si="8"/>
        <v>3427.74</v>
      </c>
      <c r="AC23" s="180">
        <f t="shared" si="8"/>
        <v>3427.74</v>
      </c>
      <c r="AD23" s="180">
        <f t="shared" si="8"/>
        <v>3427.74</v>
      </c>
      <c r="AE23" s="180"/>
      <c r="AF23" s="180"/>
      <c r="AG23" s="180"/>
      <c r="AH23" s="180"/>
      <c r="AI23" s="180"/>
    </row>
    <row r="24" spans="1:48" x14ac:dyDescent="0.25">
      <c r="A24" s="179" t="s">
        <v>214</v>
      </c>
      <c r="B24" s="180">
        <f t="shared" ref="B24:AD24" si="9">MIN(B$20,$C$6)</f>
        <v>2042.1215999999999</v>
      </c>
      <c r="C24" s="180">
        <f t="shared" si="9"/>
        <v>2158.9096</v>
      </c>
      <c r="D24" s="180">
        <f t="shared" si="9"/>
        <v>2275.6976</v>
      </c>
      <c r="E24" s="180">
        <f t="shared" si="9"/>
        <v>2392.4856</v>
      </c>
      <c r="F24" s="180">
        <f t="shared" si="9"/>
        <v>2509.2736</v>
      </c>
      <c r="G24" s="180">
        <f t="shared" si="9"/>
        <v>2626.0616</v>
      </c>
      <c r="H24" s="180">
        <f t="shared" si="9"/>
        <v>2742.8496</v>
      </c>
      <c r="I24" s="180">
        <f t="shared" si="9"/>
        <v>2742.8496</v>
      </c>
      <c r="J24" s="180">
        <f t="shared" si="9"/>
        <v>2742.8496</v>
      </c>
      <c r="K24" s="180">
        <f t="shared" si="9"/>
        <v>2742.8496</v>
      </c>
      <c r="L24" s="180">
        <f t="shared" si="9"/>
        <v>2742.8496</v>
      </c>
      <c r="M24" s="180">
        <f t="shared" si="9"/>
        <v>2742.8496</v>
      </c>
      <c r="N24" s="180">
        <f t="shared" si="9"/>
        <v>2742.8496</v>
      </c>
      <c r="O24" s="180">
        <f t="shared" si="9"/>
        <v>2742.8496</v>
      </c>
      <c r="P24" s="180">
        <f t="shared" si="9"/>
        <v>2742.8496</v>
      </c>
      <c r="Q24" s="180">
        <f t="shared" si="9"/>
        <v>2742.8496</v>
      </c>
      <c r="R24" s="180">
        <f t="shared" si="9"/>
        <v>2742.8496</v>
      </c>
      <c r="S24" s="180">
        <f t="shared" si="9"/>
        <v>2742.8496</v>
      </c>
      <c r="T24" s="180">
        <f t="shared" si="9"/>
        <v>2742.8496</v>
      </c>
      <c r="U24" s="180">
        <f t="shared" si="9"/>
        <v>2742.8496</v>
      </c>
      <c r="V24" s="180">
        <f t="shared" si="9"/>
        <v>2742.8496</v>
      </c>
      <c r="W24" s="180">
        <f t="shared" si="9"/>
        <v>2742.8496</v>
      </c>
      <c r="X24" s="180">
        <f t="shared" si="9"/>
        <v>2742.8496</v>
      </c>
      <c r="Y24" s="180">
        <f t="shared" si="9"/>
        <v>2742.8496</v>
      </c>
      <c r="Z24" s="180">
        <f t="shared" si="9"/>
        <v>2742.8496</v>
      </c>
      <c r="AA24" s="180">
        <f t="shared" si="9"/>
        <v>2742.8496</v>
      </c>
      <c r="AB24" s="180">
        <f t="shared" si="9"/>
        <v>2742.8496</v>
      </c>
      <c r="AC24" s="180">
        <f t="shared" si="9"/>
        <v>2742.8496</v>
      </c>
      <c r="AD24" s="180">
        <f t="shared" si="9"/>
        <v>2742.8496</v>
      </c>
      <c r="AE24" s="180"/>
      <c r="AF24" s="180"/>
      <c r="AG24" s="180"/>
      <c r="AH24" s="180"/>
      <c r="AI24" s="180"/>
    </row>
    <row r="25" spans="1:48" x14ac:dyDescent="0.25">
      <c r="A25" s="179" t="s">
        <v>215</v>
      </c>
      <c r="B25" s="180">
        <f t="shared" ref="B25:AD25" si="10">MIN(B$21,$C$7)</f>
        <v>250.92</v>
      </c>
      <c r="C25" s="180">
        <f t="shared" si="10"/>
        <v>265.27</v>
      </c>
      <c r="D25" s="180">
        <f t="shared" si="10"/>
        <v>279.62</v>
      </c>
      <c r="E25" s="180">
        <f t="shared" si="10"/>
        <v>293.96999999999997</v>
      </c>
      <c r="F25" s="180">
        <f t="shared" si="10"/>
        <v>308.32</v>
      </c>
      <c r="G25" s="180">
        <f t="shared" si="10"/>
        <v>322.66999999999996</v>
      </c>
      <c r="H25" s="180">
        <f t="shared" si="10"/>
        <v>337.02</v>
      </c>
      <c r="I25" s="180">
        <f t="shared" si="10"/>
        <v>337.02</v>
      </c>
      <c r="J25" s="180">
        <f t="shared" si="10"/>
        <v>337.02</v>
      </c>
      <c r="K25" s="180">
        <f t="shared" si="10"/>
        <v>337.02</v>
      </c>
      <c r="L25" s="180">
        <f t="shared" si="10"/>
        <v>337.02</v>
      </c>
      <c r="M25" s="180">
        <f t="shared" si="10"/>
        <v>337.02</v>
      </c>
      <c r="N25" s="180">
        <f t="shared" si="10"/>
        <v>337.02</v>
      </c>
      <c r="O25" s="180">
        <f t="shared" si="10"/>
        <v>337.02</v>
      </c>
      <c r="P25" s="180">
        <f t="shared" si="10"/>
        <v>337.02</v>
      </c>
      <c r="Q25" s="180">
        <f t="shared" si="10"/>
        <v>337.02</v>
      </c>
      <c r="R25" s="180">
        <f t="shared" si="10"/>
        <v>337.02</v>
      </c>
      <c r="S25" s="180">
        <f t="shared" si="10"/>
        <v>337.02</v>
      </c>
      <c r="T25" s="180">
        <f t="shared" si="10"/>
        <v>337.02</v>
      </c>
      <c r="U25" s="180">
        <f t="shared" si="10"/>
        <v>337.02</v>
      </c>
      <c r="V25" s="180">
        <f t="shared" si="10"/>
        <v>337.02</v>
      </c>
      <c r="W25" s="180">
        <f t="shared" si="10"/>
        <v>337.02</v>
      </c>
      <c r="X25" s="180">
        <f t="shared" si="10"/>
        <v>337.02</v>
      </c>
      <c r="Y25" s="180">
        <f t="shared" si="10"/>
        <v>337.02</v>
      </c>
      <c r="Z25" s="180">
        <f t="shared" si="10"/>
        <v>337.02</v>
      </c>
      <c r="AA25" s="180">
        <f t="shared" si="10"/>
        <v>337.02</v>
      </c>
      <c r="AB25" s="180">
        <f t="shared" si="10"/>
        <v>337.02</v>
      </c>
      <c r="AC25" s="180">
        <f t="shared" si="10"/>
        <v>337.02</v>
      </c>
      <c r="AD25" s="180">
        <f t="shared" si="10"/>
        <v>337.02</v>
      </c>
      <c r="AE25" s="180"/>
      <c r="AF25" s="180"/>
      <c r="AG25" s="180"/>
      <c r="AH25" s="180"/>
      <c r="AI25" s="180"/>
    </row>
    <row r="26" spans="1:48" x14ac:dyDescent="0.25">
      <c r="A26" s="181" t="s">
        <v>216</v>
      </c>
      <c r="B26" s="182">
        <f>IF(B22&gt;$B$4,(B22-$B$4)*$H$4,0)</f>
        <v>0</v>
      </c>
      <c r="C26" s="182">
        <v>0</v>
      </c>
      <c r="D26" s="182">
        <f>IF(D22&gt;$B$4,(D22-$B$4)*$H$4,0)</f>
        <v>0</v>
      </c>
      <c r="E26" s="182">
        <v>0</v>
      </c>
      <c r="F26" s="182">
        <f>IF(F22&gt;$B$4,(F22-$B$4)*$H$4,0)</f>
        <v>549.64000000000306</v>
      </c>
      <c r="G26" s="182">
        <v>0</v>
      </c>
      <c r="H26" s="182">
        <f>IF(H22&gt;$B$4,(H22-$B$4)*$H$4,0)</f>
        <v>6067.0399999999954</v>
      </c>
      <c r="I26" s="182">
        <v>0</v>
      </c>
      <c r="J26" s="182">
        <f>IF(J22&gt;$B$4,(J22-$B$4)*$H$4,0)</f>
        <v>6067.0399999999954</v>
      </c>
      <c r="K26" s="182">
        <v>0</v>
      </c>
      <c r="L26" s="182">
        <f>IF(L22&gt;$B$4,(L22-$B$4)*$H$4,0)</f>
        <v>6067.0399999999954</v>
      </c>
      <c r="M26" s="182">
        <v>0</v>
      </c>
      <c r="N26" s="182">
        <f>IF(N22&gt;$B$4,(N22-$B$4)*$H$4,0)</f>
        <v>6067.0399999999954</v>
      </c>
      <c r="O26" s="182">
        <v>0</v>
      </c>
      <c r="P26" s="182">
        <f>IF(P22&gt;$B$4,(P22-$B$4)*$H$4,0)</f>
        <v>6067.0399999999954</v>
      </c>
      <c r="Q26" s="182">
        <v>0</v>
      </c>
      <c r="R26" s="182">
        <f>IF(R22&gt;$B$4,(R22-$B$4)*$H$4,0)</f>
        <v>6067.0399999999954</v>
      </c>
      <c r="S26" s="182">
        <v>0</v>
      </c>
      <c r="T26" s="182">
        <f>IF(T22&gt;$B$4,(T22-$B$4)*$H$4,0)</f>
        <v>6067.0399999999954</v>
      </c>
      <c r="U26" s="182">
        <v>0</v>
      </c>
      <c r="V26" s="182">
        <f>IF(V22&gt;$B$4,(V22-$B$4)*$H$4,0)</f>
        <v>6067.0399999999954</v>
      </c>
      <c r="W26" s="182">
        <v>0</v>
      </c>
      <c r="X26" s="182">
        <f>IF(X22&gt;$B$4,(X22-$B$4)*$H$4,0)</f>
        <v>6067.0399999999954</v>
      </c>
      <c r="Y26" s="182">
        <v>0</v>
      </c>
      <c r="Z26" s="182">
        <f>IF(Z22&gt;$B$4,(Z22-$B$4)*$H$4,0)</f>
        <v>6067.0399999999954</v>
      </c>
      <c r="AA26" s="182">
        <v>0</v>
      </c>
      <c r="AB26" s="182">
        <f>IF(AB22&gt;$B$4,(AB22-$B$4)*$H$4,0)</f>
        <v>6067.0399999999954</v>
      </c>
      <c r="AC26" s="182">
        <v>0</v>
      </c>
      <c r="AD26" s="182">
        <f>IF(AD22&gt;$B$4,(AD22-$B$4)*$H$4,0)</f>
        <v>6067.0399999999954</v>
      </c>
      <c r="AE26" s="182">
        <v>0</v>
      </c>
      <c r="AF26" s="182">
        <f>IF(AF22&gt;$B$4,(AF22-$B$4)*$H$4,0)</f>
        <v>0</v>
      </c>
      <c r="AG26" s="182">
        <v>0</v>
      </c>
      <c r="AH26" s="182">
        <f>IF(AH22&gt;$B$4,(AH22-$B$4)*$H$4,0)</f>
        <v>0</v>
      </c>
      <c r="AI26" s="182">
        <v>0</v>
      </c>
      <c r="AJ26" s="182">
        <f>IF(AJ22&gt;$B$4,(AJ22-$B$4)*$H$4,0)</f>
        <v>0</v>
      </c>
      <c r="AK26" s="182">
        <v>0</v>
      </c>
    </row>
    <row r="27" spans="1:48" x14ac:dyDescent="0.25">
      <c r="A27" s="181" t="s">
        <v>217</v>
      </c>
      <c r="B27" s="182">
        <f>IF(B23&gt;$B$5,(B23-$B$5)*$H$5,0)</f>
        <v>0</v>
      </c>
      <c r="C27" s="182">
        <v>0</v>
      </c>
      <c r="D27" s="182">
        <f>IF(D23&gt;$B$5,(D23-$B$5)*$H$5,0)</f>
        <v>0</v>
      </c>
      <c r="E27" s="182">
        <v>0</v>
      </c>
      <c r="F27" s="182">
        <f>IF(F23&gt;$B$5,(F23-$B$5)*$H$5,0)</f>
        <v>288.40000000000146</v>
      </c>
      <c r="G27" s="182">
        <v>0</v>
      </c>
      <c r="H27" s="182">
        <f>IF(H23&gt;$B$5,(H23-$B$5)*$H$5,0)</f>
        <v>3207.3999999999978</v>
      </c>
      <c r="I27" s="182">
        <v>0</v>
      </c>
      <c r="J27" s="182">
        <f>IF(J23&gt;$B$5,(J23-$B$5)*$H$5,0)</f>
        <v>3207.3999999999978</v>
      </c>
      <c r="K27" s="182">
        <v>0</v>
      </c>
      <c r="L27" s="182">
        <f>IF(L23&gt;$B$5,(L23-$B$5)*$H$5,0)</f>
        <v>3207.3999999999978</v>
      </c>
      <c r="M27" s="182">
        <v>0</v>
      </c>
      <c r="N27" s="182">
        <f>IF(N23&gt;$B$5,(N23-$B$5)*$H$5,0)</f>
        <v>3207.3999999999978</v>
      </c>
      <c r="O27" s="182">
        <v>0</v>
      </c>
      <c r="P27" s="182">
        <f>IF(P23&gt;$B$5,(P23-$B$5)*$H$5,0)</f>
        <v>3207.3999999999978</v>
      </c>
      <c r="Q27" s="182">
        <v>0</v>
      </c>
      <c r="R27" s="182">
        <f>IF(R23&gt;$B$5,(R23-$B$5)*$H$5,0)</f>
        <v>3207.3999999999978</v>
      </c>
      <c r="S27" s="182">
        <v>0</v>
      </c>
      <c r="T27" s="182">
        <f>IF(T23&gt;$B$5,(T23-$B$5)*$H$5,0)</f>
        <v>3207.3999999999978</v>
      </c>
      <c r="U27" s="182">
        <v>0</v>
      </c>
      <c r="V27" s="182">
        <f>IF(V23&gt;$B$5,(V23-$B$5)*$H$5,0)</f>
        <v>3207.3999999999978</v>
      </c>
      <c r="W27" s="182">
        <v>0</v>
      </c>
      <c r="X27" s="182">
        <f>IF(X23&gt;$B$5,(X23-$B$5)*$H$5,0)</f>
        <v>3207.3999999999978</v>
      </c>
      <c r="Y27" s="182">
        <v>0</v>
      </c>
      <c r="Z27" s="182">
        <f>IF(Z23&gt;$B$5,(Z23-$B$5)*$H$5,0)</f>
        <v>3207.3999999999978</v>
      </c>
      <c r="AA27" s="182">
        <v>0</v>
      </c>
      <c r="AB27" s="182">
        <f>IF(AB23&gt;$B$5,(AB23-$B$5)*$H$5,0)</f>
        <v>3207.3999999999978</v>
      </c>
      <c r="AC27" s="182">
        <v>0</v>
      </c>
      <c r="AD27" s="182">
        <f>IF(AD23&gt;$B$5,(AD23-$B$5)*$H$5,0)</f>
        <v>3207.3999999999978</v>
      </c>
      <c r="AE27" s="182">
        <v>0</v>
      </c>
      <c r="AF27" s="182">
        <f>IF(AF23&gt;$B$5,(AF23-$B$5)*$H$5,0)</f>
        <v>0</v>
      </c>
      <c r="AG27" s="182">
        <v>0</v>
      </c>
      <c r="AH27" s="182">
        <f>IF(AH23&gt;$B$5,(AH23-$B$5)*$H$5,0)</f>
        <v>0</v>
      </c>
      <c r="AI27" s="182">
        <v>0</v>
      </c>
      <c r="AJ27" s="182">
        <f>IF(AJ23&gt;$B$5,(AJ23-$B$5)*$H$5,0)</f>
        <v>0</v>
      </c>
      <c r="AK27" s="182">
        <v>0</v>
      </c>
    </row>
    <row r="28" spans="1:48" x14ac:dyDescent="0.25">
      <c r="A28" s="181" t="s">
        <v>218</v>
      </c>
      <c r="B28" s="182">
        <f>IF(B24&gt;$B$6,(B24-$B$6)*$H$6,0)</f>
        <v>0</v>
      </c>
      <c r="C28" s="182">
        <v>0</v>
      </c>
      <c r="D28" s="182">
        <f>IF(D24&gt;$B$6,(D24-$B$6)*$H$6,0)</f>
        <v>0</v>
      </c>
      <c r="E28" s="182">
        <v>0</v>
      </c>
      <c r="F28" s="182">
        <f>IF(F24&gt;$B$6,(F24-$B$6)*$H$6,0)</f>
        <v>442.19839999999976</v>
      </c>
      <c r="G28" s="182">
        <v>0</v>
      </c>
      <c r="H28" s="182">
        <f>IF(H24&gt;$B$6,(H24-$B$6)*$H$6,0)</f>
        <v>4880.1424000000006</v>
      </c>
      <c r="I28" s="182">
        <v>0</v>
      </c>
      <c r="J28" s="182">
        <f>IF(J24&gt;$B$6,(J24-$B$6)*$H$6,0)</f>
        <v>4880.1424000000006</v>
      </c>
      <c r="K28" s="182">
        <v>0</v>
      </c>
      <c r="L28" s="182">
        <f>IF(L24&gt;$B$6,(L24-$B$6)*$H$6,0)</f>
        <v>4880.1424000000006</v>
      </c>
      <c r="M28" s="182">
        <v>0</v>
      </c>
      <c r="N28" s="182">
        <f>IF(N24&gt;$B$6,(N24-$B$6)*$H$6,0)</f>
        <v>4880.1424000000006</v>
      </c>
      <c r="O28" s="182">
        <v>0</v>
      </c>
      <c r="P28" s="182">
        <f>IF(P24&gt;$B$6,(P24-$B$6)*$H$6,0)</f>
        <v>4880.1424000000006</v>
      </c>
      <c r="Q28" s="182">
        <v>0</v>
      </c>
      <c r="R28" s="182">
        <f>IF(R24&gt;$B$6,(R24-$B$6)*$H$6,0)</f>
        <v>4880.1424000000006</v>
      </c>
      <c r="S28" s="182">
        <v>0</v>
      </c>
      <c r="T28" s="182">
        <f>IF(T24&gt;$B$6,(T24-$B$6)*$H$6,0)</f>
        <v>4880.1424000000006</v>
      </c>
      <c r="U28" s="182">
        <v>0</v>
      </c>
      <c r="V28" s="182">
        <f>IF(V24&gt;$B$6,(V24-$B$6)*$H$6,0)</f>
        <v>4880.1424000000006</v>
      </c>
      <c r="W28" s="182">
        <v>0</v>
      </c>
      <c r="X28" s="182">
        <f>IF(X24&gt;$B$6,(X24-$B$6)*$H$6,0)</f>
        <v>4880.1424000000006</v>
      </c>
      <c r="Y28" s="182">
        <v>0</v>
      </c>
      <c r="Z28" s="182">
        <f>IF(Z24&gt;$B$6,(Z24-$B$6)*$H$6,0)</f>
        <v>4880.1424000000006</v>
      </c>
      <c r="AA28" s="182">
        <v>0</v>
      </c>
      <c r="AB28" s="182">
        <f>IF(AB24&gt;$B$6,(AB24-$B$6)*$H$6,0)</f>
        <v>4880.1424000000006</v>
      </c>
      <c r="AC28" s="182">
        <v>0</v>
      </c>
      <c r="AD28" s="182">
        <f>IF(AD24&gt;$B$6,(AD24-$B$6)*$H$6,0)</f>
        <v>4880.1424000000006</v>
      </c>
      <c r="AE28" s="182">
        <v>0</v>
      </c>
      <c r="AF28" s="182">
        <f>IF(AF24&gt;$B$6,(AF24-$B$6)*$H$6,0)</f>
        <v>0</v>
      </c>
      <c r="AG28" s="182">
        <v>0</v>
      </c>
      <c r="AH28" s="182">
        <f>IF(AH24&gt;$B$6,(AH24-$B$6)*$H$6,0)</f>
        <v>0</v>
      </c>
      <c r="AI28" s="182">
        <v>0</v>
      </c>
      <c r="AJ28" s="182">
        <f>IF(AJ24&gt;$B$6,(AJ24-$B$6)*$H$6,0)</f>
        <v>0</v>
      </c>
      <c r="AK28" s="182">
        <v>0</v>
      </c>
    </row>
    <row r="29" spans="1:48" x14ac:dyDescent="0.25">
      <c r="A29" s="181" t="s">
        <v>219</v>
      </c>
      <c r="B29" s="182">
        <f>IF(B25&gt;$B$7,(B25-$B$7)*$H$7,0)</f>
        <v>0</v>
      </c>
      <c r="C29" s="182">
        <v>0</v>
      </c>
      <c r="D29" s="182">
        <f>IF(D25&gt;$B$7,(D25-$B$7)*$H$7,0)</f>
        <v>0</v>
      </c>
      <c r="E29" s="182">
        <v>0</v>
      </c>
      <c r="F29" s="182">
        <f>IF(F25&gt;$B$7,(F25-$B$7)*$H$7,0)</f>
        <v>116.19999999999976</v>
      </c>
      <c r="G29" s="182">
        <v>0</v>
      </c>
      <c r="H29" s="182">
        <f>IF(H25&gt;$B$7,(H25-$B$7)*$H$7,0)</f>
        <v>1120.6999999999994</v>
      </c>
      <c r="I29" s="182">
        <v>0</v>
      </c>
      <c r="J29" s="182">
        <f>IF(J25&gt;$B$7,(J25-$B$7)*$H$7,0)</f>
        <v>1120.6999999999994</v>
      </c>
      <c r="K29" s="182">
        <v>0</v>
      </c>
      <c r="L29" s="182">
        <f>IF(L25&gt;$B$7,(L25-$B$7)*$H$7,0)</f>
        <v>1120.6999999999994</v>
      </c>
      <c r="M29" s="182">
        <v>0</v>
      </c>
      <c r="N29" s="182">
        <f>IF(N25&gt;$B$7,(N25-$B$7)*$H$7,0)</f>
        <v>1120.6999999999994</v>
      </c>
      <c r="O29" s="182">
        <v>0</v>
      </c>
      <c r="P29" s="182">
        <f>IF(P25&gt;$B$7,(P25-$B$7)*$H$7,0)</f>
        <v>1120.6999999999994</v>
      </c>
      <c r="Q29" s="182">
        <v>0</v>
      </c>
      <c r="R29" s="182">
        <f>IF(R25&gt;$B$7,(R25-$B$7)*$H$7,0)</f>
        <v>1120.6999999999994</v>
      </c>
      <c r="S29" s="182">
        <v>0</v>
      </c>
      <c r="T29" s="182">
        <f>IF(T25&gt;$B$7,(T25-$B$7)*$H$7,0)</f>
        <v>1120.6999999999994</v>
      </c>
      <c r="U29" s="182">
        <v>0</v>
      </c>
      <c r="V29" s="182">
        <f>IF(V25&gt;$B$7,(V25-$B$7)*$H$7,0)</f>
        <v>1120.6999999999994</v>
      </c>
      <c r="W29" s="182">
        <v>0</v>
      </c>
      <c r="X29" s="182">
        <f>IF(X25&gt;$B$7,(X25-$B$7)*$H$7,0)</f>
        <v>1120.6999999999994</v>
      </c>
      <c r="Y29" s="182">
        <v>0</v>
      </c>
      <c r="Z29" s="182">
        <f>IF(Z25&gt;$B$7,(Z25-$B$7)*$H$7,0)</f>
        <v>1120.6999999999994</v>
      </c>
      <c r="AA29" s="182">
        <v>0</v>
      </c>
      <c r="AB29" s="182">
        <f>IF(AB25&gt;$B$7,(AB25-$B$7)*$H$7,0)</f>
        <v>1120.6999999999994</v>
      </c>
      <c r="AC29" s="182">
        <v>0</v>
      </c>
      <c r="AD29" s="182">
        <f>IF(AD25&gt;$B$7,(AD25-$B$7)*$H$7,0)</f>
        <v>1120.6999999999994</v>
      </c>
      <c r="AE29" s="182">
        <v>0</v>
      </c>
      <c r="AF29" s="182">
        <f>IF(AF25&gt;$B$7,(AF25-$B$7)*$H$7,0)</f>
        <v>0</v>
      </c>
      <c r="AG29" s="182">
        <v>0</v>
      </c>
      <c r="AH29" s="182">
        <f>IF(AH25&gt;$B$7,(AH25-$B$7)*$H$7,0)</f>
        <v>0</v>
      </c>
      <c r="AI29" s="182">
        <v>0</v>
      </c>
      <c r="AJ29" s="182">
        <f>IF(AJ25&gt;$B$7,(AJ25-$B$7)*$H$7,0)</f>
        <v>0</v>
      </c>
      <c r="AK29" s="182">
        <v>0</v>
      </c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</row>
    <row r="30" spans="1:48" x14ac:dyDescent="0.25">
      <c r="A30" s="184" t="s">
        <v>220</v>
      </c>
      <c r="B30" s="185">
        <f>G4+G5+G6+G7</f>
        <v>994.77759999999944</v>
      </c>
      <c r="C30" s="185">
        <f t="shared" ref="C30:AD30" si="11">B30</f>
        <v>994.77759999999944</v>
      </c>
      <c r="D30" s="185">
        <f t="shared" si="11"/>
        <v>994.77759999999944</v>
      </c>
      <c r="E30" s="185">
        <f t="shared" si="11"/>
        <v>994.77759999999944</v>
      </c>
      <c r="F30" s="185">
        <f t="shared" si="11"/>
        <v>994.77759999999944</v>
      </c>
      <c r="G30" s="185">
        <f t="shared" si="11"/>
        <v>994.77759999999944</v>
      </c>
      <c r="H30" s="185">
        <f t="shared" si="11"/>
        <v>994.77759999999944</v>
      </c>
      <c r="I30" s="185">
        <f t="shared" si="11"/>
        <v>994.77759999999944</v>
      </c>
      <c r="J30" s="185">
        <f t="shared" si="11"/>
        <v>994.77759999999944</v>
      </c>
      <c r="K30" s="185">
        <f t="shared" si="11"/>
        <v>994.77759999999944</v>
      </c>
      <c r="L30" s="185">
        <f t="shared" si="11"/>
        <v>994.77759999999944</v>
      </c>
      <c r="M30" s="185">
        <f t="shared" si="11"/>
        <v>994.77759999999944</v>
      </c>
      <c r="N30" s="185">
        <f t="shared" si="11"/>
        <v>994.77759999999944</v>
      </c>
      <c r="O30" s="185">
        <f t="shared" si="11"/>
        <v>994.77759999999944</v>
      </c>
      <c r="P30" s="185">
        <f t="shared" si="11"/>
        <v>994.77759999999944</v>
      </c>
      <c r="Q30" s="185">
        <f t="shared" si="11"/>
        <v>994.77759999999944</v>
      </c>
      <c r="R30" s="185">
        <f t="shared" si="11"/>
        <v>994.77759999999944</v>
      </c>
      <c r="S30" s="185">
        <f t="shared" si="11"/>
        <v>994.77759999999944</v>
      </c>
      <c r="T30" s="185">
        <f t="shared" si="11"/>
        <v>994.77759999999944</v>
      </c>
      <c r="U30" s="185">
        <f t="shared" si="11"/>
        <v>994.77759999999944</v>
      </c>
      <c r="V30" s="185">
        <f t="shared" si="11"/>
        <v>994.77759999999944</v>
      </c>
      <c r="W30" s="185">
        <f t="shared" si="11"/>
        <v>994.77759999999944</v>
      </c>
      <c r="X30" s="185">
        <f t="shared" si="11"/>
        <v>994.77759999999944</v>
      </c>
      <c r="Y30" s="185">
        <f t="shared" si="11"/>
        <v>994.77759999999944</v>
      </c>
      <c r="Z30" s="185">
        <f t="shared" si="11"/>
        <v>994.77759999999944</v>
      </c>
      <c r="AA30" s="185">
        <f t="shared" si="11"/>
        <v>994.77759999999944</v>
      </c>
      <c r="AB30" s="185">
        <f t="shared" si="11"/>
        <v>994.77759999999944</v>
      </c>
      <c r="AC30" s="185">
        <f t="shared" si="11"/>
        <v>994.77759999999944</v>
      </c>
      <c r="AD30" s="185">
        <f t="shared" si="11"/>
        <v>994.77759999999944</v>
      </c>
      <c r="AE30" s="185"/>
      <c r="AF30" s="185"/>
      <c r="AG30" s="185"/>
      <c r="AH30" s="185"/>
      <c r="AI30" s="185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</row>
    <row r="31" spans="1:48" x14ac:dyDescent="0.25">
      <c r="A31" s="186" t="s">
        <v>221</v>
      </c>
      <c r="B31" s="187">
        <f t="shared" ref="B31:AD31" si="12">B26+B27+B28+B29-B30</f>
        <v>-994.77759999999944</v>
      </c>
      <c r="C31" s="187">
        <f t="shared" si="12"/>
        <v>-994.77759999999944</v>
      </c>
      <c r="D31" s="187">
        <f t="shared" si="12"/>
        <v>-994.77759999999944</v>
      </c>
      <c r="E31" s="187">
        <f t="shared" si="12"/>
        <v>-994.77759999999944</v>
      </c>
      <c r="F31" s="187">
        <f t="shared" si="12"/>
        <v>401.66080000000466</v>
      </c>
      <c r="G31" s="187">
        <f t="shared" si="12"/>
        <v>-994.77759999999944</v>
      </c>
      <c r="H31" s="187">
        <f t="shared" si="12"/>
        <v>14280.504799999993</v>
      </c>
      <c r="I31" s="187">
        <f t="shared" si="12"/>
        <v>-994.77759999999944</v>
      </c>
      <c r="J31" s="187">
        <f t="shared" si="12"/>
        <v>14280.504799999993</v>
      </c>
      <c r="K31" s="187">
        <f t="shared" si="12"/>
        <v>-994.77759999999944</v>
      </c>
      <c r="L31" s="187">
        <f t="shared" si="12"/>
        <v>14280.504799999993</v>
      </c>
      <c r="M31" s="187">
        <f t="shared" si="12"/>
        <v>-994.77759999999944</v>
      </c>
      <c r="N31" s="187">
        <f t="shared" si="12"/>
        <v>14280.504799999993</v>
      </c>
      <c r="O31" s="187">
        <f t="shared" si="12"/>
        <v>-994.77759999999944</v>
      </c>
      <c r="P31" s="187">
        <f t="shared" si="12"/>
        <v>14280.504799999993</v>
      </c>
      <c r="Q31" s="187">
        <f t="shared" si="12"/>
        <v>-994.77759999999944</v>
      </c>
      <c r="R31" s="187">
        <f t="shared" si="12"/>
        <v>14280.504799999993</v>
      </c>
      <c r="S31" s="187">
        <f t="shared" si="12"/>
        <v>-994.77759999999944</v>
      </c>
      <c r="T31" s="187">
        <f t="shared" si="12"/>
        <v>14280.504799999993</v>
      </c>
      <c r="U31" s="187">
        <f t="shared" si="12"/>
        <v>-994.77759999999944</v>
      </c>
      <c r="V31" s="187">
        <f t="shared" si="12"/>
        <v>14280.504799999993</v>
      </c>
      <c r="W31" s="187">
        <f t="shared" si="12"/>
        <v>-994.77759999999944</v>
      </c>
      <c r="X31" s="187">
        <f t="shared" si="12"/>
        <v>14280.504799999993</v>
      </c>
      <c r="Y31" s="187">
        <f t="shared" si="12"/>
        <v>-994.77759999999944</v>
      </c>
      <c r="Z31" s="187">
        <f t="shared" si="12"/>
        <v>14280.504799999993</v>
      </c>
      <c r="AA31" s="187">
        <f t="shared" si="12"/>
        <v>-994.77759999999944</v>
      </c>
      <c r="AB31" s="187">
        <f t="shared" si="12"/>
        <v>14280.504799999993</v>
      </c>
      <c r="AC31" s="187">
        <f t="shared" si="12"/>
        <v>-994.77759999999944</v>
      </c>
      <c r="AD31" s="187">
        <f t="shared" si="12"/>
        <v>14280.504799999993</v>
      </c>
      <c r="AE31" s="187"/>
      <c r="AF31" s="187"/>
      <c r="AG31" s="187"/>
      <c r="AH31" s="187"/>
      <c r="AI31" s="187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</row>
    <row r="32" spans="1:48" x14ac:dyDescent="0.25">
      <c r="A32" s="189" t="s">
        <v>222</v>
      </c>
      <c r="B32" s="187">
        <f>-B12-B11+B31</f>
        <v>-106775.14159999994</v>
      </c>
      <c r="C32" s="187">
        <f t="shared" ref="C32:AD32" si="13">B32+C31</f>
        <v>-107769.91919999995</v>
      </c>
      <c r="D32" s="187">
        <f t="shared" si="13"/>
        <v>-108764.69679999995</v>
      </c>
      <c r="E32" s="187">
        <f t="shared" si="13"/>
        <v>-109759.47439999995</v>
      </c>
      <c r="F32" s="187">
        <f t="shared" si="13"/>
        <v>-109357.81359999995</v>
      </c>
      <c r="G32" s="187">
        <f t="shared" si="13"/>
        <v>-110352.59119999995</v>
      </c>
      <c r="H32" s="187">
        <f t="shared" si="13"/>
        <v>-96072.086399999956</v>
      </c>
      <c r="I32" s="187">
        <f t="shared" si="13"/>
        <v>-97066.863999999958</v>
      </c>
      <c r="J32" s="187">
        <f t="shared" si="13"/>
        <v>-82786.359199999963</v>
      </c>
      <c r="K32" s="187">
        <f t="shared" si="13"/>
        <v>-83781.136799999964</v>
      </c>
      <c r="L32" s="187">
        <f t="shared" si="13"/>
        <v>-69500.631999999969</v>
      </c>
      <c r="M32" s="187">
        <f t="shared" si="13"/>
        <v>-70495.40959999997</v>
      </c>
      <c r="N32" s="187">
        <f t="shared" si="13"/>
        <v>-56214.904799999975</v>
      </c>
      <c r="O32" s="187">
        <f t="shared" si="13"/>
        <v>-57209.682399999976</v>
      </c>
      <c r="P32" s="187">
        <f t="shared" si="13"/>
        <v>-42929.177599999981</v>
      </c>
      <c r="Q32" s="187">
        <f t="shared" si="13"/>
        <v>-43923.955199999982</v>
      </c>
      <c r="R32" s="187">
        <f t="shared" si="13"/>
        <v>-29643.450399999987</v>
      </c>
      <c r="S32" s="187">
        <f t="shared" si="13"/>
        <v>-30638.227999999988</v>
      </c>
      <c r="T32" s="187">
        <f t="shared" si="13"/>
        <v>-16357.723199999995</v>
      </c>
      <c r="U32" s="187">
        <f t="shared" si="13"/>
        <v>-17352.500799999994</v>
      </c>
      <c r="V32" s="187">
        <f t="shared" si="13"/>
        <v>-3071.996000000001</v>
      </c>
      <c r="W32" s="187">
        <f t="shared" si="13"/>
        <v>-4066.7736000000004</v>
      </c>
      <c r="X32" s="187">
        <f t="shared" si="13"/>
        <v>10213.731199999993</v>
      </c>
      <c r="Y32" s="187">
        <f t="shared" si="13"/>
        <v>9218.9535999999935</v>
      </c>
      <c r="Z32" s="187">
        <f t="shared" si="13"/>
        <v>23499.458399999989</v>
      </c>
      <c r="AA32" s="187">
        <f t="shared" si="13"/>
        <v>22504.680799999987</v>
      </c>
      <c r="AB32" s="187">
        <f t="shared" si="13"/>
        <v>36785.185599999983</v>
      </c>
      <c r="AC32" s="187">
        <f t="shared" si="13"/>
        <v>35790.407999999981</v>
      </c>
      <c r="AD32" s="187">
        <f t="shared" si="13"/>
        <v>50070.912799999976</v>
      </c>
      <c r="AE32" s="187"/>
      <c r="AF32" s="187"/>
      <c r="AG32" s="187"/>
      <c r="AH32" s="187"/>
      <c r="AI32" s="187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</row>
    <row r="33" spans="2:35" x14ac:dyDescent="0.25">
      <c r="B33" s="170">
        <f t="shared" ref="B33:AD33" si="14">B32/$B$13</f>
        <v>-1.0094041801557803</v>
      </c>
      <c r="C33" s="170">
        <f t="shared" si="14"/>
        <v>-1.0188083603115603</v>
      </c>
      <c r="D33" s="170">
        <f t="shared" si="14"/>
        <v>-1.0282125404673406</v>
      </c>
      <c r="E33" s="170">
        <f t="shared" si="14"/>
        <v>-1.0376167206231206</v>
      </c>
      <c r="F33" s="170">
        <f t="shared" si="14"/>
        <v>-1.033819600015746</v>
      </c>
      <c r="G33" s="170">
        <f t="shared" si="14"/>
        <v>-1.0432237801715261</v>
      </c>
      <c r="H33" s="170">
        <f t="shared" si="14"/>
        <v>-0.90822230863187436</v>
      </c>
      <c r="I33" s="170">
        <f t="shared" si="14"/>
        <v>-0.91762648878765452</v>
      </c>
      <c r="J33" s="170">
        <f t="shared" si="14"/>
        <v>-0.78262501724800271</v>
      </c>
      <c r="K33" s="170">
        <f t="shared" si="14"/>
        <v>-0.79202919740378286</v>
      </c>
      <c r="L33" s="170">
        <f t="shared" si="14"/>
        <v>-0.65702772586413116</v>
      </c>
      <c r="M33" s="170">
        <f t="shared" si="14"/>
        <v>-0.66643190601991131</v>
      </c>
      <c r="N33" s="170">
        <f t="shared" si="14"/>
        <v>-0.53143043448025951</v>
      </c>
      <c r="O33" s="170">
        <f t="shared" si="14"/>
        <v>-0.54083461463603966</v>
      </c>
      <c r="P33" s="170">
        <f t="shared" si="14"/>
        <v>-0.40583314309638796</v>
      </c>
      <c r="Q33" s="170">
        <f t="shared" si="14"/>
        <v>-0.41523732325216811</v>
      </c>
      <c r="R33" s="170">
        <f t="shared" si="14"/>
        <v>-0.28023585171251636</v>
      </c>
      <c r="S33" s="170">
        <f t="shared" si="14"/>
        <v>-0.28964003186829651</v>
      </c>
      <c r="T33" s="170">
        <f t="shared" si="14"/>
        <v>-0.15463856032864479</v>
      </c>
      <c r="U33" s="170">
        <f t="shared" si="14"/>
        <v>-0.16404274048442491</v>
      </c>
      <c r="V33" s="170">
        <f t="shared" si="14"/>
        <v>-2.9041268944773178E-2</v>
      </c>
      <c r="W33" s="170">
        <f t="shared" si="14"/>
        <v>-3.8445449100553315E-2</v>
      </c>
      <c r="X33" s="170">
        <f t="shared" si="14"/>
        <v>9.6556022439098416E-2</v>
      </c>
      <c r="Y33" s="170">
        <f t="shared" si="14"/>
        <v>8.7151842283318279E-2</v>
      </c>
      <c r="Z33" s="170">
        <f t="shared" si="14"/>
        <v>0.22215331382297002</v>
      </c>
      <c r="AA33" s="170">
        <f t="shared" si="14"/>
        <v>0.21274913366718987</v>
      </c>
      <c r="AB33" s="170">
        <f t="shared" si="14"/>
        <v>0.34775060520684165</v>
      </c>
      <c r="AC33" s="170">
        <f t="shared" si="14"/>
        <v>0.33834642505106144</v>
      </c>
      <c r="AD33" s="170">
        <f t="shared" si="14"/>
        <v>0.47334789659071325</v>
      </c>
      <c r="AE33" s="170"/>
      <c r="AF33" s="170"/>
      <c r="AG33" s="170"/>
      <c r="AH33" s="170"/>
      <c r="AI33" s="170"/>
    </row>
    <row r="36" spans="2:35" x14ac:dyDescent="0.25">
      <c r="K36" s="170"/>
    </row>
    <row r="37" spans="2:35" x14ac:dyDescent="0.25">
      <c r="K37" s="170"/>
    </row>
    <row r="38" spans="2:35" x14ac:dyDescent="0.25">
      <c r="K38" s="170"/>
    </row>
    <row r="39" spans="2:35" x14ac:dyDescent="0.25">
      <c r="K39" s="17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DFAA-7030-4ED6-AE8A-B1B368E55DEE}">
  <sheetPr>
    <tabColor theme="4" tint="0.79998168889431442"/>
  </sheetPr>
  <dimension ref="A1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301">
        <v>43732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Hall_of_Fame</vt:lpstr>
      <vt:lpstr>Plantilla</vt:lpstr>
      <vt:lpstr>Juvenils</vt:lpstr>
      <vt:lpstr>Planning</vt:lpstr>
      <vt:lpstr>Tacticas</vt:lpstr>
      <vt:lpstr>Porteria</vt:lpstr>
      <vt:lpstr>Economia</vt:lpstr>
      <vt:lpstr>Ahch-To</vt:lpstr>
      <vt:lpstr>Banderas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2019-09-27T10:03:26Z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