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omments8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ny11"/>
  <workbookPr/>
  <bookViews>
    <workbookView activeTab="2" xWindow="240" yWindow="60" windowWidth="14805" windowHeight="7350" tabRatio="500"/>
  </bookViews>
  <sheets>
    <sheet name="Luke - Ajax" sheetId="1" r:id="rId4"/>
    <sheet name="VADER-Profesioteam" sheetId="2" r:id="rId5"/>
    <sheet name="Vader-Sinnsen" sheetId="3" r:id="rId6"/>
    <sheet name="SIMULADOR_v3" sheetId="4" r:id="rId7"/>
    <sheet name="SIMULADOR&gt;22-12-17_v2" sheetId="5" r:id="rId8"/>
    <sheet name="SIMULADOR&gt;22-12-17" sheetId="6" r:id="rId9"/>
    <sheet name="SIMULADOR" sheetId="7" r:id="rId10"/>
    <sheet name="SIMULADOR_sinJC" sheetId="8" r:id="rId11"/>
  </sheets>
  <calcPr/>
  <extLst>
    <ext uri="smNativeData">
      <pm:revision xmlns:pm="smNativeData" day="1595253380" val="976" rev="124" rev64="64" revOS="3" revMin="124" revMax="0"/>
      <pm:docPrefs xmlns:pm="smNativeData" id="1595253380" fixedDigits="0" showNotice="1" showFrameBounds="1" autoChart="1" recalcOnPrint="1" recalcOnCopy="1" finalRounding="1" compatTextArt="1" tab="567" useDefinedPrintRange="1" printArea="currentSheet"/>
      <pm:compatibility xmlns:pm="smNativeData" id="1595253380" overlapCells="1"/>
      <pm:defCurrency xmlns:pm="smNativeData" id="159525338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37!!!!!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37!!!!!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37!!!!!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37!!!!!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5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O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distribución normal de un partdo, no evento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Y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distribucion normal de un partido, no evento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37!!!!!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6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O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distribución normal de un partdo, no evento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Y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distribucion normal de un partido, no evento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19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comments7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19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O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distribución normal de un partdo, no evento</t>
        </r>
      </text>
    </comment>
    <comment ref="Y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distribucion normal de un partido, no evento</t>
        </r>
      </text>
    </comment>
  </commentList>
</comments>
</file>

<file path=xl/comments8.xml><?xml version="1.0" encoding="utf-8"?>
<comments xmlns="http://schemas.openxmlformats.org/spreadsheetml/2006/main">
  <authors>
    <author>Unknown</author>
  </authors>
  <commentList>
    <comment ref="W5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>0,017
Aparicion según PASES
Conversión según ANOTACION receptor
Receptor Extremos y delanteros</t>
        </r>
      </text>
    </comment>
    <comment ref="W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0,028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Extremos y Delanteros
Aparición solo por ser IMP
Conversión depende nivel anotación del IMP</t>
        </r>
      </text>
    </comment>
    <comment ref="O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distribución normal de un partdo, no evento</t>
        </r>
      </text>
    </comment>
    <comment ref="W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 (no es conocido)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Solamente si hay jugadores con ANOTACION+BP
Qualquier jugador de campo</t>
        </r>
      </text>
    </comment>
    <comment ref="Y7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595253380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9"/>
            <b val="0"/>
            <i val="0"/>
            <extLst>
              <ext uri="smNativeData">
                <pm:charSpec xmlns:pm="smNativeData" id="1595253380">
                  <pm:latin face="Tahoma" sz="180" weight="normal" i="0"/>
                  <pm:cs weight="normal"/>
                  <pm:ea weight="normal"/>
                </pm:charSpec>
              </ext>
            </extLst>
          </rPr>
          <t xml:space="preserve">
Como distribucion normal de un partido, no evento</t>
        </r>
      </text>
    </comment>
    <comment ref="W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0,018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Aparicion solo por IMP
Conversión según ANOTACION receptor
Receptor Extremos y delanteros</t>
        </r>
      </text>
    </comment>
    <comment ref="W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Según nivel de defensa del IMP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0,045 Medios
0,015 Defensas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Se genera por ser RAP
Conversión según anotación RAP y Defensa DEF</t>
        </r>
      </text>
    </comment>
    <comment ref="W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0,075 lineal por ser RAP (puede de PASES pero no se sabe)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Remata siempre un delantero y no depende del rival</t>
        </r>
      </text>
    </comment>
    <comment ref="W12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0,1
Defensa o Medio con Resistencia &gt;=debil
Conversión depende de la anotación del jugador rival
</t>
        </r>
      </text>
    </comment>
    <comment ref="W13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0,133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alto BP del lanzador + Anotación del receptor (qualquier)
Conversión depende de la ANOTACION </t>
        </r>
      </text>
    </comment>
    <comment ref="W1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0,08 lineal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Gran efectividad 90% según cabezones del rival, pero no baja hasta grandes diferencias</t>
        </r>
      </text>
    </comment>
    <comment ref="W15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0,03 (depende del XP de los jugadores)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weight="bold"/>
                  <pm:ea weight="bold"/>
                </pm:charSpec>
              </ext>
            </extLst>
          </rPr>
          <t xml:space="preserve">
</t>
        </r>
      </text>
    </comment>
    <comment ref="W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0,3 (muy común si es posible)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Evento negativo que pueden provocar los defensas o inner por tener un nivel bajo de experiencia (&lt;debil)</t>
        </r>
      </text>
    </comment>
    <comment ref="A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"Pres" "normal" "AOW" "AIM"</t>
        </r>
      </text>
    </comment>
    <comment ref="W17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 xml:space="preserve">0,04
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>Si el rematador es cabezon efectividad 0,9 sino cuenta la anotación y baja mucho la conversión</t>
        </r>
      </text>
    </comment>
    <comment ref="W1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Incluyo en el 19</t>
        </r>
      </text>
    </comment>
    <comment ref="W19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0,045 lineal por TEC (extremos y delanteros)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Si el rival tiene CAB en medios y defensas
Parece ser que depende de la anotacion y la defensa</t>
        </r>
      </text>
    </comment>
    <comment ref="A20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Si Pression me cargo 2 ocaciones</t>
        </r>
      </text>
    </comment>
    <comment ref="A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Solo para el calculo de efectividad, no cuenta para nada más. Las ocasiones se miran en otra parte en el simulador</t>
        </r>
      </text>
    </comment>
    <comment ref="U34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  <comment ref="U48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595253380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Autor: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595253380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10 o más</t>
        </r>
      </text>
    </comment>
  </commentList>
</comments>
</file>

<file path=xl/sharedStrings.xml><?xml version="1.0" encoding="utf-8"?>
<sst xmlns="http://schemas.openxmlformats.org/spreadsheetml/2006/main" count="1782" uniqueCount="168">
  <si>
    <t>Luke</t>
  </si>
  <si>
    <t>NEU</t>
  </si>
  <si>
    <t>RAP</t>
  </si>
  <si>
    <t>Ajax</t>
  </si>
  <si>
    <t>OFF</t>
  </si>
  <si>
    <t>TEC</t>
  </si>
  <si>
    <t>All</t>
  </si>
  <si>
    <t>Clima</t>
  </si>
  <si>
    <t>Sol</t>
  </si>
  <si>
    <t>POT</t>
  </si>
  <si>
    <t>Ext+Del</t>
  </si>
  <si>
    <t>Del</t>
  </si>
  <si>
    <t>LOC</t>
  </si>
  <si>
    <t>VIS</t>
  </si>
  <si>
    <t>Loc</t>
  </si>
  <si>
    <t>HPrin</t>
  </si>
  <si>
    <t>Exp</t>
  </si>
  <si>
    <t>An</t>
  </si>
  <si>
    <t>Vis</t>
  </si>
  <si>
    <t>Pcrear</t>
  </si>
  <si>
    <t>Pconv</t>
  </si>
  <si>
    <t>p</t>
  </si>
  <si>
    <t>pLoc</t>
  </si>
  <si>
    <t>p(0)</t>
  </si>
  <si>
    <t>p(1)</t>
  </si>
  <si>
    <t>p(2)</t>
  </si>
  <si>
    <t>Ev</t>
  </si>
  <si>
    <t>pVis</t>
  </si>
  <si>
    <t>pEq</t>
  </si>
  <si>
    <t>N</t>
  </si>
  <si>
    <t>pbase_P</t>
  </si>
  <si>
    <t>pbase</t>
  </si>
  <si>
    <t>Pslot</t>
  </si>
  <si>
    <t>FORMACION</t>
  </si>
  <si>
    <t>POR</t>
  </si>
  <si>
    <t>no</t>
  </si>
  <si>
    <t>Pase largo de imprevisible</t>
  </si>
  <si>
    <t>05</t>
  </si>
  <si>
    <t>Mediocampo</t>
  </si>
  <si>
    <t>LAT</t>
  </si>
  <si>
    <t>IMP</t>
  </si>
  <si>
    <t>Imprevisible recupera balón</t>
  </si>
  <si>
    <t>06</t>
  </si>
  <si>
    <t>Defensa derecha</t>
  </si>
  <si>
    <t>DC</t>
  </si>
  <si>
    <t>IMP Propia</t>
  </si>
  <si>
    <t>25</t>
  </si>
  <si>
    <t>Defensa central</t>
  </si>
  <si>
    <t>Imprevisible crea ocasión</t>
  </si>
  <si>
    <t>08</t>
  </si>
  <si>
    <t>Defensa izquierda</t>
  </si>
  <si>
    <t>Pérdida de balón Imprev.</t>
  </si>
  <si>
    <t>09</t>
  </si>
  <si>
    <t>Ataque derecho</t>
  </si>
  <si>
    <t>Rápido dispara a gol</t>
  </si>
  <si>
    <t>15</t>
  </si>
  <si>
    <t>Ataque central</t>
  </si>
  <si>
    <t>MD</t>
  </si>
  <si>
    <t>Pase de un jugador rápido</t>
  </si>
  <si>
    <t>16</t>
  </si>
  <si>
    <t>Ataque izquierdo</t>
  </si>
  <si>
    <t>Cansancio</t>
  </si>
  <si>
    <t>17</t>
  </si>
  <si>
    <t>Faltas indirectas Def</t>
  </si>
  <si>
    <t>Córner</t>
  </si>
  <si>
    <t>18</t>
  </si>
  <si>
    <t>Faltas indirectas At</t>
  </si>
  <si>
    <t>EXT</t>
  </si>
  <si>
    <t>Córner + cabeceador</t>
  </si>
  <si>
    <t>19</t>
  </si>
  <si>
    <t>Experiencia Equipo</t>
  </si>
  <si>
    <t>Experiencia</t>
  </si>
  <si>
    <t>35</t>
  </si>
  <si>
    <t xml:space="preserve">Nivel medio HabPri </t>
  </si>
  <si>
    <t>DV</t>
  </si>
  <si>
    <t>Inexperiencia</t>
  </si>
  <si>
    <t>36</t>
  </si>
  <si>
    <t>Tactica</t>
  </si>
  <si>
    <t>Normal</t>
  </si>
  <si>
    <t>Extremo + anotación</t>
  </si>
  <si>
    <t>37</t>
  </si>
  <si>
    <t>Nivel Tactica</t>
  </si>
  <si>
    <t>Extremo + cabeceador</t>
  </si>
  <si>
    <t>38</t>
  </si>
  <si>
    <t>&lt;3</t>
  </si>
  <si>
    <t>3 o más</t>
  </si>
  <si>
    <t>Técnivo vs. Cabeceador</t>
  </si>
  <si>
    <t>39</t>
  </si>
  <si>
    <t>Oca Destruidas Pression</t>
  </si>
  <si>
    <t>Ocasiones Compartidas</t>
  </si>
  <si>
    <t>Posesión HT</t>
  </si>
  <si>
    <t>Ocasiones Gol</t>
  </si>
  <si>
    <t>Posesión Real</t>
  </si>
  <si>
    <t>Local</t>
  </si>
  <si>
    <t>Visitante</t>
  </si>
  <si>
    <t>G</t>
  </si>
  <si>
    <t>GT</t>
  </si>
  <si>
    <t>p(x)</t>
  </si>
  <si>
    <t>EE(x)</t>
  </si>
  <si>
    <t>OcaS</t>
  </si>
  <si>
    <t>P</t>
  </si>
  <si>
    <t>O_CA</t>
  </si>
  <si>
    <t>TotalN</t>
  </si>
  <si>
    <t>OcaCA</t>
  </si>
  <si>
    <t>Total</t>
  </si>
  <si>
    <t>E(x)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</si>
  <si>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</si>
  <si>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</si>
  <si>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</si>
  <si>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</si>
  <si>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</si>
  <si>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</si>
  <si>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</si>
  <si>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</si>
  <si>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</si>
  <si>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</si>
  <si>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</si>
  <si>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at-central</t>
  </si>
  <si>
    <t>at-derecha</t>
  </si>
  <si>
    <t>at-izquierda</t>
  </si>
  <si>
    <t>at-bp-d</t>
  </si>
  <si>
    <t>at-bp-i</t>
  </si>
  <si>
    <t>Tiro Lejano</t>
  </si>
  <si>
    <t>Efectividad</t>
  </si>
  <si>
    <t>Probabilidad de TL</t>
  </si>
  <si>
    <t>Probabilidad de CA</t>
  </si>
  <si>
    <t>Ocasiones Total Gol</t>
  </si>
  <si>
    <t>EMPATE</t>
  </si>
  <si>
    <t>VISITANT</t>
  </si>
  <si>
    <t>LOCAL</t>
  </si>
  <si>
    <t>Esp</t>
  </si>
  <si>
    <t>+/-</t>
  </si>
  <si>
    <t>Hab</t>
  </si>
  <si>
    <t>Tiempo</t>
  </si>
  <si>
    <t>Lluvia</t>
  </si>
  <si>
    <t>-</t>
  </si>
  <si>
    <t>-JUG-ANO</t>
  </si>
  <si>
    <t>1º+2º</t>
  </si>
  <si>
    <t>+</t>
  </si>
  <si>
    <t>+JUG+ANO</t>
  </si>
  <si>
    <t xml:space="preserve">POT </t>
  </si>
  <si>
    <t>+DF+JG+AN</t>
  </si>
  <si>
    <t>-ANO-RES</t>
  </si>
  <si>
    <t>2º</t>
  </si>
  <si>
    <t>-DEF-ANO</t>
  </si>
  <si>
    <t>-DEF</t>
  </si>
  <si>
    <t>Vader</t>
  </si>
  <si>
    <t>Profesioteam</t>
  </si>
  <si>
    <t>CAB</t>
  </si>
  <si>
    <t>CA</t>
  </si>
  <si>
    <t>AIM</t>
  </si>
  <si>
    <t>Obiwan</t>
  </si>
  <si>
    <t>Eventos</t>
  </si>
  <si>
    <t>0,4</t>
  </si>
  <si>
    <t>0,6</t>
  </si>
  <si>
    <t>0,72</t>
  </si>
  <si>
    <t>pA</t>
  </si>
  <si>
    <t>Tiro lejano</t>
  </si>
  <si>
    <t>07</t>
  </si>
  <si>
    <t>JC</t>
  </si>
  <si>
    <t>Ev.Clima</t>
  </si>
  <si>
    <t>&lt;debil</t>
  </si>
  <si>
    <t>Constantes Clima</t>
  </si>
  <si>
    <t>pLocal50</t>
  </si>
  <si>
    <t>pVis50</t>
  </si>
  <si>
    <t>FORM</t>
  </si>
  <si>
    <t>rap</t>
  </si>
  <si>
    <t>Nublado</t>
  </si>
</sst>
</file>

<file path=xl/styles.xml><?xml version="1.0" encoding="utf-8"?>
<styleSheet xmlns="http://schemas.openxmlformats.org/spreadsheetml/2006/main">
  <numFmts count="1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0.0%"/>
    <numFmt numFmtId="166" formatCode="0.0000"/>
    <numFmt numFmtId="167" formatCode="_-* #,##0.000\ _€_-;\-* #,##0.000\ _€_-;_-* &quot;-&quot;??\ _€_-;_-@_-"/>
    <numFmt numFmtId="168" formatCode="0.000"/>
    <numFmt numFmtId="169" formatCode="#,##0.000_ ;\-#,##0.000\ "/>
    <numFmt numFmtId="9" formatCode="0%"/>
    <numFmt numFmtId="2" formatCode="0.00"/>
    <numFmt numFmtId="49" formatCode="@"/>
    <numFmt numFmtId="1" formatCode="0"/>
    <numFmt numFmtId="10" formatCode="0.00%"/>
  </numFmts>
  <fonts count="14">
    <font>
      <name val="Calibri"/>
      <family val="2"/>
      <color rgb="FF000000"/>
      <sz val="11"/>
      <extLst>
        <ext uri="smNativeData">
          <pm:charSpec xmlns:pm="smNativeData" id="159525338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25338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525338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525338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595253380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B050"/>
      <sz val="11"/>
      <extLst>
        <ext uri="smNativeData">
          <pm:charSpec xmlns:pm="smNativeData" id="1595253380" fgClr="00B05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95253380" ulstyle="singl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952533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B050"/>
      <sz val="11"/>
      <extLst>
        <ext uri="smNativeData">
          <pm:charSpec xmlns:pm="smNativeData" id="1595253380" fgClr="00B05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595253380" ulstyle="none" kern="1">
            <pm:latin face="Calibri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FF0000"/>
      <sz val="8"/>
      <extLst>
        <ext uri="smNativeData">
          <pm:charSpec xmlns:pm="smNativeData" id="1595253380" fgClr="FF0000" ulstyle="none" kern="1">
            <pm:latin face="Calibri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9525338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Verdana"/>
      <family val="2"/>
      <color rgb="FF000000"/>
      <sz val="8"/>
      <extLst>
        <ext uri="smNativeData">
          <pm:charSpec xmlns:pm="smNativeData" id="1595253380" ulstyle="none" kern="1">
            <pm:latin face="Verdana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595253380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</fonts>
  <fills count="62">
    <fill>
      <patternFill patternType="none"/>
    </fill>
    <fill>
      <patternFill patternType="gray125"/>
    </fill>
    <fill>
      <patternFill patternType="solid">
        <fgColor rgb="FFCCC0DA"/>
        <bgColor rgb="FFFFFFFF"/>
        <extLst>
          <ext uri="smNativeData">
            <pm:shade xmlns:pm="smNativeData" id="1595253380" type="1" fgLvl="100" fgClr="00CCC0DA" bgLvl="0" bgClr="00000000"/>
          </ext>
        </extLst>
      </patternFill>
    </fill>
    <fill>
      <patternFill patternType="none"/>
    </fill>
    <fill>
      <patternFill patternType="solid">
        <fgColor rgb="FFFCD5B4"/>
        <bgColor rgb="FFFFFFFF"/>
        <extLst>
          <ext uri="smNativeData">
            <pm:shade xmlns:pm="smNativeData" id="1595253380" type="1" fgLvl="100" fgClr="00FCD5B4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5253380" type="1" fgLvl="100" fgClr="00D7E3BB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95253380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5253380" type="1" fgLvl="100" fgClr="00D8D8D8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5253380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none"/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95253380" type="1" fgLvl="100" fgClr="0000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5253380" type="1" fgLvl="100" fgClr="00FFFF00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5253380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5253380" type="1" fgLvl="100" fgClr="00FFFFFF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595253380" type="1" fgLvl="100" fgClr="00FCD5B4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95253380" type="1" fgLvl="100" fgClr="00DAEEF3" bgLvl="0" bgClr="00000000"/>
          </ext>
        </extLst>
      </patternFill>
    </fill>
    <fill>
      <patternFill patternType="solid">
        <fgColor rgb="FFC4BD97"/>
        <bgColor rgb="FFFFFFFF"/>
        <extLst>
          <ext uri="smNativeData">
            <pm:shade xmlns:pm="smNativeData" id="1595253380" type="1" fgLvl="100" fgClr="00C4BD97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95253380" type="1" fgLvl="100" fgClr="00FFFF00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595253380" type="1" fgLvl="100" fgClr="00E6B8B7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595253380" type="1" fgLvl="100" fgClr="00C2D69A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95253380" type="1" fgLvl="100" fgClr="00FDE9D9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95253380" type="1" fgLvl="100" fgClr="00D8D8D8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95253380" type="1" fgLvl="100" fgClr="00FDE9D9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5253380" type="1" fgLvl="100" fgClr="00DCE6F1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5253380" type="1" fgLvl="100" fgClr="00DCE6F1" bgLvl="0" bgClr="00000000"/>
          </ext>
        </extLst>
      </patternFill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595253380" type="1" fgLvl="100" fgClr="00FDE9D9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595253380" type="1" fgLvl="100" fgClr="00B7DEE8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595253380" type="1" fgLvl="100" fgClr="00B7DEE8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5253380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5253380" type="1" fgLvl="100" fgClr="00FFFFFF" bgLvl="10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95253380" type="1" fgLvl="100" fgClr="00DCE6F1" bgLvl="0" bgClr="00000000"/>
          </ext>
        </extLst>
      </patternFill>
    </fill>
  </fills>
  <borders count="6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2533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525338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53380"/>
        </ext>
      </extLst>
    </border>
  </borders>
  <cellStyleXfs count="3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StyleXfs>
  <cellXfs count="209">
    <xf numFmtId="0" fontId="0" fillId="0" borderId="0" xfId="0"/>
    <xf numFmtId="164" fontId="0" fillId="0" borderId="0" xfId="1"/>
    <xf numFmtId="9" fontId="0" fillId="0" borderId="0" xfId="2"/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right"/>
    </xf>
    <xf numFmtId="2" fontId="4" fillId="0" borderId="2" xfId="0" applyNumberFormat="1" applyFont="1" applyBorder="1"/>
    <xf numFmtId="2" fontId="5" fillId="0" borderId="2" xfId="0" applyNumberFormat="1" applyFont="1" applyBorder="1"/>
    <xf numFmtId="0" fontId="6" fillId="4" borderId="3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6" fillId="6" borderId="5" xfId="0" applyFont="1" applyFill="1" applyBorder="1" applyAlignment="1">
      <alignment horizontal="right"/>
    </xf>
    <xf numFmtId="0" fontId="4" fillId="6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9" borderId="8" xfId="0" applyNumberFormat="1" applyFont="1" applyFill="1" applyBorder="1" applyAlignment="1">
      <alignment horizontal="center"/>
    </xf>
    <xf numFmtId="0" fontId="0" fillId="0" borderId="0" xfId="0"/>
    <xf numFmtId="49" fontId="5" fillId="0" borderId="2" xfId="0" applyNumberFormat="1" applyFont="1" applyBorder="1" applyAlignment="1">
      <alignment horizontal="center"/>
    </xf>
    <xf numFmtId="49" fontId="5" fillId="9" borderId="8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3" fillId="9" borderId="8" xfId="0" applyFont="1" applyFill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6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0" xfId="0" applyNumberFormat="1" applyFont="1"/>
    <xf numFmtId="0" fontId="3" fillId="5" borderId="4" xfId="0" applyFont="1" applyFill="1" applyBorder="1" applyAlignment="1">
      <alignment horizontal="center"/>
    </xf>
    <xf numFmtId="0" fontId="0" fillId="0" borderId="0" xfId="0"/>
    <xf numFmtId="165" fontId="0" fillId="0" borderId="0" xfId="2" applyNumberFormat="1"/>
    <xf numFmtId="0" fontId="3" fillId="0" borderId="0" xfId="0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164" fontId="0" fillId="0" borderId="0" xfId="1"/>
    <xf numFmtId="165" fontId="0" fillId="0" borderId="2" xfId="2" applyNumberFormat="1" applyBorder="1" applyAlignment="1">
      <alignment horizontal="center"/>
    </xf>
    <xf numFmtId="0" fontId="3" fillId="10" borderId="9" xfId="0" applyFont="1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166" fontId="0" fillId="9" borderId="8" xfId="0" applyNumberFormat="1" applyFill="1" applyBorder="1"/>
    <xf numFmtId="166" fontId="0" fillId="9" borderId="8" xfId="0" applyNumberFormat="1" applyFill="1" applyBorder="1"/>
    <xf numFmtId="166" fontId="0" fillId="10" borderId="9" xfId="0" applyNumberFormat="1" applyFill="1" applyBorder="1"/>
    <xf numFmtId="166" fontId="0" fillId="10" borderId="9" xfId="0" applyNumberFormat="1" applyFill="1" applyBorder="1"/>
    <xf numFmtId="165" fontId="4" fillId="9" borderId="8" xfId="2" applyNumberFormat="1" applyFont="1" applyFill="1" applyBorder="1"/>
    <xf numFmtId="165" fontId="3" fillId="9" borderId="8" xfId="2" applyNumberFormat="1" applyFont="1" applyFill="1" applyBorder="1"/>
    <xf numFmtId="165" fontId="5" fillId="9" borderId="8" xfId="2" applyNumberFormat="1" applyFont="1" applyFill="1" applyBorder="1"/>
    <xf numFmtId="0" fontId="9" fillId="9" borderId="8" xfId="0" applyFont="1" applyFill="1" applyBorder="1"/>
    <xf numFmtId="0" fontId="10" fillId="9" borderId="8" xfId="0" applyFont="1" applyFill="1" applyBorder="1"/>
    <xf numFmtId="0" fontId="3" fillId="9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right" wrapText="1"/>
    </xf>
    <xf numFmtId="2" fontId="4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/>
    </xf>
    <xf numFmtId="2" fontId="5" fillId="0" borderId="2" xfId="0" applyNumberFormat="1" applyFont="1" applyBorder="1" applyAlignment="1">
      <alignment wrapText="1"/>
    </xf>
    <xf numFmtId="0" fontId="8" fillId="0" borderId="2" xfId="0" applyFont="1" applyBorder="1" applyAlignment="1">
      <alignment horizontal="right"/>
    </xf>
    <xf numFmtId="168" fontId="3" fillId="6" borderId="5" xfId="0" applyNumberFormat="1" applyFont="1" applyFill="1" applyBorder="1"/>
    <xf numFmtId="168" fontId="3" fillId="7" borderId="6" xfId="0" applyNumberFormat="1" applyFont="1" applyFill="1" applyBorder="1"/>
    <xf numFmtId="167" fontId="0" fillId="7" borderId="6" xfId="1" applyNumberFormat="1" applyFill="1" applyBorder="1"/>
    <xf numFmtId="167" fontId="0" fillId="0" borderId="0" xfId="1" applyNumberFormat="1"/>
    <xf numFmtId="165" fontId="3" fillId="6" borderId="5" xfId="2" applyNumberFormat="1" applyFont="1" applyFill="1" applyBorder="1"/>
    <xf numFmtId="165" fontId="3" fillId="7" borderId="6" xfId="2" applyNumberFormat="1" applyFont="1" applyFill="1" applyBorder="1"/>
    <xf numFmtId="9" fontId="0" fillId="6" borderId="5" xfId="2" applyFill="1" applyBorder="1"/>
    <xf numFmtId="9" fontId="0" fillId="7" borderId="6" xfId="2" applyFill="1" applyBorder="1"/>
    <xf numFmtId="9" fontId="3" fillId="6" borderId="5" xfId="2" applyFont="1" applyFill="1" applyBorder="1"/>
    <xf numFmtId="9" fontId="3" fillId="11" borderId="10" xfId="2" applyFont="1" applyFill="1" applyBorder="1"/>
    <xf numFmtId="168" fontId="4" fillId="9" borderId="8" xfId="0" applyNumberFormat="1" applyFont="1" applyFill="1" applyBorder="1" applyAlignment="1">
      <alignment horizontal="center"/>
    </xf>
    <xf numFmtId="168" fontId="4" fillId="0" borderId="2" xfId="0" applyNumberFormat="1" applyFont="1" applyBorder="1" applyAlignment="1">
      <alignment horizontal="center"/>
    </xf>
    <xf numFmtId="168" fontId="5" fillId="9" borderId="8" xfId="0" applyNumberFormat="1" applyFont="1" applyFill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2" applyNumberFormat="1" applyBorder="1" applyAlignment="1">
      <alignment horizontal="center"/>
    </xf>
    <xf numFmtId="167" fontId="0" fillId="0" borderId="0" xfId="1" applyNumberFormat="1" applyAlignment="1">
      <alignment horizontal="center"/>
    </xf>
    <xf numFmtId="167" fontId="0" fillId="6" borderId="5" xfId="1" applyNumberFormat="1" applyFill="1" applyBorder="1"/>
    <xf numFmtId="165" fontId="0" fillId="0" borderId="0" xfId="2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2" xfId="1" applyBorder="1" applyAlignment="1">
      <alignment horizontal="center"/>
    </xf>
    <xf numFmtId="164" fontId="0" fillId="0" borderId="2" xfId="1" applyBorder="1" applyAlignment="1">
      <alignment horizontal="center"/>
    </xf>
    <xf numFmtId="164" fontId="0" fillId="0" borderId="0" xfId="1"/>
    <xf numFmtId="164" fontId="0" fillId="0" borderId="0" xfId="0" applyNumberFormat="1"/>
    <xf numFmtId="167" fontId="0" fillId="0" borderId="0" xfId="0" applyNumberFormat="1"/>
    <xf numFmtId="0" fontId="3" fillId="1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165" fontId="3" fillId="0" borderId="13" xfId="2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5" fontId="3" fillId="0" borderId="16" xfId="2" applyNumberFormat="1" applyFont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65" fontId="3" fillId="0" borderId="20" xfId="2" applyNumberFormat="1" applyFont="1" applyBorder="1" applyAlignment="1">
      <alignment horizontal="center"/>
    </xf>
    <xf numFmtId="0" fontId="3" fillId="22" borderId="21" xfId="0" applyFont="1" applyFill="1" applyBorder="1" applyAlignment="1">
      <alignment horizontal="center"/>
    </xf>
    <xf numFmtId="0" fontId="3" fillId="23" borderId="22" xfId="0" applyFont="1" applyFill="1" applyBorder="1" applyAlignment="1">
      <alignment horizontal="center"/>
    </xf>
    <xf numFmtId="0" fontId="3" fillId="24" borderId="23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7" borderId="26" xfId="0" applyFont="1" applyFill="1" applyBorder="1" applyAlignment="1">
      <alignment horizontal="center"/>
    </xf>
    <xf numFmtId="0" fontId="3" fillId="28" borderId="27" xfId="0" applyFont="1" applyFill="1" applyBorder="1" applyAlignment="1">
      <alignment horizontal="center"/>
    </xf>
    <xf numFmtId="0" fontId="3" fillId="29" borderId="28" xfId="0" applyFont="1" applyFill="1" applyBorder="1" applyAlignment="1">
      <alignment horizontal="center"/>
    </xf>
    <xf numFmtId="165" fontId="0" fillId="0" borderId="0" xfId="0" applyNumberFormat="1"/>
    <xf numFmtId="165" fontId="11" fillId="30" borderId="29" xfId="0" applyNumberFormat="1" applyFont="1" applyFill="1"/>
    <xf numFmtId="0" fontId="0" fillId="31" borderId="30" xfId="0" applyFill="1" applyAlignment="1">
      <alignment horizontal="right"/>
    </xf>
    <xf numFmtId="0" fontId="0" fillId="32" borderId="31" xfId="0" applyFill="1" applyAlignment="1">
      <alignment horizontal="right"/>
    </xf>
    <xf numFmtId="0" fontId="0" fillId="33" borderId="32" xfId="0" applyFill="1" applyAlignment="1">
      <alignment horizontal="right"/>
    </xf>
    <xf numFmtId="0" fontId="12" fillId="34" borderId="33" xfId="0" applyFont="1" applyFill="1" applyBorder="1" applyAlignment="1">
      <alignment horizontal="left" vertical="top" wrapText="1"/>
    </xf>
    <xf numFmtId="0" fontId="12" fillId="35" borderId="34" xfId="0" applyFont="1" applyFill="1" applyBorder="1" applyAlignment="1">
      <alignment horizontal="left" vertical="top" wrapText="1"/>
    </xf>
    <xf numFmtId="0" fontId="12" fillId="36" borderId="35" xfId="0" applyFont="1" applyFill="1" applyBorder="1" applyAlignment="1">
      <alignment horizontal="left" vertical="top" wrapText="1"/>
    </xf>
    <xf numFmtId="49" fontId="12" fillId="36" borderId="35" xfId="0" applyNumberFormat="1" applyFont="1" applyFill="1" applyBorder="1" applyAlignment="1">
      <alignment horizontal="left" vertical="top" wrapText="1"/>
    </xf>
    <xf numFmtId="0" fontId="12" fillId="37" borderId="36" xfId="0" applyFont="1" applyFill="1" applyBorder="1" applyAlignment="1">
      <alignment horizontal="left" vertical="top" wrapText="1"/>
    </xf>
    <xf numFmtId="9" fontId="0" fillId="38" borderId="37" xfId="2" applyFill="1" applyBorder="1"/>
    <xf numFmtId="9" fontId="0" fillId="7" borderId="6" xfId="2" applyFill="1" applyBorder="1"/>
    <xf numFmtId="9" fontId="0" fillId="6" borderId="5" xfId="2" applyFill="1" applyBorder="1"/>
    <xf numFmtId="9" fontId="4" fillId="0" borderId="2" xfId="2" applyFont="1" applyBorder="1"/>
    <xf numFmtId="9" fontId="5" fillId="0" borderId="2" xfId="2" applyFont="1" applyBorder="1"/>
    <xf numFmtId="0" fontId="13" fillId="0" borderId="7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38" xfId="0" applyFont="1" applyBorder="1" applyAlignment="1">
      <alignment horizontal="center"/>
    </xf>
    <xf numFmtId="165" fontId="4" fillId="0" borderId="39" xfId="2" applyNumberFormat="1" applyFont="1" applyBorder="1" applyAlignment="1">
      <alignment horizontal="center"/>
    </xf>
    <xf numFmtId="165" fontId="4" fillId="0" borderId="13" xfId="2" applyNumberFormat="1" applyFont="1" applyBorder="1" applyAlignment="1">
      <alignment horizontal="center"/>
    </xf>
    <xf numFmtId="165" fontId="4" fillId="0" borderId="16" xfId="2" applyNumberFormat="1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165" fontId="5" fillId="0" borderId="39" xfId="2" applyNumberFormat="1" applyFont="1" applyBorder="1" applyAlignment="1">
      <alignment horizontal="center"/>
    </xf>
    <xf numFmtId="165" fontId="5" fillId="0" borderId="13" xfId="2" applyNumberFormat="1" applyFont="1" applyBorder="1" applyAlignment="1">
      <alignment horizontal="center"/>
    </xf>
    <xf numFmtId="165" fontId="5" fillId="0" borderId="16" xfId="2" applyNumberFormat="1" applyFont="1" applyBorder="1" applyAlignment="1">
      <alignment horizontal="center"/>
    </xf>
    <xf numFmtId="0" fontId="3" fillId="41" borderId="40" xfId="0" applyFont="1" applyFill="1" applyBorder="1" applyAlignment="1">
      <alignment horizontal="center"/>
    </xf>
    <xf numFmtId="167" fontId="0" fillId="0" borderId="41" xfId="1" applyNumberFormat="1" applyBorder="1" applyAlignment="1">
      <alignment horizontal="center"/>
    </xf>
    <xf numFmtId="165" fontId="3" fillId="43" borderId="42" xfId="2" applyNumberFormat="1" applyFont="1" applyFill="1" applyBorder="1" applyAlignment="1">
      <alignment horizontal="center"/>
    </xf>
    <xf numFmtId="165" fontId="0" fillId="0" borderId="12" xfId="2" applyNumberFormat="1" applyBorder="1" applyAlignment="1">
      <alignment horizontal="center"/>
    </xf>
    <xf numFmtId="0" fontId="3" fillId="44" borderId="43" xfId="0" applyFont="1" applyFill="1" applyBorder="1" applyAlignment="1">
      <alignment horizontal="center"/>
    </xf>
    <xf numFmtId="0" fontId="3" fillId="45" borderId="4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6" borderId="45" xfId="0" applyFont="1" applyFill="1" applyBorder="1" applyAlignment="1">
      <alignment horizontal="center"/>
    </xf>
    <xf numFmtId="0" fontId="3" fillId="47" borderId="46" xfId="0" applyFont="1" applyFill="1" applyBorder="1" applyAlignment="1">
      <alignment horizontal="center"/>
    </xf>
    <xf numFmtId="0" fontId="3" fillId="48" borderId="4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3" fillId="31" borderId="30" xfId="0" applyFont="1" applyFill="1" applyAlignment="1">
      <alignment horizontal="right"/>
    </xf>
    <xf numFmtId="0" fontId="0" fillId="31" borderId="30" xfId="0" applyFill="1" applyAlignment="1">
      <alignment horizontal="center"/>
    </xf>
    <xf numFmtId="0" fontId="0" fillId="0" borderId="2" xfId="0" applyBorder="1"/>
    <xf numFmtId="167" fontId="0" fillId="0" borderId="0" xfId="0" applyNumberFormat="1" applyAlignment="1">
      <alignment horizontal="right"/>
    </xf>
    <xf numFmtId="10" fontId="0" fillId="49" borderId="48" xfId="2" applyNumberFormat="1" applyFill="1"/>
    <xf numFmtId="165" fontId="0" fillId="0" borderId="0" xfId="2" applyNumberFormat="1"/>
    <xf numFmtId="0" fontId="4" fillId="50" borderId="4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165" fontId="0" fillId="51" borderId="50" xfId="2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9" fontId="5" fillId="52" borderId="51" xfId="0" applyNumberFormat="1" applyFont="1" applyFill="1" applyBorder="1" applyAlignment="1">
      <alignment horizontal="center"/>
    </xf>
    <xf numFmtId="49" fontId="4" fillId="52" borderId="51" xfId="0" applyNumberFormat="1" applyFont="1" applyFill="1" applyBorder="1" applyAlignment="1">
      <alignment horizontal="center"/>
    </xf>
    <xf numFmtId="0" fontId="5" fillId="53" borderId="52" xfId="0" applyFont="1" applyFill="1" applyBorder="1" applyAlignment="1">
      <alignment horizontal="center"/>
    </xf>
    <xf numFmtId="0" fontId="4" fillId="53" borderId="52" xfId="0" applyFont="1" applyFill="1" applyBorder="1" applyAlignment="1">
      <alignment horizontal="center"/>
    </xf>
    <xf numFmtId="2" fontId="4" fillId="52" borderId="51" xfId="0" applyNumberFormat="1" applyFont="1" applyFill="1" applyBorder="1"/>
    <xf numFmtId="2" fontId="5" fillId="52" borderId="51" xfId="0" applyNumberFormat="1" applyFont="1" applyFill="1" applyBorder="1"/>
    <xf numFmtId="2" fontId="4" fillId="52" borderId="51" xfId="0" applyNumberFormat="1" applyFont="1" applyFill="1" applyBorder="1" applyAlignment="1">
      <alignment wrapText="1"/>
    </xf>
    <xf numFmtId="2" fontId="5" fillId="52" borderId="51" xfId="0" applyNumberFormat="1" applyFont="1" applyFill="1" applyBorder="1" applyAlignment="1">
      <alignment wrapText="1"/>
    </xf>
    <xf numFmtId="0" fontId="2" fillId="52" borderId="51" xfId="0" applyFont="1" applyFill="1" applyBorder="1" applyAlignment="1">
      <alignment horizontal="right"/>
    </xf>
    <xf numFmtId="0" fontId="8" fillId="52" borderId="51" xfId="0" applyFont="1" applyFill="1" applyBorder="1" applyAlignment="1">
      <alignment horizontal="right"/>
    </xf>
    <xf numFmtId="9" fontId="4" fillId="52" borderId="51" xfId="2" applyFont="1" applyFill="1" applyBorder="1"/>
    <xf numFmtId="9" fontId="5" fillId="52" borderId="51" xfId="2" applyFont="1" applyFill="1" applyBorder="1"/>
    <xf numFmtId="166" fontId="0" fillId="0" borderId="2" xfId="0" applyNumberFormat="1" applyBorder="1"/>
    <xf numFmtId="166" fontId="0" fillId="0" borderId="2" xfId="0" applyNumberFormat="1" applyBorder="1"/>
    <xf numFmtId="166" fontId="0" fillId="0" borderId="53" xfId="0" applyNumberFormat="1" applyBorder="1"/>
    <xf numFmtId="166" fontId="0" fillId="0" borderId="53" xfId="0" applyNumberFormat="1" applyBorder="1"/>
    <xf numFmtId="165" fontId="4" fillId="0" borderId="2" xfId="2" applyNumberFormat="1" applyFont="1" applyBorder="1"/>
    <xf numFmtId="165" fontId="3" fillId="0" borderId="2" xfId="2" applyNumberFormat="1" applyFont="1" applyBorder="1"/>
    <xf numFmtId="165" fontId="4" fillId="0" borderId="0" xfId="2" applyNumberFormat="1" applyFont="1"/>
    <xf numFmtId="165" fontId="3" fillId="0" borderId="0" xfId="2" applyNumberFormat="1" applyFont="1"/>
    <xf numFmtId="165" fontId="5" fillId="0" borderId="2" xfId="2" applyNumberFormat="1" applyFont="1" applyBorder="1"/>
    <xf numFmtId="165" fontId="5" fillId="0" borderId="0" xfId="2" applyNumberFormat="1" applyFont="1"/>
    <xf numFmtId="0" fontId="9" fillId="51" borderId="50" xfId="0" applyFont="1" applyFill="1" applyBorder="1"/>
    <xf numFmtId="0" fontId="10" fillId="51" borderId="50" xfId="0" applyFont="1" applyFill="1" applyBorder="1"/>
    <xf numFmtId="0" fontId="3" fillId="51" borderId="50" xfId="0" applyFont="1" applyFill="1" applyBorder="1" applyAlignment="1">
      <alignment horizontal="right"/>
    </xf>
    <xf numFmtId="0" fontId="3" fillId="51" borderId="50" xfId="0" applyFont="1" applyFill="1" applyBorder="1" applyAlignment="1">
      <alignment horizontal="right" wrapText="1"/>
    </xf>
    <xf numFmtId="0" fontId="3" fillId="55" borderId="54" xfId="0" applyFont="1" applyFill="1" applyBorder="1" applyAlignment="1">
      <alignment horizontal="right"/>
    </xf>
    <xf numFmtId="0" fontId="0" fillId="55" borderId="54" xfId="0" applyFill="1" applyBorder="1" applyAlignment="1">
      <alignment horizontal="right"/>
    </xf>
    <xf numFmtId="0" fontId="3" fillId="51" borderId="50" xfId="0" applyFont="1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167" fontId="5" fillId="0" borderId="2" xfId="1" applyNumberFormat="1" applyFont="1" applyBorder="1" applyAlignment="1">
      <alignment horizontal="center"/>
    </xf>
    <xf numFmtId="167" fontId="4" fillId="52" borderId="51" xfId="1" applyNumberFormat="1" applyFont="1" applyFill="1" applyBorder="1" applyAlignment="1">
      <alignment horizontal="center"/>
    </xf>
    <xf numFmtId="167" fontId="5" fillId="52" borderId="51" xfId="1" applyNumberFormat="1" applyFont="1" applyFill="1" applyBorder="1" applyAlignment="1">
      <alignment horizontal="center"/>
    </xf>
    <xf numFmtId="0" fontId="0" fillId="56" borderId="55" xfId="0" applyFill="1" applyBorder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168" fontId="4" fillId="0" borderId="2" xfId="1" applyNumberFormat="1" applyFont="1" applyBorder="1" applyAlignment="1">
      <alignment horizontal="center"/>
    </xf>
    <xf numFmtId="168" fontId="5" fillId="0" borderId="2" xfId="1" applyNumberFormat="1" applyFont="1" applyBorder="1" applyAlignment="1">
      <alignment horizontal="center"/>
    </xf>
    <xf numFmtId="169" fontId="4" fillId="52" borderId="51" xfId="1" applyNumberFormat="1" applyFont="1" applyFill="1" applyBorder="1" applyAlignment="1">
      <alignment horizontal="center"/>
    </xf>
    <xf numFmtId="169" fontId="5" fillId="52" borderId="51" xfId="1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0" fillId="57" borderId="56" xfId="0" applyFill="1" applyBorder="1" applyAlignment="1">
      <alignment horizontal="center"/>
    </xf>
    <xf numFmtId="0" fontId="0" fillId="58" borderId="57" xfId="0" applyFill="1" applyBorder="1" applyAlignment="1">
      <alignment horizontal="center"/>
    </xf>
    <xf numFmtId="0" fontId="0" fillId="0" borderId="58" xfId="0" applyBorder="1" applyAlignment="1">
      <alignment horizontal="center"/>
    </xf>
  </cellXfs>
  <cellStyles count="3">
    <cellStyle name="Normal" xfId="0" builtinId="0" customBuiltin="1"/>
    <cellStyle name="Comma" xfId="1" builtinId="3" customBuiltin="1"/>
    <cellStyle name="Percent" xfId="2" builtinId="5" customBuiltin="1"/>
  </cellStyles>
  <dxfs count="112"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595253380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595253380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595253380" count="1">
        <pm:charStyle name="Normal" fontId="0" Id="1"/>
      </pm:charStyles>
      <pm:colors xmlns:pm="smNativeData" id="1595253380" count="16">
        <pm:color name="Color 24" rgb="00B050"/>
        <pm:color name="Color 25" rgb="E6B8B7"/>
        <pm:color name="Color 26" rgb="D7E3BB"/>
        <pm:color name="Color 27" rgb="CCC0DA"/>
        <pm:color name="Color 28" rgb="FCD5B4"/>
        <pm:color name="Color 29" rgb="C2D69A"/>
        <pm:color name="Color 30" rgb="D8D8D8"/>
        <pm:color name="Color 31" rgb="FDE9D9"/>
        <pm:color name="Color 32" rgb="DAEEF3"/>
        <pm:color name="Color 33" rgb="C4BD97"/>
        <pm:color name="Color 34" rgb="DCE6F1"/>
        <pm:color name="Color 35" rgb="B7DEE8"/>
        <pm:color name="Color 36" rgb="006100"/>
        <pm:color name="Color 37" rgb="C6EFCE"/>
        <pm:color name="Color 38" rgb="E26B0A"/>
        <pm:color name="Color 39" rgb="58585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'Luke - Ajax'!$G$25:$G$35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'Luke - Ajax'!$H$25:$H$35</c:f>
              <c:numCache>
                <c:formatCode>0.0%</c:formatCode>
                <c:ptCount val="11"/>
                <c:pt idx="0">
                  <c:v>0.268136</c:v>
                </c:pt>
                <c:pt idx="1">
                  <c:v>0.372338</c:v>
                </c:pt>
                <c:pt idx="2">
                  <c:v>0.237579</c:v>
                </c:pt>
                <c:pt idx="3">
                  <c:v>0.092263</c:v>
                </c:pt>
                <c:pt idx="4">
                  <c:v>0.024347</c:v>
                </c:pt>
                <c:pt idx="5">
                  <c:v>0.004615</c:v>
                </c:pt>
                <c:pt idx="6">
                  <c:v>0.000648</c:v>
                </c:pt>
                <c:pt idx="7">
                  <c:v>0.000068</c:v>
                </c:pt>
                <c:pt idx="8">
                  <c:v>0.000005</c:v>
                </c:pt>
                <c:pt idx="9">
                  <c:v>0.000000</c:v>
                </c:pt>
                <c:pt idx="10">
                  <c:v>0.000000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'Luke - Ajax'!$H$39:$H$49</c:f>
              <c:numCache>
                <c:formatCode>0.0%</c:formatCode>
                <c:ptCount val="11"/>
                <c:pt idx="0">
                  <c:v>0.325937</c:v>
                </c:pt>
                <c:pt idx="1">
                  <c:v>0.378419</c:v>
                </c:pt>
                <c:pt idx="2">
                  <c:v>0.205983</c:v>
                </c:pt>
                <c:pt idx="3">
                  <c:v>0.069885</c:v>
                </c:pt>
                <c:pt idx="4">
                  <c:v>0.016504</c:v>
                </c:pt>
                <c:pt idx="5">
                  <c:v>0.002860</c:v>
                </c:pt>
                <c:pt idx="6">
                  <c:v>0.000373</c:v>
                </c:pt>
                <c:pt idx="7">
                  <c:v>0.000037</c:v>
                </c:pt>
                <c:pt idx="8">
                  <c:v>0.000003</c:v>
                </c:pt>
                <c:pt idx="9">
                  <c:v>0.000000</c:v>
                </c:pt>
                <c:pt idx="10">
                  <c:v>0.000000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'Luke - Ajax'!$B$37:$B$39</c:f>
              <c:numCache>
                <c:formatCode>0.0%</c:formatCode>
                <c:ptCount val="3"/>
                <c:pt idx="0">
                  <c:v>0.284096</c:v>
                </c:pt>
                <c:pt idx="1">
                  <c:v>0.314239</c:v>
                </c:pt>
                <c:pt idx="2">
                  <c:v>0.401665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'VADER-Profesioteam'!$G$25:$G$35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'VADER-Profesioteam'!$H$25:$H$35</c:f>
              <c:numCache>
                <c:formatCode>General</c:formatCode>
                <c:ptCount val="11"/>
                <c:pt idx="0">
                  <c:v>0.072171</c:v>
                </c:pt>
                <c:pt idx="1">
                  <c:v>0.213328</c:v>
                </c:pt>
                <c:pt idx="2">
                  <c:v>0.286818</c:v>
                </c:pt>
                <c:pt idx="3">
                  <c:v>0.232566</c:v>
                </c:pt>
                <c:pt idx="4">
                  <c:v>0.127209</c:v>
                </c:pt>
                <c:pt idx="5">
                  <c:v>0.049764</c:v>
                </c:pt>
                <c:pt idx="6">
                  <c:v>0.014404</c:v>
                </c:pt>
                <c:pt idx="7">
                  <c:v>0.003145</c:v>
                </c:pt>
                <c:pt idx="8">
                  <c:v>0.000523</c:v>
                </c:pt>
                <c:pt idx="9">
                  <c:v>0.000066</c:v>
                </c:pt>
                <c:pt idx="10">
                  <c:v>0.000006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'VADER-Profesioteam'!$H$39:$H$49</c:f>
              <c:numCache>
                <c:formatCode>General</c:formatCode>
                <c:ptCount val="11"/>
                <c:pt idx="0">
                  <c:v>0.040156</c:v>
                </c:pt>
                <c:pt idx="1">
                  <c:v>0.148191</c:v>
                </c:pt>
                <c:pt idx="2">
                  <c:v>0.250250</c:v>
                </c:pt>
                <c:pt idx="3">
                  <c:v>0.255903</c:v>
                </c:pt>
                <c:pt idx="4">
                  <c:v>0.176710</c:v>
                </c:pt>
                <c:pt idx="5">
                  <c:v>0.086990</c:v>
                </c:pt>
                <c:pt idx="6">
                  <c:v>0.031410</c:v>
                </c:pt>
                <c:pt idx="7">
                  <c:v>0.008429</c:v>
                </c:pt>
                <c:pt idx="8">
                  <c:v>0.001684</c:v>
                </c:pt>
                <c:pt idx="9">
                  <c:v>0.000248</c:v>
                </c:pt>
                <c:pt idx="10">
                  <c:v>0.000026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'VADER-Profesioteam'!$B$37:$B$39</c:f>
              <c:numCache>
                <c:formatCode>General</c:formatCode>
                <c:ptCount val="3"/>
                <c:pt idx="0">
                  <c:v>0.193090</c:v>
                </c:pt>
                <c:pt idx="1">
                  <c:v>0.493687</c:v>
                </c:pt>
                <c:pt idx="2">
                  <c:v>0.313214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'Vader-Sinnsen'!$G$25:$G$35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'Vader-Sinnsen'!$H$25:$H$35</c:f>
              <c:numCache>
                <c:formatCode>0.0%</c:formatCode>
                <c:ptCount val="11"/>
                <c:pt idx="0">
                  <c:v>0.230265</c:v>
                </c:pt>
                <c:pt idx="1">
                  <c:v>0.362245</c:v>
                </c:pt>
                <c:pt idx="2">
                  <c:v>0.257964</c:v>
                </c:pt>
                <c:pt idx="3">
                  <c:v>0.110302</c:v>
                </c:pt>
                <c:pt idx="4">
                  <c:v>0.031674</c:v>
                </c:pt>
                <c:pt idx="5">
                  <c:v>0.006466</c:v>
                </c:pt>
                <c:pt idx="6">
                  <c:v>0.000966</c:v>
                </c:pt>
                <c:pt idx="7">
                  <c:v>0.000107</c:v>
                </c:pt>
                <c:pt idx="8">
                  <c:v>0.000009</c:v>
                </c:pt>
                <c:pt idx="9">
                  <c:v>0.000001</c:v>
                </c:pt>
                <c:pt idx="10">
                  <c:v>0.000000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'Vader-Sinnsen'!$H$39:$H$49</c:f>
              <c:numCache>
                <c:formatCode>0.0%</c:formatCode>
                <c:ptCount val="11"/>
                <c:pt idx="0">
                  <c:v>0.031520</c:v>
                </c:pt>
                <c:pt idx="1">
                  <c:v>0.125522</c:v>
                </c:pt>
                <c:pt idx="2">
                  <c:v>0.229648</c:v>
                </c:pt>
                <c:pt idx="3">
                  <c:v>0.255711</c:v>
                </c:pt>
                <c:pt idx="4">
                  <c:v>0.193513</c:v>
                </c:pt>
                <c:pt idx="5">
                  <c:v>0.105255</c:v>
                </c:pt>
                <c:pt idx="6">
                  <c:v>0.042426</c:v>
                </c:pt>
                <c:pt idx="7">
                  <c:v>0.012873</c:v>
                </c:pt>
                <c:pt idx="8">
                  <c:v>0.002953</c:v>
                </c:pt>
                <c:pt idx="9">
                  <c:v>0.000509</c:v>
                </c:pt>
                <c:pt idx="10">
                  <c:v>0.000064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'Vader-Sinnsen'!$B$37:$B$39</c:f>
              <c:numCache>
                <c:formatCode>0.0%</c:formatCode>
                <c:ptCount val="3"/>
                <c:pt idx="0">
                  <c:v>0.147027</c:v>
                </c:pt>
                <c:pt idx="1">
                  <c:v>0.731639</c:v>
                </c:pt>
                <c:pt idx="2">
                  <c:v>0.121328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SIMULADOR_v3!$G$25:$G$35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SIMULADOR_v3!$H$25:$H$35</c:f>
              <c:numCache>
                <c:formatCode>0.0%</c:formatCode>
                <c:ptCount val="11"/>
                <c:pt idx="0">
                  <c:v>0.093225</c:v>
                </c:pt>
                <c:pt idx="1">
                  <c:v>0.244810</c:v>
                </c:pt>
                <c:pt idx="2">
                  <c:v>0.294163</c:v>
                </c:pt>
                <c:pt idx="3">
                  <c:v>0.214061</c:v>
                </c:pt>
                <c:pt idx="4">
                  <c:v>0.105224</c:v>
                </c:pt>
                <c:pt idx="5">
                  <c:v>0.036899</c:v>
                </c:pt>
                <c:pt idx="6">
                  <c:v>0.009503</c:v>
                </c:pt>
                <c:pt idx="7">
                  <c:v>0.001823</c:v>
                </c:pt>
                <c:pt idx="8">
                  <c:v>0.000261</c:v>
                </c:pt>
                <c:pt idx="9">
                  <c:v>0.000028</c:v>
                </c:pt>
                <c:pt idx="10">
                  <c:v>0.000002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SIMULADOR_v3!$H$39:$H$49</c:f>
              <c:numCache>
                <c:formatCode>0.0%</c:formatCode>
                <c:ptCount val="11"/>
                <c:pt idx="0">
                  <c:v>0.010768</c:v>
                </c:pt>
                <c:pt idx="1">
                  <c:v>0.059336</c:v>
                </c:pt>
                <c:pt idx="2">
                  <c:v>0.149592</c:v>
                </c:pt>
                <c:pt idx="3">
                  <c:v>0.228319</c:v>
                </c:pt>
                <c:pt idx="4">
                  <c:v>0.235245</c:v>
                </c:pt>
                <c:pt idx="5">
                  <c:v>0.172714</c:v>
                </c:pt>
                <c:pt idx="6">
                  <c:v>0.092956</c:v>
                </c:pt>
                <c:pt idx="7">
                  <c:v>0.037158</c:v>
                </c:pt>
                <c:pt idx="8">
                  <c:v>0.011054</c:v>
                </c:pt>
                <c:pt idx="9">
                  <c:v>0.002427</c:v>
                </c:pt>
                <c:pt idx="10">
                  <c:v>0.000385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SIMULADOR_v3!$B$37:$B$39</c:f>
              <c:numCache>
                <c:formatCode>0.0%</c:formatCode>
                <c:ptCount val="3"/>
                <c:pt idx="0">
                  <c:v>0.140489</c:v>
                </c:pt>
                <c:pt idx="1">
                  <c:v>0.706775</c:v>
                </c:pt>
                <c:pt idx="2">
                  <c:v>0.152688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'SIMULADOR&gt;22-12-17_v2'!$G$25:$G$35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'SIMULADOR&gt;22-12-17_v2'!$H$25:$H$35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'SIMULADOR&gt;22-12-17_v2'!$H$39:$H$49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'SIMULADOR&gt;22-12-17_v2'!$B$37:$B$39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'SIMULADOR&gt;22-12-17'!$G$25:$G$35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'SIMULADOR&gt;22-12-17'!$H$25:$H$35</c:f>
              <c:numCache>
                <c:formatCode>General</c:formatCode>
                <c:ptCount val="11"/>
                <c:pt idx="0">
                  <c:v>0.117296</c:v>
                </c:pt>
                <c:pt idx="1">
                  <c:v>0.271528</c:v>
                </c:pt>
                <c:pt idx="2">
                  <c:v>0.291740</c:v>
                </c:pt>
                <c:pt idx="3">
                  <c:v>0.193095</c:v>
                </c:pt>
                <c:pt idx="4">
                  <c:v>0.088067</c:v>
                </c:pt>
                <c:pt idx="5">
                  <c:v>0.029305</c:v>
                </c:pt>
                <c:pt idx="6">
                  <c:v>0.007338</c:v>
                </c:pt>
                <c:pt idx="7">
                  <c:v>0.001403</c:v>
                </c:pt>
                <c:pt idx="8">
                  <c:v>0.000205</c:v>
                </c:pt>
                <c:pt idx="9">
                  <c:v>0.000023</c:v>
                </c:pt>
                <c:pt idx="10">
                  <c:v>0.000002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'SIMULADOR&gt;22-12-17'!$H$39:$H$49</c:f>
              <c:numCache>
                <c:formatCode>General</c:formatCode>
                <c:ptCount val="11"/>
                <c:pt idx="0">
                  <c:v>0.035891</c:v>
                </c:pt>
                <c:pt idx="1">
                  <c:v>0.133942</c:v>
                </c:pt>
                <c:pt idx="2">
                  <c:v>0.232837</c:v>
                </c:pt>
                <c:pt idx="3">
                  <c:v>0.250458</c:v>
                </c:pt>
                <c:pt idx="4">
                  <c:v>0.186498</c:v>
                </c:pt>
                <c:pt idx="5">
                  <c:v>0.101693</c:v>
                </c:pt>
                <c:pt idx="6">
                  <c:v>0.041801</c:v>
                </c:pt>
                <c:pt idx="7">
                  <c:v>0.013108</c:v>
                </c:pt>
                <c:pt idx="8">
                  <c:v>0.003131</c:v>
                </c:pt>
                <c:pt idx="9">
                  <c:v>0.000562</c:v>
                </c:pt>
                <c:pt idx="10">
                  <c:v>0.000073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'SIMULADOR&gt;22-12-17'!$B$37:$B$39</c:f>
              <c:numCache>
                <c:formatCode>General</c:formatCode>
                <c:ptCount val="3"/>
                <c:pt idx="0">
                  <c:v>0.176599</c:v>
                </c:pt>
                <c:pt idx="1">
                  <c:v>0.595972</c:v>
                </c:pt>
                <c:pt idx="2">
                  <c:v>0.227420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SIMULADOR!$G$25:$G$35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SIMULADOR!$H$25:$H$35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SIMULADOR!$H$39:$H$49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SIMULADOR!$B$37:$B$39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SIMULADOR_sinJC!$G$24:$G$34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SIMULADOR_sinJC!$H$24:$H$34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spPr>
            <a:ln w="9525"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val>
            <c:numRef>
              <c:f>SIMULADOR_sinJC!$H$38:$H$48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es-es" sz="1800" b="1" i="0" u="none" strike="noStrike" kern="100">
                <a:solidFill>
                  <a:srgbClr val="000000"/>
                </a:solidFill>
                <a:latin typeface="Calibri" charset="0"/>
              </a:defRPr>
            </a:pPr>
            <a:r>
              <a:t>Título del gráfico</a:t>
            </a:r>
          </a:p>
        </c:rich>
      </c:tx>
      <c:layout/>
      <c:overlay val="0"/>
    </c:title>
    <c:view3D/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1"/>
            <c:invertIfNegative val="0"/>
            <c:explosion val="0"/>
            <c:spPr>
              <a:solidFill>
                <a:srgbClr val="00B05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FF0000"/>
              </a:solidFill>
            </c:spPr>
          </c:dPt>
          <c:val>
            <c:numRef>
              <c:f>SIMULADOR_sinJC!$B$37:$B$39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Chart>
    </c:plotArea>
    <c:plotVisOnly val="1"/>
    <c:dispBlanksAs val="gap"/>
  </c:chart>
  <c:spPr/>
  <c:txPr>
    <a:bodyPr anchor="t" rot="0"/>
    <a:lstStyle/>
    <a:p>
      <a:pPr>
        <a:defRPr lang="es-es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o" uri="smo">
      <sm:colorScheme xmlns:sm="smo" id="1595253380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3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2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3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2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3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2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3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2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5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4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5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4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22</xdr:row>
      <xdr:rowOff>24130</xdr:rowOff>
    </xdr:from>
    <xdr:to>
      <xdr:col>31</xdr:col>
      <xdr:colOff>535940</xdr:colOff>
      <xdr:row>48</xdr:row>
      <xdr:rowOff>78105</xdr:rowOff>
    </xdr:to>
    <xdr:graphicFrame macro="">
      <xdr:nvGraphicFramePr>
        <xdr:cNvPr id="25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4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24130</xdr:colOff>
      <xdr:row>21</xdr:row>
      <xdr:rowOff>24130</xdr:rowOff>
    </xdr:from>
    <xdr:to>
      <xdr:col>31</xdr:col>
      <xdr:colOff>535940</xdr:colOff>
      <xdr:row>47</xdr:row>
      <xdr:rowOff>78105</xdr:rowOff>
    </xdr:to>
    <xdr:graphicFrame macro="">
      <xdr:nvGraphicFramePr>
        <xdr:cNvPr id="25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163195</xdr:colOff>
      <xdr:row>34</xdr:row>
      <xdr:rowOff>177165</xdr:rowOff>
    </xdr:from>
    <xdr:to>
      <xdr:col>5</xdr:col>
      <xdr:colOff>299085</xdr:colOff>
      <xdr:row>43</xdr:row>
      <xdr:rowOff>13335</xdr:rowOff>
    </xdr:to>
    <xdr:graphicFrame macro="">
      <xdr:nvGraphicFramePr>
        <xdr:cNvPr id="24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comments" Target="../comments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comments" Target="../comments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comments" Target="../comments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comments" Target="../comments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comments" Target="../comments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comments" Target="../comments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585858"/>
  </sheetPr>
  <dimension ref="A1:BR59"/>
  <sheetViews>
    <sheetView view="normal" zoomScale="80" workbookViewId="0">
      <selection activeCell="D20" sqref="D20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5">
      <c r="A1" s="155" t="s">
        <v>0</v>
      </c>
      <c r="B1" t="s">
        <v>1</v>
      </c>
      <c r="F1" s="196" t="s">
        <v>2</v>
      </c>
      <c r="G1" s="194">
        <f>IF(D3="SI",COUNTIF($F$6:$F$18,"RAP"),0)</f>
        <v>1</v>
      </c>
      <c r="H1" s="15"/>
      <c r="J1" s="197" t="s">
        <v>2</v>
      </c>
      <c r="K1" s="194">
        <f>IF(D3="SI",COUNTIF($J$6:$J$18,"RAP"),0)</f>
        <v>1</v>
      </c>
      <c r="L1" s="15"/>
      <c r="P1" s="155"/>
      <c r="Q1" s="155"/>
      <c r="R1" s="153"/>
      <c r="S1" s="153"/>
      <c r="U1" t="n">
        <v>1.5</v>
      </c>
      <c r="V1" t="n">
        <v>2.5</v>
      </c>
      <c r="W1" t="n">
        <v>3.5</v>
      </c>
      <c r="AI1" s="158"/>
    </row>
    <row r="2" spans="1:35">
      <c r="A2" s="155" t="s">
        <v>3</v>
      </c>
      <c r="B2" t="s">
        <v>4</v>
      </c>
      <c r="F2" s="196" t="s">
        <v>5</v>
      </c>
      <c r="G2" s="194">
        <f>IF(D3="SI",COUNTIF($F$6:$F$18,"TEC"),0)</f>
        <v>0</v>
      </c>
      <c r="H2" s="15"/>
      <c r="J2" s="197" t="s">
        <v>5</v>
      </c>
      <c r="K2" s="194">
        <f>IF(D3="SI",COUNTIF($J$6:$J$18,"TEC"),0)</f>
        <v>0</v>
      </c>
      <c r="L2" s="15"/>
      <c r="M2" s="160"/>
      <c r="O2" t="s">
        <v>6</v>
      </c>
      <c r="P2" s="203" t="n">
        <v>0.45</v>
      </c>
      <c r="R2" s="153"/>
      <c r="S2" s="153"/>
      <c r="Y2" t="s">
        <v>6</v>
      </c>
      <c r="Z2" s="204" t="n">
        <v>0.45</v>
      </c>
      <c r="AI2" s="15"/>
    </row>
    <row r="3" spans="1:40">
      <c r="A3" s="159" t="s">
        <v>7</v>
      </c>
      <c r="B3" s="206" t="s">
        <v>8</v>
      </c>
      <c r="C3" s="206"/>
      <c r="D3" t="str">
        <f>IF(B3="Sol","SI",IF(B3="Lluvia","SI","NO"))</f>
        <v>SI</v>
      </c>
      <c r="F3" s="196" t="s">
        <v>9</v>
      </c>
      <c r="G3" s="194">
        <f>IF(D3="SI",COUNTIF($F$6:$F$18,"POT"),0)</f>
        <v>0</v>
      </c>
      <c r="H3" s="15"/>
      <c r="J3" s="197" t="s">
        <v>9</v>
      </c>
      <c r="K3" s="194">
        <f>IF(D3="SI",COUNTIF($J$6:$J$18,"POT"),0)</f>
        <v>2</v>
      </c>
      <c r="L3" s="15"/>
      <c r="O3" t="s">
        <v>10</v>
      </c>
      <c r="P3" s="203" t="n">
        <v>0.569999999999999929</v>
      </c>
      <c r="Q3" t="s">
        <v>11</v>
      </c>
      <c r="R3" s="203" t="n">
        <v>0.7</v>
      </c>
      <c r="Y3" t="s">
        <v>10</v>
      </c>
      <c r="Z3" s="204" t="n">
        <v>0.569999999999999929</v>
      </c>
      <c r="AA3" t="s">
        <v>11</v>
      </c>
      <c r="AB3" s="204" t="n">
        <v>0.7</v>
      </c>
      <c r="AI3" s="199">
        <f>SUM(AI5:AI19)</f>
        <v>3.68369999999999997</v>
      </c>
      <c r="AM3" s="199">
        <f>SUM(AM5:AM19)</f>
        <v>3.68369999999999997</v>
      </c>
      <c r="AN3" s="199">
        <f>SUM(AN5:AN19)</f>
        <v>2.91099999999999994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G4" s="10" t="s">
        <v>28</v>
      </c>
      <c r="AH4" s="10" t="s">
        <v>29</v>
      </c>
      <c r="AI4" s="155" t="s">
        <v>30</v>
      </c>
      <c r="AK4" s="11" t="s">
        <v>28</v>
      </c>
      <c r="AL4" s="11" t="s">
        <v>29</v>
      </c>
      <c r="AM4" s="15" t="s">
        <v>31</v>
      </c>
      <c r="AO4" t="s">
        <v>32</v>
      </c>
      <c r="BH4" t="n">
        <v>0</v>
      </c>
      <c r="BI4" t="n">
        <v>1</v>
      </c>
      <c r="BJ4" s="109">
        <f>$H$25*H40</f>
        <v>0.101467817775372993</v>
      </c>
      <c r="BL4" t="n">
        <v>0</v>
      </c>
      <c r="BM4" t="n">
        <v>0</v>
      </c>
      <c r="BN4" s="109">
        <f>H25*H39</f>
        <v>0.0873954320374570059</v>
      </c>
      <c r="BP4" t="n">
        <v>1</v>
      </c>
      <c r="BQ4" t="n">
        <v>0</v>
      </c>
      <c r="BR4" s="109">
        <f>$H$26*H39</f>
        <v>0.121358751085569994</v>
      </c>
    </row>
    <row r="5" spans="1:70">
      <c r="A5" s="42" t="s">
        <v>33</v>
      </c>
      <c r="B5" s="156" t="n">
        <v>352</v>
      </c>
      <c r="C5" s="156" t="n">
        <v>352</v>
      </c>
      <c r="E5" s="189" t="s">
        <v>34</v>
      </c>
      <c r="F5" s="164" t="s">
        <v>35</v>
      </c>
      <c r="G5" s="164" t="n">
        <v>12</v>
      </c>
      <c r="H5" s="12"/>
      <c r="I5" s="12"/>
      <c r="J5" s="163" t="s">
        <v>35</v>
      </c>
      <c r="K5" s="163" t="n">
        <v>12</v>
      </c>
      <c r="L5" s="12"/>
      <c r="M5" s="12"/>
      <c r="O5" s="69">
        <f>AG5*AI5*AO5*AH5</f>
        <v>0</v>
      </c>
      <c r="P5" s="201">
        <f>P3</f>
        <v>0.569999999999999929</v>
      </c>
      <c r="Q5" s="205">
        <f>P5*O5</f>
        <v>0</v>
      </c>
      <c r="R5" s="157">
        <f>IF($B$17="JC",IF($C$17="JC",$W$1,$V$1*1.1),IF($C$17="JC",$V$1/0.9,$U$1))*Q5/1.5</f>
        <v>0</v>
      </c>
      <c r="S5" s="173">
        <f>(1-R5)</f>
        <v>1</v>
      </c>
      <c r="T5" s="174">
        <f>R5*PRODUCT(S6:S19)</f>
        <v>0</v>
      </c>
      <c r="U5" s="174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</v>
      </c>
      <c r="V5" s="20"/>
      <c r="W5" s="183" t="s">
        <v>36</v>
      </c>
      <c r="X5" s="17" t="s">
        <v>37</v>
      </c>
      <c r="Y5" s="71">
        <f>AK5*AI5*AL5*AO5</f>
        <v>0.0997800566815529955</v>
      </c>
      <c r="Z5" s="71">
        <f>Z3</f>
        <v>0.569999999999999929</v>
      </c>
      <c r="AA5" s="71">
        <f>Z5*Y5</f>
        <v>0.0568746323084850047</v>
      </c>
      <c r="AB5" s="157">
        <f>IF($B$17="JC",IF($C$17="JC",$W$1,$V$1/0.9),IF($C$17="JC",$V$1*1.1,$U$1))*AA5/1.5</f>
        <v>0.0568746323084850047</v>
      </c>
      <c r="AC5" s="173">
        <f>(1-AB5)</f>
        <v>0.94312536769151496</v>
      </c>
      <c r="AD5" s="174">
        <f>AB5*PRODUCT(AC6:AC19)</f>
        <v>0.0437350303098059978</v>
      </c>
      <c r="AE5" s="174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0.0117283775671139989</v>
      </c>
      <c r="AF5" s="20"/>
      <c r="AG5" s="195">
        <f>IF(COUNTIF(F5:F10,"IMP")+COUNTIF(J5:J10,"IMP")=0,0,COUNTIF(F5:F10,"IMP")/(COUNTIF(F5:F10,"IMP")+COUNTIF(J5:J10,"IMP")))</f>
        <v>0</v>
      </c>
      <c r="AH5">
        <f>COUNTIF(F5:F10,"IMP")</f>
        <v>0</v>
      </c>
      <c r="AI5" s="198">
        <f>AN5*$AM$3/$AN$3</f>
        <v>0.598680340089316054</v>
      </c>
      <c r="AK5" s="195">
        <f>IF(COUNTIF(F5:F10,"IMP")+COUNTIF(J5:J10,"IMP")=0,0,COUNTIF(J5:J10,"IMP")/(COUNTIF(F5:F10,"IMP")+COUNTIF(J5:J10,"IMP")))</f>
        <v>1</v>
      </c>
      <c r="AL5">
        <f>COUNTIF(J5:J10,"IMP")</f>
        <v>1</v>
      </c>
      <c r="AM5" s="199" t="n">
        <v>0.473099999999999987</v>
      </c>
      <c r="AN5" s="200">
        <f>IF(AG5=0,IF(AK5=0,0,AM5),AM5)</f>
        <v>0.473099999999999987</v>
      </c>
      <c r="AO5">
        <f>1/6</f>
        <v>0.16666666666666698</v>
      </c>
      <c r="BH5" t="n">
        <v>0</v>
      </c>
      <c r="BI5" t="n">
        <v>2</v>
      </c>
      <c r="BJ5" s="109">
        <f>$H$25*H41</f>
        <v>0.0552314024100839962</v>
      </c>
      <c r="BL5" t="n">
        <v>1</v>
      </c>
      <c r="BM5" t="n">
        <v>1</v>
      </c>
      <c r="BN5" s="109">
        <f>$H$26*H40</f>
        <v>0.140899900069374002</v>
      </c>
      <c r="BP5">
        <f>BP4+1</f>
        <v>2</v>
      </c>
      <c r="BQ5" t="n">
        <v>0</v>
      </c>
      <c r="BR5" s="109">
        <f>$H$27*H39</f>
        <v>0.0774356765097179967</v>
      </c>
    </row>
    <row r="6" spans="1:70">
      <c r="A6" s="4" t="s">
        <v>38</v>
      </c>
      <c r="B6" s="165" t="n">
        <v>4.5</v>
      </c>
      <c r="C6" s="166">
        <f>6.25/1.2</f>
        <v>5.20833333333333037</v>
      </c>
      <c r="E6" s="189" t="s">
        <v>39</v>
      </c>
      <c r="F6" s="164" t="s">
        <v>2</v>
      </c>
      <c r="G6" s="164"/>
      <c r="H6" s="12"/>
      <c r="I6" s="12"/>
      <c r="J6" s="163" t="s">
        <v>40</v>
      </c>
      <c r="K6" s="163"/>
      <c r="L6" s="12"/>
      <c r="M6" s="12"/>
      <c r="O6" s="69">
        <f>AG6*AI6*AO6*AH6</f>
        <v>0.0328461140930950002</v>
      </c>
      <c r="P6" s="201">
        <f>P3</f>
        <v>0.569999999999999929</v>
      </c>
      <c r="Q6" s="205">
        <f>P6*O6</f>
        <v>0.0187222850330640007</v>
      </c>
      <c r="R6" s="157">
        <f>IF($B$17="JC",IF($C$17="JC",$W$1,$V$1*1.1),IF($C$17="JC",$V$1/0.9,$U$1))*Q6/1.5</f>
        <v>0.0187222850330640007</v>
      </c>
      <c r="S6" s="173">
        <f>(1-R6)</f>
        <v>0.98127771496693601</v>
      </c>
      <c r="T6" s="174">
        <f>R6*S5*PRODUCT(S7:S19)</f>
        <v>0.0164122005105949986</v>
      </c>
      <c r="U6" s="174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0.00220002058882700036</v>
      </c>
      <c r="V6" s="20"/>
      <c r="W6" s="183" t="s">
        <v>41</v>
      </c>
      <c r="X6" s="17" t="s">
        <v>42</v>
      </c>
      <c r="Y6" s="71">
        <f>AK6*AI6*AL6*AO6</f>
        <v>0.0328461140930950002</v>
      </c>
      <c r="Z6" s="71">
        <f>Z3</f>
        <v>0.569999999999999929</v>
      </c>
      <c r="AA6" s="71">
        <f>Z6*Y6</f>
        <v>0.0187222850330640007</v>
      </c>
      <c r="AB6" s="157">
        <f>IF($B$17="JC",IF($C$17="JC",$W$1,$V$1/0.9),IF($C$17="JC",$V$1*1.1,$U$1))*AA6/1.5</f>
        <v>0.0187222850330640007</v>
      </c>
      <c r="AC6" s="173">
        <f>(1-AB6)</f>
        <v>0.98127771496693601</v>
      </c>
      <c r="AD6" s="174">
        <f>AB6*AC5*PRODUCT(AC7:AC19)</f>
        <v>0.013837166700082002</v>
      </c>
      <c r="AE6" s="174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0.00344669241695999995</v>
      </c>
      <c r="AF6" s="20"/>
      <c r="AG6" s="195">
        <f>IF(COUNTIF(F11:F18,"IMP")+COUNTIF(J11:J18,"IMP")=0,0,COUNTIF(F11:F18,"IMP")/(COUNTIF(F11:F18,"IMP")+COUNTIF(J11:J18,"IMP")))</f>
        <v>0.5</v>
      </c>
      <c r="AH6">
        <f>COUNTIF(F11:F18,"IMP")</f>
        <v>1</v>
      </c>
      <c r="AI6" s="198">
        <f>AN6*$AM$3/$AN$3</f>
        <v>0.525537825489522969</v>
      </c>
      <c r="AK6" s="195">
        <f>IF(COUNTIF(F11:F18,"IMP")+COUNTIF(J11:J18,"IMP")=0,0,COUNTIF(J11:J18,"IMP")/(COUNTIF(F11:F18,"IMP")+COUNTIF(J11:J18,"IMP")))</f>
        <v>0.5</v>
      </c>
      <c r="AL6">
        <f>COUNTIF(J11:J18,"IMP")</f>
        <v>1</v>
      </c>
      <c r="AM6" s="199" t="n">
        <v>0.415300000000000047</v>
      </c>
      <c r="AN6" s="200">
        <f>IF(AG6=0,IF(AK6=0,0,AM6),AM6)</f>
        <v>0.415300000000000047</v>
      </c>
      <c r="AO6">
        <f>1/8</f>
        <v>0.125</v>
      </c>
      <c r="BH6" t="n">
        <v>0</v>
      </c>
      <c r="BI6" t="n">
        <v>3</v>
      </c>
      <c r="BJ6" s="109">
        <f>$H$25*H42</f>
        <v>0.0187387483098040004</v>
      </c>
      <c r="BL6">
        <f>BH14+1</f>
        <v>2</v>
      </c>
      <c r="BM6" t="n">
        <v>2</v>
      </c>
      <c r="BN6" s="109">
        <f>$H$27*H41</f>
        <v>0.048937123033757004</v>
      </c>
      <c r="BP6">
        <f>BL5+1</f>
        <v>2</v>
      </c>
      <c r="BQ6" t="n">
        <v>1</v>
      </c>
      <c r="BR6" s="109">
        <f>$H$27*H40</f>
        <v>0.0899043454586190016</v>
      </c>
    </row>
    <row r="7" spans="1:70">
      <c r="A7" s="7" t="s">
        <v>43</v>
      </c>
      <c r="B7" s="165" t="n">
        <v>7.25</v>
      </c>
      <c r="C7" s="166" t="n">
        <v>6</v>
      </c>
      <c r="E7" s="189" t="s">
        <v>44</v>
      </c>
      <c r="F7" s="164"/>
      <c r="G7" s="164"/>
      <c r="H7" s="12"/>
      <c r="I7" s="12"/>
      <c r="J7" s="163" t="s">
        <v>9</v>
      </c>
      <c r="K7" s="163"/>
      <c r="L7" s="12"/>
      <c r="M7" s="12"/>
      <c r="O7" s="69">
        <f>AG7*AI7*AO7*AH7</f>
        <v>0</v>
      </c>
      <c r="P7" s="201">
        <f>P2</f>
        <v>0.45</v>
      </c>
      <c r="Q7" s="205">
        <f>P7*O7</f>
        <v>0</v>
      </c>
      <c r="R7" s="157">
        <f>IF($B$17="JC",IF($C$17="JC",$W$1,$V$1*1.1),IF($C$17="JC",$V$1/0.9,$U$1))*Q7/1.5</f>
        <v>0</v>
      </c>
      <c r="S7" s="173">
        <f>(1-R7)</f>
        <v>1</v>
      </c>
      <c r="T7" s="174">
        <f>R7*PRODUCT(S5:S6)*PRODUCT(S8:S19)</f>
        <v>0</v>
      </c>
      <c r="U7" s="174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4" t="s">
        <v>45</v>
      </c>
      <c r="X7" s="17" t="s">
        <v>46</v>
      </c>
      <c r="Y7" s="71">
        <f>AK7*AI7*AL7*AO7</f>
        <v>0.00493522157334199996</v>
      </c>
      <c r="Z7" s="71">
        <f>Z2</f>
        <v>0.45</v>
      </c>
      <c r="AA7" s="71">
        <f>Z7*Y7</f>
        <v>0.00222084970800399972</v>
      </c>
      <c r="AB7" s="157">
        <f>IF($B$17="JC",IF($C$17="JC",$W$1,$V$1/0.9),IF($C$17="JC",$V$1*1.1,$U$1))*AA7/1.5</f>
        <v>0.00222084970800399972</v>
      </c>
      <c r="AC7" s="173">
        <f>(1-AB7)</f>
        <v>0.997779150291995975</v>
      </c>
      <c r="AD7" s="174">
        <f>AB7*PRODUCT(AC5:AC6)*PRODUCT(AC8:AC19)</f>
        <v>0.00161422846427200017</v>
      </c>
      <c r="AE7" s="174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0.000398494362458999962</v>
      </c>
      <c r="AG7" s="195">
        <f>IF(COUNTIF(F14:F18,"IMP")+COUNTIF(J14:J18,"IMP")=0,0,COUNTIF(J14:J18,"IMP")/(COUNTIF(F14:F18,"IMP")+COUNTIF(J14:J18,"IMP")))</f>
        <v>0</v>
      </c>
      <c r="AH7">
        <f>COUNTIF(J14:J18,"IMP")</f>
        <v>0</v>
      </c>
      <c r="AI7" s="198">
        <f>AN7*$AM$3/$AN$3</f>
        <v>0.00493522157334199996</v>
      </c>
      <c r="AK7" s="195">
        <f>IF(COUNTIF(F14:F18,"IMP")+COUNTIF(J14:J18,"IMP")=0,0,COUNTIF(F14:F18,"IMP")/(COUNTIF(F14:F18,"IMP")+COUNTIF(J14:J18,"IMP")))</f>
        <v>1</v>
      </c>
      <c r="AL7">
        <f>COUNTIF(F14:F18,"IMP")</f>
        <v>1</v>
      </c>
      <c r="AM7" s="199" t="n">
        <v>0.00390000000000000036</v>
      </c>
      <c r="AN7" s="200">
        <f>IF(AG7=0,IF(AK7=0,0,AM7),AM7)</f>
        <v>0.00390000000000000036</v>
      </c>
      <c r="AO7" t="n">
        <v>1</v>
      </c>
      <c r="BH7" t="n">
        <v>0</v>
      </c>
      <c r="BI7" t="n">
        <v>4</v>
      </c>
      <c r="BJ7" s="109">
        <f>$H$25*H43</f>
        <v>0.00442525650883700017</v>
      </c>
      <c r="BL7">
        <f>BH23+1</f>
        <v>3</v>
      </c>
      <c r="BM7" t="n">
        <v>3</v>
      </c>
      <c r="BN7" s="109">
        <f>$H$28*H42</f>
        <v>0.00644783797570799955</v>
      </c>
      <c r="BP7">
        <f>BP5+1</f>
        <v>3</v>
      </c>
      <c r="BQ7" t="n">
        <v>0</v>
      </c>
      <c r="BR7" s="109">
        <f>$H$28*H39</f>
        <v>0.0300719971407959985</v>
      </c>
    </row>
    <row r="8" spans="1:70">
      <c r="A8" s="7" t="s">
        <v>47</v>
      </c>
      <c r="B8" s="165" t="n">
        <v>6.75</v>
      </c>
      <c r="C8" s="166" t="n">
        <v>7.25</v>
      </c>
      <c r="E8" s="189" t="s">
        <v>44</v>
      </c>
      <c r="F8" s="164" t="s">
        <v>35</v>
      </c>
      <c r="G8" s="164"/>
      <c r="H8" s="12"/>
      <c r="I8" s="12"/>
      <c r="J8" s="163"/>
      <c r="K8" s="163"/>
      <c r="L8" s="12"/>
      <c r="M8" s="12"/>
      <c r="O8" s="69">
        <f>AG8*AI8*AO8*AH8</f>
        <v>0.014925719419707999</v>
      </c>
      <c r="P8" s="201">
        <f>P2</f>
        <v>0.45</v>
      </c>
      <c r="Q8" s="205">
        <f>P8*O8</f>
        <v>0.00671657373886900011</v>
      </c>
      <c r="R8" s="157">
        <f>IF($B$17="JC",IF($C$17="JC",$W$1,$V$1*1.1),IF($C$17="JC",$V$1/0.9,$U$1))*Q8/1.5</f>
        <v>0.00671657373886900011</v>
      </c>
      <c r="S8" s="173">
        <f>(1-R8)</f>
        <v>0.993283426261131019</v>
      </c>
      <c r="T8" s="174">
        <f>R8*PRODUCT(S5:S7)*PRODUCT(S9:S19)</f>
        <v>0.00581667093862300089</v>
      </c>
      <c r="U8" s="174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0.000740380096626999951</v>
      </c>
      <c r="W8" s="183" t="s">
        <v>48</v>
      </c>
      <c r="X8" s="17" t="s">
        <v>49</v>
      </c>
      <c r="Y8" s="71">
        <f>AK8*AI8*AL8*AO8</f>
        <v>0.0597028776788310012</v>
      </c>
      <c r="Z8" s="71">
        <f>Z2</f>
        <v>0.45</v>
      </c>
      <c r="AA8" s="71">
        <f>Z8*Y8</f>
        <v>0.0268662949554740038</v>
      </c>
      <c r="AB8" s="157">
        <f>IF($B$17="JC",IF($C$17="JC",$W$1,$V$1/0.9),IF($C$17="JC",$V$1*1.1,$U$1))*AA8/1.5</f>
        <v>0.0268662949554740038</v>
      </c>
      <c r="AC8" s="173">
        <f>(1-AB8)</f>
        <v>0.973133705044526032</v>
      </c>
      <c r="AD8" s="174">
        <f>AB8*PRODUCT(AC5:AC7)*PRODUCT(AC9:AC19)</f>
        <v>0.0200223717177440008</v>
      </c>
      <c r="AE8" s="174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0.00439001811655599994</v>
      </c>
      <c r="AG8" s="195">
        <f>IF(COUNTIF(F6:F18,"IMP")+COUNTIF(J6:J18,"IMP")=0,0,COUNTIF(F6:F18,"IMP")/(COUNTIF(F6:F18,"IMP")+COUNTIF(J6:J18,"IMP")))</f>
        <v>0.333333333333332993</v>
      </c>
      <c r="AH8">
        <f>COUNTIF(F6:F18,"IMP")</f>
        <v>1</v>
      </c>
      <c r="AI8" s="198">
        <f>AN8*$AM$3/$AN$3</f>
        <v>0.582103057368601995</v>
      </c>
      <c r="AK8" s="195">
        <f>IF(COUNTIF(F6:F18,"IMP")+COUNTIF(J6:J18,"IMP")=0,0,COUNTIF(J6:J18,"IMP")/(COUNTIF(F6:F18,"IMP")+COUNTIF(J6:J18,"IMP")))</f>
        <v>0.666666666666666963</v>
      </c>
      <c r="AL8">
        <f>COUNTIF(J6:J18,"IMP")</f>
        <v>2</v>
      </c>
      <c r="AM8" s="199" t="n">
        <v>0.460000000000000053</v>
      </c>
      <c r="AN8" s="200">
        <f>IF(AG8=0,IF(AK8=0,0,AM8),AM8)</f>
        <v>0.460000000000000053</v>
      </c>
      <c r="AO8">
        <f>1/13</f>
        <v>0.0769230769230769962</v>
      </c>
      <c r="BH8" t="n">
        <v>0</v>
      </c>
      <c r="BI8" t="n">
        <v>5</v>
      </c>
      <c r="BJ8" s="109">
        <f>$H$25*H44</f>
        <v>0.000766777285130000053</v>
      </c>
      <c r="BL8">
        <f>BH31+1</f>
        <v>4</v>
      </c>
      <c r="BM8" t="n">
        <v>4</v>
      </c>
      <c r="BN8" s="109">
        <f>$H$29*H43</f>
        <v>0.000401811621531000007</v>
      </c>
      <c r="BP8">
        <f>BP6+1</f>
        <v>3</v>
      </c>
      <c r="BQ8" t="n">
        <v>1</v>
      </c>
      <c r="BR8" s="109">
        <f>$H$28*H40</f>
        <v>0.0349141809232779998</v>
      </c>
    </row>
    <row r="9" spans="1:70">
      <c r="A9" s="7" t="s">
        <v>50</v>
      </c>
      <c r="B9" s="165" t="n">
        <v>6.75</v>
      </c>
      <c r="C9" s="166" t="n">
        <v>6.75</v>
      </c>
      <c r="E9" s="189" t="s">
        <v>44</v>
      </c>
      <c r="F9" s="164"/>
      <c r="G9" s="164"/>
      <c r="H9" s="12"/>
      <c r="I9" s="12"/>
      <c r="J9" s="163" t="s">
        <v>35</v>
      </c>
      <c r="K9" s="163"/>
      <c r="L9" s="12"/>
      <c r="M9" s="12"/>
      <c r="O9" s="69">
        <f>AG9*AI9*AO9*AH9</f>
        <v>0.029105152868430002</v>
      </c>
      <c r="P9" s="201">
        <f>P2</f>
        <v>0.45</v>
      </c>
      <c r="Q9" s="205">
        <f>P9*O9</f>
        <v>0.0130973187907939992</v>
      </c>
      <c r="R9" s="157">
        <f>IF($B$17="JC",IF($C$17="JC",$W$1,$V$1*1.1),IF($C$17="JC",$V$1/0.9,$U$1))*Q9/1.5</f>
        <v>0.0130973187907939992</v>
      </c>
      <c r="S9" s="173">
        <f>(1-R9)</f>
        <v>0.986902681209205923</v>
      </c>
      <c r="T9" s="174">
        <f>R9*PRODUCT(S5:S8)*PRODUCT(S10:S19)</f>
        <v>0.0114158424647579992</v>
      </c>
      <c r="U9" s="174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0.00130157440110999989</v>
      </c>
      <c r="W9" s="184" t="s">
        <v>51</v>
      </c>
      <c r="X9" s="17" t="s">
        <v>52</v>
      </c>
      <c r="Y9" s="71">
        <f>AK9*AI9*AL9*AO9</f>
        <v>0</v>
      </c>
      <c r="Z9" s="71">
        <f>Z2</f>
        <v>0.45</v>
      </c>
      <c r="AA9" s="71">
        <f>Z9*Y9</f>
        <v>0</v>
      </c>
      <c r="AB9" s="157">
        <f>IF($B$17="JC",IF($C$17="JC",$W$1,$V$1/0.9),IF($C$17="JC",$V$1*1.1,$U$1))*AA9/1.5</f>
        <v>0</v>
      </c>
      <c r="AC9" s="173">
        <f>(1-AB9)</f>
        <v>1</v>
      </c>
      <c r="AD9" s="174">
        <f>AB9*PRODUCT(AC5:AC8)*PRODUCT(AC10:AC19)</f>
        <v>0</v>
      </c>
      <c r="AE9" s="174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</v>
      </c>
      <c r="AG9" s="195">
        <f>IF(COUNTIF(J6:J13,"IMP")+COUNTIF(F6:F13,"IMP")=0,0,COUNTIF(J6:J13,"IMP")/(COUNTIF(J6:J13,"IMP")+COUNTIF(F6:F13,"IMP")))</f>
        <v>1</v>
      </c>
      <c r="AH9">
        <f>COUNTIF(J6:J13,"IMP")</f>
        <v>2</v>
      </c>
      <c r="AI9" s="198">
        <f>AN9*$AM$3/$AN$3</f>
        <v>0.014552576434215001</v>
      </c>
      <c r="AK9" s="195">
        <f>IF(COUNTIF(J6:J13,"IMP")+COUNTIF(F6:F13,"IMP")=0,0,COUNTIF(F6:F13,"IMP")/(COUNTIF(J6:J13,"IMP")+COUNTIF(F6:F13,"IMP")))</f>
        <v>0</v>
      </c>
      <c r="AL9">
        <f>COUNTIF(F6:F13,"IMP")</f>
        <v>0</v>
      </c>
      <c r="AM9" s="199" t="n">
        <v>0.0114999999999999991</v>
      </c>
      <c r="AN9" s="200">
        <f>IF(AG9=0,IF(AK9=0,0,AM9),AM9)</f>
        <v>0.0114999999999999991</v>
      </c>
      <c r="AO9" t="n">
        <v>1</v>
      </c>
      <c r="BH9" t="n">
        <v>0</v>
      </c>
      <c r="BI9" t="n">
        <v>6</v>
      </c>
      <c r="BJ9" s="109">
        <f>$H$25*H45</f>
        <v>0.0000999368372650000047</v>
      </c>
      <c r="BL9">
        <f>BH38+1</f>
        <v>5</v>
      </c>
      <c r="BM9" t="n">
        <v>5</v>
      </c>
      <c r="BN9" s="109">
        <f>$H$30*H44</f>
        <v>0.0000131981308679999998</v>
      </c>
      <c r="BP9">
        <f>BL6+1</f>
        <v>3</v>
      </c>
      <c r="BQ9" t="n">
        <v>2</v>
      </c>
      <c r="BR9" s="109">
        <f>$H$28*H41</f>
        <v>0.0190046383047380001</v>
      </c>
    </row>
    <row r="10" spans="1:70">
      <c r="A10" s="8" t="s">
        <v>53</v>
      </c>
      <c r="B10" s="165" t="n">
        <v>5.75</v>
      </c>
      <c r="C10" s="166" t="n">
        <v>3</v>
      </c>
      <c r="E10" s="189" t="s">
        <v>39</v>
      </c>
      <c r="F10" s="164" t="s">
        <v>35</v>
      </c>
      <c r="G10" s="164"/>
      <c r="H10" s="12"/>
      <c r="I10" s="12"/>
      <c r="J10" s="163" t="s">
        <v>35</v>
      </c>
      <c r="K10" s="163"/>
      <c r="L10" s="12"/>
      <c r="M10" s="12"/>
      <c r="O10" s="69">
        <f>AG10*AI10*AO10*AH10</f>
        <v>0</v>
      </c>
      <c r="P10" s="201">
        <f>P3</f>
        <v>0.569999999999999929</v>
      </c>
      <c r="Q10" s="205">
        <f>P10*O10</f>
        <v>0</v>
      </c>
      <c r="R10" s="157">
        <f>IF($B$17="JC",IF($C$17="JC",$W$1,$V$1*1.1),IF($C$17="JC",$V$1/0.9,$U$1))*Q10/1.5</f>
        <v>0</v>
      </c>
      <c r="S10" s="173">
        <f>(1-R10)</f>
        <v>1</v>
      </c>
      <c r="T10" s="174">
        <f>R10*PRODUCT(S5:S9)*PRODUCT(S11:S19)</f>
        <v>0</v>
      </c>
      <c r="U10" s="174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0</v>
      </c>
      <c r="W10" s="183" t="s">
        <v>54</v>
      </c>
      <c r="X10" s="17" t="s">
        <v>55</v>
      </c>
      <c r="Y10" s="71">
        <f>AK10*AI10*AL10*AO10</f>
        <v>0.0790900893163860008</v>
      </c>
      <c r="Z10" s="71">
        <f>Z3</f>
        <v>0.569999999999999929</v>
      </c>
      <c r="AA10" s="71">
        <f>Z10*Y10</f>
        <v>0.0450813509103399923</v>
      </c>
      <c r="AB10" s="157">
        <f>IF($B$17="JC",IF($C$17="JC",$W$1,$V$1/0.9),IF($C$17="JC",$V$1*1.1,$U$1))*AA10/1.5</f>
        <v>0.0450813509103399923</v>
      </c>
      <c r="AC10" s="173">
        <f>(1-AB10)</f>
        <v>0.954918649089659866</v>
      </c>
      <c r="AD10" s="174">
        <f>AB10*PRODUCT(AC5:AC9)*PRODUCT(AC11:AC19)</f>
        <v>0.0342381904192600039</v>
      </c>
      <c r="AE10" s="174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0.00589054456451699959</v>
      </c>
      <c r="AG10" s="195">
        <f>IF(COUNTIF(F11:F18,"RAP")+COUNTIF(J11:J18,"RAP")=0,0,COUNTIF(F11:F18,"RAP")/(COUNTIF(F11:F18,"RAP")+COUNTIF(J11:J18,"RAP")))</f>
        <v>0</v>
      </c>
      <c r="AH10">
        <f>COUNTIF(F11:F18,"RAP")</f>
        <v>0</v>
      </c>
      <c r="AI10" s="198">
        <f>AN10*$AM$3/$AN$3</f>
        <v>0.632720714531089001</v>
      </c>
      <c r="AK10" s="195">
        <f>IF(COUNTIF(F11:F18,"RAP")+COUNTIF(J11:J18,"RAP")=0,0,COUNTIF(J11:J18,"RAP")/(COUNTIF(F11:F18,"RAP")+COUNTIF(J11:J18,"RAP")))</f>
        <v>1</v>
      </c>
      <c r="AL10">
        <f>COUNTIF(J11:J18,"RAP")</f>
        <v>1</v>
      </c>
      <c r="AM10" s="199" t="n">
        <v>0.5</v>
      </c>
      <c r="AN10" s="200">
        <f>IF(AG10=0,IF(AK10=0,0,AM10),AM10)</f>
        <v>0.5</v>
      </c>
      <c r="AO10">
        <f>1/8</f>
        <v>0.125</v>
      </c>
      <c r="BH10" t="n">
        <v>0</v>
      </c>
      <c r="BI10" t="n">
        <v>7</v>
      </c>
      <c r="BJ10" s="109">
        <f>$H$25*H46</f>
        <v>9.877808261788367344E-06</v>
      </c>
      <c r="BL10">
        <f>BH44+1</f>
        <v>6</v>
      </c>
      <c r="BM10" t="n">
        <v>6</v>
      </c>
      <c r="BN10" s="109">
        <f>$H$31*H45</f>
        <v>2.414371328553979757E-07</v>
      </c>
      <c r="BP10">
        <f>BP7+1</f>
        <v>4</v>
      </c>
      <c r="BQ10" t="n">
        <v>0</v>
      </c>
      <c r="BR10" s="109">
        <f>$H$29*H39</f>
        <v>0.00793547225821999991</v>
      </c>
    </row>
    <row r="11" spans="1:70">
      <c r="A11" s="8" t="s">
        <v>56</v>
      </c>
      <c r="B11" s="165" t="n">
        <v>5</v>
      </c>
      <c r="C11" s="166" t="n">
        <v>2.5</v>
      </c>
      <c r="E11" s="189" t="s">
        <v>57</v>
      </c>
      <c r="F11" s="164" t="s">
        <v>35</v>
      </c>
      <c r="G11" s="164"/>
      <c r="H11" s="12"/>
      <c r="I11" s="12"/>
      <c r="J11" s="163" t="s">
        <v>40</v>
      </c>
      <c r="K11" s="163"/>
      <c r="L11" s="12"/>
      <c r="M11" s="12"/>
      <c r="O11" s="69">
        <f>AG11*AI11*AO11*AH11</f>
        <v>0</v>
      </c>
      <c r="P11" s="201">
        <f>P3</f>
        <v>0.569999999999999929</v>
      </c>
      <c r="Q11" s="205">
        <f>P11*O11</f>
        <v>0</v>
      </c>
      <c r="R11" s="157">
        <f>IF($B$17="JC",IF($C$17="JC",$W$1,$V$1*1.1),IF($C$17="JC",$V$1/0.9,$U$1))*Q11/1.5</f>
        <v>0</v>
      </c>
      <c r="S11" s="173">
        <f>(1-R11)</f>
        <v>1</v>
      </c>
      <c r="T11" s="174">
        <f>R11*PRODUCT(S5:S10)*PRODUCT(S12:S19)</f>
        <v>0</v>
      </c>
      <c r="U11" s="174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</v>
      </c>
      <c r="W11" s="183" t="s">
        <v>58</v>
      </c>
      <c r="X11" s="17" t="s">
        <v>59</v>
      </c>
      <c r="Y11" s="71">
        <f>AK11*AI11*AL11*AO11</f>
        <v>0.0790900893163860008</v>
      </c>
      <c r="Z11" s="71">
        <f>Z3</f>
        <v>0.569999999999999929</v>
      </c>
      <c r="AA11" s="71">
        <f>Z11*Y11</f>
        <v>0.0450813509103399923</v>
      </c>
      <c r="AB11" s="157">
        <f>IF($B$17="JC",IF($C$17="JC",$W$1,$V$1/0.9),IF($C$17="JC",$V$1*1.1,$U$1))*AA11/1.5</f>
        <v>0.0450813509103399923</v>
      </c>
      <c r="AC11" s="173">
        <f>(1-AB11)</f>
        <v>0.954918649089659866</v>
      </c>
      <c r="AD11" s="174">
        <f>AB11*PRODUCT(AC5:AC10)*PRODUCT(AC12:AC19)</f>
        <v>0.0342381904192600039</v>
      </c>
      <c r="AE11" s="174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0.00427417244915500039</v>
      </c>
      <c r="AG11" s="195">
        <f>IF(COUNTIF(F11:F18,"RAP")+COUNTIF(J11:J18,"RAP")=0,0,COUNTIF(F11:F18,"RAP")/(COUNTIF(F11:F18,"RAP")+COUNTIF(J11:J18,"RAP")))</f>
        <v>0</v>
      </c>
      <c r="AH11">
        <f>COUNTIF(F11:F18,"RAP")</f>
        <v>0</v>
      </c>
      <c r="AI11" s="198">
        <f>AN11*$AM$3/$AN$3</f>
        <v>0.632720714531089001</v>
      </c>
      <c r="AK11" s="195">
        <f>IF(COUNTIF(F11:F18,"RAP")+COUNTIF(J11:J18,"RAP")=0,0,COUNTIF(J11:J18,"RAP")/(COUNTIF(F11:F18,"RAP")+COUNTIF(J11:J18,"RAP")))</f>
        <v>1</v>
      </c>
      <c r="AL11">
        <f>COUNTIF(J11:J18,"RAP")</f>
        <v>1</v>
      </c>
      <c r="AM11" s="199" t="n">
        <v>0.5</v>
      </c>
      <c r="AN11" s="200">
        <f>IF(AG11=0,IF(AK11=0,0,AM11),AM11)</f>
        <v>0.5</v>
      </c>
      <c r="AO11">
        <f>1/8</f>
        <v>0.125</v>
      </c>
      <c r="BH11" t="n">
        <v>0</v>
      </c>
      <c r="BI11" t="n">
        <v>8</v>
      </c>
      <c r="BJ11" s="109">
        <f>$H$25*H47</f>
        <v>7.374143163797624272E-07</v>
      </c>
      <c r="BL11">
        <f>BH50+1</f>
        <v>7</v>
      </c>
      <c r="BM11" t="n">
        <v>7</v>
      </c>
      <c r="BN11" s="109">
        <f>$H$32*H46</f>
        <v>2.518008325203507066E-09</v>
      </c>
      <c r="BP11">
        <f>BP8+1</f>
        <v>4</v>
      </c>
      <c r="BQ11" t="n">
        <v>1</v>
      </c>
      <c r="BR11" s="109">
        <f>$H$29*H40</f>
        <v>0.00921323957427799911</v>
      </c>
    </row>
    <row r="12" spans="1:70">
      <c r="A12" s="8" t="s">
        <v>60</v>
      </c>
      <c r="B12" s="165" t="n">
        <v>3.75</v>
      </c>
      <c r="C12" s="166" t="n">
        <v>2.75</v>
      </c>
      <c r="E12" s="189" t="s">
        <v>57</v>
      </c>
      <c r="F12" s="164" t="s">
        <v>35</v>
      </c>
      <c r="G12" s="164"/>
      <c r="H12" s="12"/>
      <c r="I12" s="12"/>
      <c r="J12" s="163" t="s">
        <v>2</v>
      </c>
      <c r="K12" s="163"/>
      <c r="L12" s="12"/>
      <c r="M12" s="12"/>
      <c r="O12" s="69">
        <f>AG12*AI12*AO12*AH12</f>
        <v>0.00415787898120400001</v>
      </c>
      <c r="P12" s="201">
        <f>P2</f>
        <v>0.45</v>
      </c>
      <c r="Q12" s="205">
        <f>P12*O12</f>
        <v>0.0018710455415420002</v>
      </c>
      <c r="R12" s="157">
        <f>IF($B$17="JC",IF($C$17="JC",$W$1,$V$1*1.1),IF($C$17="JC",$V$1/0.9,$U$1))*Q12/1.5</f>
        <v>0.0018710455415420002</v>
      </c>
      <c r="S12" s="173">
        <f>(1-R12)</f>
        <v>0.99812895445845804</v>
      </c>
      <c r="T12" s="174">
        <f>R12*PRODUCT(S5:S11)*PRODUCT(S13:S19)</f>
        <v>0.00161249212287299981</v>
      </c>
      <c r="U12" s="174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0.00018082518113099999</v>
      </c>
      <c r="W12" s="184" t="s">
        <v>61</v>
      </c>
      <c r="X12" s="17" t="s">
        <v>62</v>
      </c>
      <c r="Y12" s="71">
        <f>AK12*AI12*AL12*AO12</f>
        <v>0.0041578789812050001</v>
      </c>
      <c r="Z12" s="71">
        <f>Z2</f>
        <v>0.45</v>
      </c>
      <c r="AA12" s="71">
        <f>Z12*Y12</f>
        <v>0.0018710455415420002</v>
      </c>
      <c r="AB12" s="157">
        <f>IF($B$17="JC",IF($C$17="JC",$W$1,$V$1/0.9),IF($C$17="JC",$V$1*1.1,$U$1))*AA12/1.5</f>
        <v>0.0018710455415420002</v>
      </c>
      <c r="AC12" s="173">
        <f>(1-AB12)</f>
        <v>0.99812895445845804</v>
      </c>
      <c r="AD12" s="174">
        <f>AB12*PRODUCT(AC5:AC11)*PRODUCT(AC13:AC19)</f>
        <v>0.00135949608295099988</v>
      </c>
      <c r="AE12" s="174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0.000167166150050000013</v>
      </c>
      <c r="AG12" s="195">
        <f>IF(COUNTA(F6:F10)+COUNTA(J6:J10)=0,0,COUNTA(F6:F10)/(COUNTA(F6:F10)+COUNTA(J6:J10)))</f>
        <v>0.428571428571429003</v>
      </c>
      <c r="AH12">
        <f>COUNTA(J6:J10)</f>
        <v>4</v>
      </c>
      <c r="AI12" s="198">
        <f>AN12*$AM$3/$AN$3</f>
        <v>0.014552576434215001</v>
      </c>
      <c r="AK12" s="195">
        <f>IF(COUNTA(J6:J10)+COUNTA(F6:F10)=0,0,COUNTA(J6:J10)/(COUNTA(J6:J10)+COUNTA(F6:F10)))</f>
        <v>0.571428571428571974</v>
      </c>
      <c r="AL12">
        <f>COUNTA(F6:F10)</f>
        <v>3</v>
      </c>
      <c r="AM12" s="199" t="n">
        <v>0.0114999999999999991</v>
      </c>
      <c r="AN12" s="200">
        <f>IF(AG12=0,IF(AK12=0,0,AM12),AM12)</f>
        <v>0.0114999999999999991</v>
      </c>
      <c r="AO12">
        <f>1/6</f>
        <v>0.16666666666666698</v>
      </c>
      <c r="BH12" t="n">
        <v>0</v>
      </c>
      <c r="BI12" t="n">
        <v>9</v>
      </c>
      <c r="BJ12" s="109">
        <f>$H$25*H48</f>
        <v>4.092921870010621395E-08</v>
      </c>
      <c r="BL12">
        <f>BH54+1</f>
        <v>8</v>
      </c>
      <c r="BM12" t="n">
        <v>8</v>
      </c>
      <c r="BN12" s="109">
        <f>$H$33*H47</f>
        <v>1.49717779762293688E-11</v>
      </c>
      <c r="BP12">
        <f>BP9+1</f>
        <v>4</v>
      </c>
      <c r="BQ12" t="n">
        <v>2</v>
      </c>
      <c r="BR12" s="109">
        <f>$H$29*H41</f>
        <v>0.00501499050224899889</v>
      </c>
    </row>
    <row r="13" spans="1:70">
      <c r="A13" s="9" t="s">
        <v>63</v>
      </c>
      <c r="B13" s="165" t="n">
        <v>5.5</v>
      </c>
      <c r="C13" s="166" t="n">
        <v>5.5</v>
      </c>
      <c r="E13" s="189" t="s">
        <v>57</v>
      </c>
      <c r="F13" s="164" t="s">
        <v>35</v>
      </c>
      <c r="G13" s="164"/>
      <c r="H13" s="12"/>
      <c r="I13" s="12"/>
      <c r="J13" s="163" t="s">
        <v>9</v>
      </c>
      <c r="K13" s="163"/>
      <c r="L13" s="12"/>
      <c r="M13" s="12"/>
      <c r="O13" s="69">
        <f>AG13*AI13*AO13*AH13</f>
        <v>0.086399778669926004</v>
      </c>
      <c r="P13" s="201">
        <f>P3</f>
        <v>0.569999999999999929</v>
      </c>
      <c r="Q13" s="205">
        <f>P13*O13</f>
        <v>0.0492478738418579987</v>
      </c>
      <c r="R13" s="157">
        <f>IF($B$17="JC",IF($C$17="JC",$W$1,$V$1*1.1),IF($C$17="JC",$V$1/0.9,$U$1))*Q13/1.5</f>
        <v>0.0492478738418579987</v>
      </c>
      <c r="S13" s="173">
        <f>(1-R13)</f>
        <v>0.950752126158142019</v>
      </c>
      <c r="T13" s="174">
        <f>R13*PRODUCT(S5:S12)*PRODUCT(S14:S19)</f>
        <v>0.044557424282808995</v>
      </c>
      <c r="U13" s="174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0.00268865458049899964</v>
      </c>
      <c r="W13" s="183" t="s">
        <v>64</v>
      </c>
      <c r="X13" s="17" t="s">
        <v>65</v>
      </c>
      <c r="Y13" s="71">
        <f>AK13*AI13*AL13*AO13</f>
        <v>0.09999974383093301</v>
      </c>
      <c r="Z13" s="71">
        <f>Z3</f>
        <v>0.569999999999999929</v>
      </c>
      <c r="AA13" s="71">
        <f>Z13*Y13</f>
        <v>0.0569998539836320006</v>
      </c>
      <c r="AB13" s="157">
        <f>IF($B$17="JC",IF($C$17="JC",$W$1,$V$1/0.9),IF($C$17="JC",$V$1*1.1,$U$1))*AA13/1.5</f>
        <v>0.0569998539836320006</v>
      </c>
      <c r="AC13" s="173">
        <f>(1-AB13)</f>
        <v>0.943000146016368035</v>
      </c>
      <c r="AD13" s="174">
        <f>AB13*PRODUCT(AC5:AC12)*PRODUCT(AC14:AC19)</f>
        <v>0.0438371427322259954</v>
      </c>
      <c r="AE13" s="174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0.00274055019806499978</v>
      </c>
      <c r="AG13" s="195">
        <f>B22</f>
        <v>0.463519313304720981</v>
      </c>
      <c r="AH13" t="n">
        <v>1</v>
      </c>
      <c r="AI13" s="198">
        <f>AN13*$AM$3/$AN$3</f>
        <v>0.186399522500859014</v>
      </c>
      <c r="AK13" s="195">
        <f>C22</f>
        <v>0.536480686695279019</v>
      </c>
      <c r="AL13" t="n">
        <v>1</v>
      </c>
      <c r="AM13" s="199" t="n">
        <v>0.147299999999999986</v>
      </c>
      <c r="AN13" s="200">
        <f>IF(AG13=0,IF(AK13=0,0,AM13),AM13)</f>
        <v>0.147299999999999986</v>
      </c>
      <c r="AO13" t="n">
        <v>1</v>
      </c>
      <c r="BH13" t="n">
        <v>0</v>
      </c>
      <c r="BI13" t="n">
        <v>10</v>
      </c>
      <c r="BJ13" s="109">
        <f>$H$25*H49</f>
        <v>1.63779444569478295E-09</v>
      </c>
      <c r="BL13">
        <f>BH57+1</f>
        <v>9</v>
      </c>
      <c r="BM13" t="n">
        <v>9</v>
      </c>
      <c r="BN13" s="109">
        <f>$H$34*H48</f>
        <v>4.961848827135065303E-14</v>
      </c>
      <c r="BP13">
        <f>BL7+1</f>
        <v>4</v>
      </c>
      <c r="BQ13" t="n">
        <v>3</v>
      </c>
      <c r="BR13" s="109">
        <f>$H$29*H42</f>
        <v>0.00170147127715399993</v>
      </c>
    </row>
    <row r="14" spans="1:70">
      <c r="A14" s="9" t="s">
        <v>66</v>
      </c>
      <c r="B14" s="165" t="n">
        <v>4.5</v>
      </c>
      <c r="C14" s="166" t="n">
        <v>4.25</v>
      </c>
      <c r="E14" s="189" t="s">
        <v>67</v>
      </c>
      <c r="F14" s="164" t="s">
        <v>35</v>
      </c>
      <c r="G14" s="164"/>
      <c r="H14" s="12"/>
      <c r="I14" s="12"/>
      <c r="J14" s="163" t="s">
        <v>35</v>
      </c>
      <c r="K14" s="163"/>
      <c r="L14" s="12"/>
      <c r="M14" s="12"/>
      <c r="O14" s="69">
        <f>AG14*AI14*AO14*AH14</f>
        <v>0</v>
      </c>
      <c r="P14" s="201">
        <f>IF(COUNTIF(F6:F18,"CAB")-COUNTIF(J6:J18,"CAB")&gt;2,0.8,IF(COUNTIF(F6:F18,"CAB")-COUNTIF(J6:J18,"CAB")&gt;0,0.6,IF(COUNTIF(F6:F18,"CAB")-COUNTIF(J6:J18,"CAB")=0,0.5,0.15)))</f>
        <v>0.5</v>
      </c>
      <c r="Q14" s="205">
        <f>P14*O14</f>
        <v>0</v>
      </c>
      <c r="R14" s="157">
        <f>IF($B$17="JC",IF($C$17="JC",$W$1,$V$1*1.1),IF($C$17="JC",$V$1/0.9,$U$1))*Q14/1.5</f>
        <v>0</v>
      </c>
      <c r="S14" s="173">
        <f>(1-R14)</f>
        <v>1</v>
      </c>
      <c r="T14" s="174">
        <f>R14*PRODUCT(S5:S13)*PRODUCT(S15:S19)</f>
        <v>0</v>
      </c>
      <c r="U14" s="174">
        <f>R14*R15*PRODUCT(S5:S13)*PRODUCT(S16:S19)+R14*R16*PRODUCT(S5:S13)*S15*PRODUCT(S17:S19)+R14*R17*PRODUCT(S5:S13)*PRODUCT(S15:S16)*PRODUCT(S18:S19)+R14*R18*PRODUCT(S5:S13)*PRODUCT(S15:S17)*PRODUCT(S19)+R14*R19*PRODUCT(S5:S13)*PRODUCT(S15:S18)</f>
        <v>0</v>
      </c>
      <c r="W14" s="183" t="s">
        <v>68</v>
      </c>
      <c r="X14" s="17" t="s">
        <v>69</v>
      </c>
      <c r="Y14" s="71">
        <f>AK14*AI14*AL14*AO14</f>
        <v>0</v>
      </c>
      <c r="Z14" s="202">
        <f>IF(COUNTIF(J6:J18,"CAB")-COUNTIF(F6:F18,"CAB")&gt;2,0.8,IF(COUNTIF(J6:J18,"CAB")-COUNTIF(F6:F18,"CAB")&gt;0,0.6,IF(COUNTIF(J6:J18,"CAB")-COUNTIF(F6:F18,"CAB")=0,0.5,0.15)))</f>
        <v>0.5</v>
      </c>
      <c r="AA14" s="71">
        <f>Z14*Y14</f>
        <v>0</v>
      </c>
      <c r="AB14" s="157">
        <f>IF($B$17="JC",IF($C$17="JC",$W$1,$V$1/0.9),IF($C$17="JC",$V$1*1.1,$U$1))*AA14/1.5</f>
        <v>0</v>
      </c>
      <c r="AC14" s="173">
        <f>(1-AB14)</f>
        <v>1</v>
      </c>
      <c r="AD14" s="174">
        <f>AB14*PRODUCT(AC5:AC13)*PRODUCT(AC15:AC19)</f>
        <v>0</v>
      </c>
      <c r="AE14" s="174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0</v>
      </c>
      <c r="AG14" s="195">
        <f>IF(AL14=0,1,B22)</f>
        <v>1</v>
      </c>
      <c r="AH14">
        <f>IF(COUNTIF(F6:F18,"CAB")&gt;0,1,0)</f>
        <v>0</v>
      </c>
      <c r="AI14" s="198">
        <f>AN14*$AM$3/$AN$3</f>
        <v>0.264856891102713998</v>
      </c>
      <c r="AK14" s="195">
        <f>IF(AH14=0,1,C22)</f>
        <v>1</v>
      </c>
      <c r="AL14">
        <f>IF(COUNTIF(J6:J18,"CAB")&gt;0,1,0)</f>
        <v>0</v>
      </c>
      <c r="AM14" s="199" t="n">
        <v>0.209299999999999997</v>
      </c>
      <c r="AN14" s="200">
        <f>IF(AG14=0,IF(AK14=0,0,AM14),AM14)</f>
        <v>0.209299999999999997</v>
      </c>
      <c r="AO14" t="n">
        <v>1</v>
      </c>
      <c r="BH14" t="n">
        <v>1</v>
      </c>
      <c r="BI14" t="n">
        <v>2</v>
      </c>
      <c r="BJ14" s="109">
        <f>$H$26*H41</f>
        <v>0.0766952443729509969</v>
      </c>
      <c r="BL14">
        <f>BP39+1</f>
        <v>10</v>
      </c>
      <c r="BM14" t="n">
        <v>10</v>
      </c>
      <c r="BN14" s="109">
        <f>$H$35*H49</f>
        <v>8.701868993829175867E-17</v>
      </c>
      <c r="BP14">
        <f>BP10+1</f>
        <v>5</v>
      </c>
      <c r="BQ14" t="n">
        <v>0</v>
      </c>
      <c r="BR14" s="109">
        <f>$H$30*H39</f>
        <v>0.00150429123507299973</v>
      </c>
    </row>
    <row r="15" spans="1:70">
      <c r="A15" s="186" t="s">
        <v>70</v>
      </c>
      <c r="B15" s="167" t="n">
        <v>3</v>
      </c>
      <c r="C15" s="168" t="n">
        <v>3.75</v>
      </c>
      <c r="E15" s="189" t="s">
        <v>67</v>
      </c>
      <c r="F15" s="164" t="s">
        <v>40</v>
      </c>
      <c r="G15" s="164"/>
      <c r="H15" s="12"/>
      <c r="I15" s="12"/>
      <c r="J15" s="163" t="s">
        <v>35</v>
      </c>
      <c r="K15" s="163"/>
      <c r="L15" s="12"/>
      <c r="M15" s="12"/>
      <c r="O15" s="69">
        <f>AG15*AI15*AO15*AH15</f>
        <v>0.0228757051468239991</v>
      </c>
      <c r="P15" s="201">
        <f>R3</f>
        <v>0.7</v>
      </c>
      <c r="Q15" s="205">
        <f>P15*O15</f>
        <v>0.0160129936027770015</v>
      </c>
      <c r="R15" s="157">
        <f>IF($B$17="JC",IF($C$17="JC",$W$1,$V$1*1.1),IF($C$17="JC",$V$1/0.9,$U$1))*Q15/1.5</f>
        <v>0.0160129936027770015</v>
      </c>
      <c r="S15" s="173">
        <f>(1-R15)</f>
        <v>0.983987006397222963</v>
      </c>
      <c r="T15" s="174">
        <f>R15*PRODUCT(S5:S14)*PRODUCT(S16:S19)</f>
        <v>0.0139985503593530014</v>
      </c>
      <c r="U15" s="174">
        <f>R15*R16*PRODUCT(S5:S14)*PRODUCT(S17:S19)+R15*R17*PRODUCT(S5:S14)*S16*PRODUCT(S18:S19)+R15*R18*PRODUCT(S5:S14)*S16*S17*S19+R15*R19*PRODUCT(S5:S14)*S16*S17*S18</f>
        <v>0.000616884690533999969</v>
      </c>
      <c r="W15" s="183" t="s">
        <v>71</v>
      </c>
      <c r="X15" s="17" t="s">
        <v>72</v>
      </c>
      <c r="Y15" s="71">
        <f>AK15*AI15*AL15*AO15</f>
        <v>0.0264765105866009964</v>
      </c>
      <c r="Z15" s="71">
        <f>AB3</f>
        <v>0.7</v>
      </c>
      <c r="AA15" s="71">
        <f>Z15*Y15</f>
        <v>0.0185335574106210021</v>
      </c>
      <c r="AB15" s="157">
        <f>IF($B$17="JC",IF($C$17="JC",$W$1,$V$1/0.9),IF($C$17="JC",$V$1*1.1,$U$1))*AA15/1.5</f>
        <v>0.0185335574106210021</v>
      </c>
      <c r="AC15" s="173">
        <f>(1-AB15)</f>
        <v>0.981466442589379007</v>
      </c>
      <c r="AD15" s="174">
        <f>AB15*PRODUCT(AC5:AC14)*PRODUCT(AC16:AC19)</f>
        <v>0.0136950489465790004</v>
      </c>
      <c r="AE15" s="174">
        <f>AB15*AB16*PRODUCT(AC5:AC14)*PRODUCT(AC17:AC19)+AB15*AB17*PRODUCT(AC5:AC14)*AC16*PRODUCT(AC18:AC19)+AB15*AB18*PRODUCT(AC5:AC14)*AC16*AC17*AC19+AB15*AB19*PRODUCT(AC5:AC14)*AC16*AC17*AC18</f>
        <v>0.000597557277692999911</v>
      </c>
      <c r="AG15" s="195">
        <f>IF(AL15=0,1,B22)</f>
        <v>0.463519313304720981</v>
      </c>
      <c r="AH15" t="n">
        <v>1</v>
      </c>
      <c r="AI15" s="198">
        <f>AN15*$AM$3/$AN$3</f>
        <v>0.049352215733425</v>
      </c>
      <c r="AK15" s="195">
        <f>IF(AH15=0,1,C22)</f>
        <v>0.536480686695279019</v>
      </c>
      <c r="AL15" t="n">
        <v>1</v>
      </c>
      <c r="AM15" s="199" t="n">
        <v>0.0390000000000000036</v>
      </c>
      <c r="AN15" s="200">
        <f>IF(AG15=0,IF(AK15=0,0,AM15),AM15)</f>
        <v>0.0390000000000000036</v>
      </c>
      <c r="AO15" t="n">
        <v>1</v>
      </c>
      <c r="BH15" t="n">
        <v>1</v>
      </c>
      <c r="BI15" t="n">
        <v>3</v>
      </c>
      <c r="BJ15" s="109">
        <f>$H$26*H42</f>
        <v>0.0260209376939749992</v>
      </c>
      <c r="BP15">
        <f>BP11+1</f>
        <v>5</v>
      </c>
      <c r="BQ15" t="n">
        <v>1</v>
      </c>
      <c r="BR15" s="109">
        <f>$H$30*H40</f>
        <v>0.00174651174967699996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 t="s">
        <v>35</v>
      </c>
      <c r="G16" s="164"/>
      <c r="H16" s="12"/>
      <c r="I16" s="12"/>
      <c r="J16" s="163"/>
      <c r="K16" s="163"/>
      <c r="L16" s="12"/>
      <c r="M16" s="12"/>
      <c r="O16" s="69">
        <f>AG16*AI16*AO16*AH16</f>
        <v>0.0211812084692809988</v>
      </c>
      <c r="P16" s="201" t="n">
        <v>0.15</v>
      </c>
      <c r="Q16" s="205">
        <f>P16*O16</f>
        <v>0.00317718127039199993</v>
      </c>
      <c r="R16" s="157">
        <f>IF($B$17="JC",IF($C$17="JC",$W$1,$V$1*1.1),IF($C$17="JC",$V$1/0.9,$U$1))*Q16/1.5</f>
        <v>0.00317718127039199993</v>
      </c>
      <c r="S16" s="173">
        <f>(1-R16)</f>
        <v>0.996822818729608073</v>
      </c>
      <c r="T16" s="174">
        <f>R16*PRODUCT(S5:S15)*PRODUCT(S17:S19)</f>
        <v>0.00274172517653000014</v>
      </c>
      <c r="U16" s="174">
        <f>R16*R17*PRODUCT(S5:S15)*PRODUCT(S18:S19)+R16*R18*PRODUCT(S5:S15)*S17*S19+R16*R19*PRODUCT(S5:S15)*S17*S18</f>
        <v>0.000112082951547999987</v>
      </c>
      <c r="W16" s="184" t="s">
        <v>75</v>
      </c>
      <c r="X16" s="17" t="s">
        <v>76</v>
      </c>
      <c r="Y16" s="71">
        <f>AK16*AI16*AL16*AO16</f>
        <v>0.0183005641174590004</v>
      </c>
      <c r="Z16" s="71" t="n">
        <v>0.15</v>
      </c>
      <c r="AA16" s="71">
        <f>Z16*Y16</f>
        <v>0.0027450846176189998</v>
      </c>
      <c r="AB16" s="157">
        <f>IF($B$17="JC",IF($C$17="JC",$W$1,$V$1/0.9),IF($C$17="JC",$V$1*1.1,$U$1))*AA16/1.5</f>
        <v>0.0027450846176189998</v>
      </c>
      <c r="AC16" s="173">
        <f>(1-AB16)</f>
        <v>0.997254915382380958</v>
      </c>
      <c r="AD16" s="174">
        <f>AB16*PRODUCT(AC5:AC15)*PRODUCT(AC17:AC19)</f>
        <v>0.00199631838724100028</v>
      </c>
      <c r="AE16" s="174">
        <f>AB16*AB17*PRODUCT(AC5:AC15)*PRODUCT(AC18:AC19)+AB16*AB18*PRODUCT(AC5:AC15)*AC17*AC19+AB16*AB19*PRODUCT(AC5:AC15)*AC17*AC18</f>
        <v>0.0000816103885939999962</v>
      </c>
      <c r="AG16" s="195">
        <f>C22</f>
        <v>0.536480686695279019</v>
      </c>
      <c r="AH16" t="n">
        <v>1</v>
      </c>
      <c r="AI16" s="198">
        <f>AN16*$AM$3/$AN$3</f>
        <v>0.0394817725867400071</v>
      </c>
      <c r="AK16" s="195">
        <f>B22</f>
        <v>0.463519313304720981</v>
      </c>
      <c r="AL16" t="n">
        <v>1</v>
      </c>
      <c r="AM16" s="199" t="n">
        <v>0.0312000000000000011</v>
      </c>
      <c r="AN16" s="200">
        <f>IF(AG16=0,IF(AK16=0,0,AM16),AM16)</f>
        <v>0.0312000000000000011</v>
      </c>
      <c r="AO16" t="n">
        <v>1</v>
      </c>
      <c r="BH16" t="n">
        <v>1</v>
      </c>
      <c r="BI16" t="n">
        <v>4</v>
      </c>
      <c r="BJ16" s="109">
        <f>$H$26*H43</f>
        <v>0.00614498481929300056</v>
      </c>
      <c r="BP16">
        <f>BP12+1</f>
        <v>5</v>
      </c>
      <c r="BQ16" t="n">
        <v>2</v>
      </c>
      <c r="BR16" s="109">
        <f>$H$30*H41</f>
        <v>0.000950668846293000058</v>
      </c>
    </row>
    <row r="17" spans="1:70">
      <c r="A17" s="185" t="s">
        <v>77</v>
      </c>
      <c r="B17" s="169" t="s">
        <v>78</v>
      </c>
      <c r="C17" s="170" t="s">
        <v>78</v>
      </c>
      <c r="E17" s="189" t="s">
        <v>74</v>
      </c>
      <c r="F17" s="164"/>
      <c r="G17" s="164"/>
      <c r="H17" s="12"/>
      <c r="I17" s="12"/>
      <c r="J17" s="163" t="s">
        <v>35</v>
      </c>
      <c r="K17" s="163"/>
      <c r="L17" s="12"/>
      <c r="M17" s="12"/>
      <c r="O17" s="69">
        <f>AG17*AI17*AO17*AH17</f>
        <v>0.0689032858124360015</v>
      </c>
      <c r="P17" s="201">
        <f>P3</f>
        <v>0.569999999999999929</v>
      </c>
      <c r="Q17" s="205">
        <f>P17*O17</f>
        <v>0.039274872913089002</v>
      </c>
      <c r="R17" s="157">
        <f>IF($B$17="JC",IF($C$17="JC",$W$1,$V$1*1.1),IF($C$17="JC",$V$1/0.9,$U$1))*Q17/1.5</f>
        <v>0.039274872913089002</v>
      </c>
      <c r="S17" s="173">
        <f>(1-R17)</f>
        <v>0.960725127086911002</v>
      </c>
      <c r="T17" s="174">
        <f>R17*PRODUCT(S5:S16)*PRODUCT(S18:S19)</f>
        <v>0.0351653979379209991</v>
      </c>
      <c r="U17" s="174">
        <f>R17*R18*PRODUCT(S5:S16)*S19+R17*R19*PRODUCT(S5:S16)*S18</f>
        <v>0</v>
      </c>
      <c r="W17" s="183" t="s">
        <v>79</v>
      </c>
      <c r="X17" s="17" t="s">
        <v>80</v>
      </c>
      <c r="Y17" s="71">
        <f>AK17*AI17*AL17*AO17</f>
        <v>0.0689032858124360015</v>
      </c>
      <c r="Z17" s="71">
        <f>Z3</f>
        <v>0.569999999999999929</v>
      </c>
      <c r="AA17" s="71">
        <f>Z17*Y17</f>
        <v>0.039274872913089002</v>
      </c>
      <c r="AB17" s="157">
        <f>IF($B$17="JC",IF($C$17="JC",$W$1,$V$1/0.9),IF($C$17="JC",$V$1*1.1,$U$1))*AA17/1.5</f>
        <v>0.039274872913089002</v>
      </c>
      <c r="AC17" s="173">
        <f>(1-AB17)</f>
        <v>0.960725127086911002</v>
      </c>
      <c r="AD17" s="174">
        <f>AB17*PRODUCT(AC5:AC16)*PRODUCT(AC18:AC19)</f>
        <v>0.0296480336702930014</v>
      </c>
      <c r="AE17" s="174">
        <f>AB17*AB18*PRODUCT(AC5:AC16)*AC19+AB17*AB19*PRODUCT(AC5:AC16)*AC18</f>
        <v>0</v>
      </c>
      <c r="AG17" s="195">
        <f>COUNTA(F14:F15)/(COUNTA(F14:F15)+COUNTA(J14:J15))</f>
        <v>0.5</v>
      </c>
      <c r="AH17">
        <f>COUNTA(F14:F15)</f>
        <v>2</v>
      </c>
      <c r="AI17" s="198">
        <f>AN17*$AM$3/$AN$3</f>
        <v>0.137806571624870999</v>
      </c>
      <c r="AK17" s="195">
        <f>COUNTA(J14:J15)/(COUNTA(F14:F15)+COUNTA(J14:J15))</f>
        <v>0.5</v>
      </c>
      <c r="AL17">
        <f>COUNTA(J14:J15)</f>
        <v>2</v>
      </c>
      <c r="AM17" s="199" t="n">
        <v>0.108899999999999997</v>
      </c>
      <c r="AN17" s="200">
        <f>IF(AG17=0,IF(AK17=0,0,AM17),AM17)</f>
        <v>0.108899999999999997</v>
      </c>
      <c r="AO17">
        <f>1/2</f>
        <v>0.5</v>
      </c>
      <c r="BH17" t="n">
        <v>1</v>
      </c>
      <c r="BI17" t="n">
        <v>5</v>
      </c>
      <c r="BJ17" s="109">
        <f>$H$26*H44</f>
        <v>0.00106475969641299995</v>
      </c>
      <c r="BP17">
        <f>BP13+1</f>
        <v>5</v>
      </c>
      <c r="BQ17" t="n">
        <v>3</v>
      </c>
      <c r="BR17" s="109">
        <f>$H$30*H42</f>
        <v>0.000322540139472999954</v>
      </c>
    </row>
    <row r="18" spans="1:70">
      <c r="A18" s="185" t="s">
        <v>81</v>
      </c>
      <c r="B18" s="169" t="n">
        <v>20</v>
      </c>
      <c r="C18" s="170" t="n">
        <v>20</v>
      </c>
      <c r="E18" s="189" t="s">
        <v>74</v>
      </c>
      <c r="F18" s="164" t="s">
        <v>35</v>
      </c>
      <c r="G18" s="164"/>
      <c r="H18" s="12"/>
      <c r="I18" s="12"/>
      <c r="J18" s="163"/>
      <c r="K18" s="163"/>
      <c r="L18" s="12"/>
      <c r="M18" s="12"/>
      <c r="O18" s="69">
        <f>AG18*AI18*AO18*AH18</f>
        <v>0</v>
      </c>
      <c r="P18" s="201">
        <f>P17*1.2</f>
        <v>0.684000000000000075</v>
      </c>
      <c r="Q18" s="205">
        <f>P18*O18</f>
        <v>0</v>
      </c>
      <c r="R18" s="157">
        <f>IF($B$17="JC",IF($C$17="JC",$W$1,$V$1*1.1),IF($C$17="JC",$V$1/0.9,$U$1))*Q18/1.5</f>
        <v>0</v>
      </c>
      <c r="S18" s="173">
        <f>(1-R18)</f>
        <v>1</v>
      </c>
      <c r="T18" s="174">
        <f>R18*PRODUCT(S5:S17)*PRODUCT(S19)</f>
        <v>0</v>
      </c>
      <c r="U18" s="174">
        <f>R18*R19*PRODUCT(S5:S17)</f>
        <v>0</v>
      </c>
      <c r="W18" s="183" t="s">
        <v>82</v>
      </c>
      <c r="X18" s="17" t="s">
        <v>83</v>
      </c>
      <c r="Y18" s="71">
        <f>AK18*AI18*AL18*AO18</f>
        <v>0</v>
      </c>
      <c r="Z18" s="71">
        <f>Z17*1.2</f>
        <v>0.684000000000000075</v>
      </c>
      <c r="AA18" s="71">
        <f>Z18*Y18</f>
        <v>0</v>
      </c>
      <c r="AB18" s="157">
        <f>IF($B$17="JC",IF($C$17="JC",$W$1,$V$1/0.9),IF($C$17="JC",$V$1*1.1,$U$1))*AA18/1.5</f>
        <v>0</v>
      </c>
      <c r="AC18" s="173">
        <f>(1-AB18)</f>
        <v>1</v>
      </c>
      <c r="AD18" s="174">
        <f>AB18*PRODUCT(AC5:AC17)*PRODUCT(AC19)</f>
        <v>0</v>
      </c>
      <c r="AE18" s="174">
        <f>AB18*AB19*PRODUCT(AC5:AC17)</f>
        <v>0</v>
      </c>
      <c r="AG18" s="195">
        <f>IF(COUNTA(F14:F15)&gt;0,IF(COUNTIF(F11:F18,"CAB")+COUNTIF(J11:J18,"CAB")=0,0,COUNTIF(F11:F18,"CAB")/(COUNTIF(F11:F18,"CAB")+COUNTIF(J11:J18,"CAB"))),0)</f>
        <v>0</v>
      </c>
      <c r="AH18">
        <f>COUNTIF(F11:F18,"CAB")</f>
        <v>0</v>
      </c>
      <c r="AI18" s="198">
        <f>AN18*$AM$3/$AN$3</f>
        <v>0</v>
      </c>
      <c r="AK18" s="195">
        <f>IF(COUNTA(J14:J15)&gt;0,IF(COUNTIF(J11:J18,"CAB")+COUNTIF(F11:F18,"CAB")=0,0,COUNTIF(J11:J18,"CAB")/(COUNTIF(J11:J18,"CAB")+COUNTIF(F11:F18,"CAB"))),0)</f>
        <v>0</v>
      </c>
      <c r="AL18">
        <f>COUNTIF(J11:J18,"CAB")</f>
        <v>0</v>
      </c>
      <c r="AM18" s="199" t="n">
        <v>0.164000000000000012</v>
      </c>
      <c r="AN18" s="200">
        <f>IF(AG18=0,IF(AK18=0,0,AM18),AM18)</f>
        <v>0</v>
      </c>
      <c r="AO18">
        <f>1/8</f>
        <v>0.125</v>
      </c>
      <c r="BH18" t="n">
        <v>1</v>
      </c>
      <c r="BI18" t="n">
        <v>6</v>
      </c>
      <c r="BJ18" s="109">
        <f>$H$26*H45</f>
        <v>0.000138773955060000009</v>
      </c>
      <c r="BP18">
        <f>BL8+1</f>
        <v>5</v>
      </c>
      <c r="BQ18" t="n">
        <v>4</v>
      </c>
      <c r="BR18" s="109">
        <f>$H$30*H43</f>
        <v>0.0000761695940390000104</v>
      </c>
    </row>
    <row r="19" spans="8:70">
      <c r="H19" s="15" t="s">
        <v>84</v>
      </c>
      <c r="L19" s="15" t="s">
        <v>84</v>
      </c>
      <c r="O19" s="69">
        <f>AG19*AI19*AO19*AH19</f>
        <v>0</v>
      </c>
      <c r="P19" s="201">
        <f>P3</f>
        <v>0.569999999999999929</v>
      </c>
      <c r="Q19" s="205">
        <f>P19*O19</f>
        <v>0</v>
      </c>
      <c r="R19" s="157">
        <f>IF($B$17="JC",IF($C$17="JC",$W$1,$V$1*1.1),IF($C$17="JC",$V$1/0.9,$U$1))*Q19/1.5</f>
        <v>0</v>
      </c>
      <c r="S19" s="175">
        <f>(1-R19)</f>
        <v>1</v>
      </c>
      <c r="T19" s="176">
        <f>R19*PRODUCT(S5:S18)</f>
        <v>0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AK19*AI19*AL19*AO19</f>
        <v>0</v>
      </c>
      <c r="Z19" s="71">
        <f>Z3</f>
        <v>0.569999999999999929</v>
      </c>
      <c r="AA19" s="71">
        <f>Z19*Y19</f>
        <v>0</v>
      </c>
      <c r="AB19" s="157">
        <f>IF($B$17="JC",IF($C$17="JC",$W$1,$V$1/0.9),IF($C$17="JC",$V$1*1.1,$U$1))*AA19/1.5</f>
        <v>0</v>
      </c>
      <c r="AC19" s="175">
        <f>(1-AB19)</f>
        <v>1</v>
      </c>
      <c r="AD19" s="176">
        <f>AB19*PRODUCT(AC5:AC18)</f>
        <v>0</v>
      </c>
      <c r="AE19" s="176" t="n">
        <v>0</v>
      </c>
      <c r="AF19" s="3" t="s">
        <v>85</v>
      </c>
      <c r="AG19" s="195">
        <f>IF(COUNTIF(F11:F18,"TEC")&gt;0,IF(COUNTIF(J6:J13,"CAB")&gt;0,IF(COUNTIF(F11:F18,"TEC")+COUNTIF(J11:J18,"TEC")&gt;0,COUNTIF(F11:F18,"TEC")/(COUNTIF(F11:F18,"TEC")+COUNTIF(J11:J18,"TEC")),0),0),0)</f>
        <v>0</v>
      </c>
      <c r="AH19">
        <f>COUNTIF(F11:F18,"TEC")</f>
        <v>0</v>
      </c>
      <c r="AI19" s="198">
        <f>AN19*$AM$3/$AN$3</f>
        <v>0</v>
      </c>
      <c r="AK19" s="195">
        <f>IF(COUNTIF(J11:J18,"TEC")&gt;0,IF(COUNTIF(F6:F13,"CAB")&gt;0,IF(COUNTIF(F11:F18,"TEC")+COUNTIF(J11:J18,"TEC")&gt;0,COUNTIF(J11:J18,"TEC")/(COUNTIF(F11:F18,"TEC")+COUNTIF(J11:J18,"TEC")),0),0),0)</f>
        <v>0</v>
      </c>
      <c r="AL19">
        <f>COUNTIF(J11:J18,"TEC")</f>
        <v>0</v>
      </c>
      <c r="AM19" s="199" t="n">
        <v>0.608699999999999974</v>
      </c>
      <c r="AN19" s="200">
        <f>IF(AG19=0,IF(AK19=0,0,AM19),AM19)</f>
        <v>0</v>
      </c>
      <c r="AO19">
        <f>1/8</f>
        <v>0.125</v>
      </c>
      <c r="BH19" t="n">
        <v>1</v>
      </c>
      <c r="BI19" t="n">
        <v>7</v>
      </c>
      <c r="BJ19" s="109">
        <f>$H$26*H46</f>
        <v>0.0000137164889080000019</v>
      </c>
      <c r="BP19">
        <f>BP15+1</f>
        <v>6</v>
      </c>
      <c r="BQ19" t="n">
        <v>1</v>
      </c>
      <c r="BR19" s="109">
        <f>$H$31*H40</f>
        <v>0.000245135824497999932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>
        <f>PRODUCT(S5:S19)</f>
        <v>0.860200909567078043</v>
      </c>
      <c r="T20" s="178">
        <f>SUM(T5:T19)</f>
        <v>0.131720303793462001</v>
      </c>
      <c r="U20" s="178">
        <f>SUM(U5:U19)</f>
        <v>0.00784042249027599958</v>
      </c>
      <c r="V20" s="178">
        <f>1-S20-T20-U20</f>
        <v>0.000238364149183999974</v>
      </c>
      <c r="W20" s="23"/>
      <c r="X20" s="24"/>
      <c r="Y20" s="24"/>
      <c r="Z20" s="24"/>
      <c r="AA20" s="24"/>
      <c r="AB20" s="25"/>
      <c r="AC20" s="181">
        <f>PRODUCT(AC5:AC19)</f>
        <v>0.725237506911874075</v>
      </c>
      <c r="AD20" s="178">
        <f>SUM(AD5:AD19)</f>
        <v>0.238221217849714018</v>
      </c>
      <c r="AE20" s="178">
        <f>SUM(AE5:AE19)</f>
        <v>0.0337151834911630033</v>
      </c>
      <c r="AF20" s="178">
        <f>1-AC20-AD20-AE20</f>
        <v>0.00282609174724900001</v>
      </c>
      <c r="BH20" t="n">
        <v>1</v>
      </c>
      <c r="BI20" t="n">
        <v>8</v>
      </c>
      <c r="BJ20" s="109">
        <f>$H$26*H47</f>
        <v>1.02398578944162802E-06</v>
      </c>
      <c r="BP20">
        <f>BP16+1</f>
        <v>6</v>
      </c>
      <c r="BQ20" t="n">
        <v>2</v>
      </c>
      <c r="BR20" s="109">
        <f>$H$31*H41</f>
        <v>0.00013343339459600001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BH21" s="20" t="n">
        <v>1</v>
      </c>
      <c r="BI21" t="n">
        <v>9</v>
      </c>
      <c r="BJ21" s="109">
        <f>$H$26*H48</f>
        <v>5.683499410157031188E-08</v>
      </c>
      <c r="BP21">
        <f>BP17+1</f>
        <v>6</v>
      </c>
      <c r="BQ21" t="n">
        <v>3</v>
      </c>
      <c r="BR21" s="109">
        <f>$H$31*H42</f>
        <v>0.0000452708909849999941</v>
      </c>
    </row>
    <row r="22" spans="1:70">
      <c r="A22" s="28" t="s">
        <v>90</v>
      </c>
      <c r="B22" s="64">
        <f>(B6)/((B6)+(C6))</f>
        <v>0.463519313304720981</v>
      </c>
      <c r="C22" s="65">
        <f>1-B22</f>
        <v>0.536480686695279019</v>
      </c>
      <c r="D22" s="26"/>
      <c r="E22" s="26"/>
      <c r="V22" s="61">
        <f>SUM(V25:V35)</f>
        <v>1</v>
      </c>
      <c r="AS22" s="84">
        <f>Y23+AA23+AC23+AE23+AG23+AI23+AK23+AM23+AO23+AQ23+AS23</f>
        <v>1</v>
      </c>
      <c r="BH22" t="n">
        <v>1</v>
      </c>
      <c r="BI22" t="n">
        <v>10</v>
      </c>
      <c r="BJ22" s="109">
        <f>$H$26*H49</f>
        <v>2.274268618286771123E-09</v>
      </c>
      <c r="BP22">
        <f>BP18+1</f>
        <v>6</v>
      </c>
      <c r="BQ22" t="n">
        <v>4</v>
      </c>
      <c r="BR22" s="109">
        <f>$H$31*H43</f>
        <v>0.000010690965142000004</v>
      </c>
    </row>
    <row r="23" spans="1:70">
      <c r="A23" s="42" t="s">
        <v>91</v>
      </c>
      <c r="B23" s="58">
        <f>((B22^2.8)/((B22^2.8)+(C22^2.8)))*B21</f>
        <v>1.99538667546567989</v>
      </c>
      <c r="C23" s="59">
        <f>B21-B23</f>
        <v>3.00461332453431984</v>
      </c>
      <c r="D23" s="151">
        <f>SUM(D25:D30)</f>
        <v>1</v>
      </c>
      <c r="E23" s="151">
        <f>SUM(E25:E30)</f>
        <v>1</v>
      </c>
      <c r="H23" s="61">
        <f>SUM(H25:H35)</f>
        <v>0.99999999955342993</v>
      </c>
      <c r="J23" s="61">
        <f>SUM(J25:J35)</f>
        <v>1</v>
      </c>
      <c r="K23" s="61"/>
      <c r="L23" s="61">
        <f>SUM(L25:L35)</f>
        <v>1</v>
      </c>
      <c r="N23" s="61">
        <f>SUM(N25:N35)</f>
        <v>0.99999999999999698</v>
      </c>
      <c r="O23" s="36"/>
      <c r="P23" s="61">
        <f>SUM(P25:P35)</f>
        <v>0.99999999999999698</v>
      </c>
      <c r="R23" s="61">
        <f>SUM(R25:R35)</f>
        <v>0.999999999999998046</v>
      </c>
      <c r="T23" s="61">
        <f>SUM(T25:T35)</f>
        <v>1</v>
      </c>
      <c r="V23" s="61">
        <f>SUM(V25:V34)</f>
        <v>0.999856707923492039</v>
      </c>
      <c r="Y23" s="82">
        <f>SUM(Y25:Y35)</f>
        <v>0.00598826828305000003</v>
      </c>
      <c r="Z23" s="83"/>
      <c r="AA23" s="82">
        <f>SUM(AA25:AA35)</f>
        <v>0.0399190064006609937</v>
      </c>
      <c r="AB23" s="83"/>
      <c r="AC23" s="82">
        <f>SUM(AC25:AC35)</f>
        <v>0.119848405279137005</v>
      </c>
      <c r="AD23" s="83"/>
      <c r="AE23" s="82">
        <f>SUM(AE25:AE35)</f>
        <v>0.213469919244750006</v>
      </c>
      <c r="AF23" s="83"/>
      <c r="AG23" s="82">
        <f>SUM(AG25:AG35)</f>
        <v>0.249928488788766012</v>
      </c>
      <c r="AH23" s="83"/>
      <c r="AI23" s="82">
        <f>SUM(AI25:AI35)</f>
        <v>0.201136241003570015</v>
      </c>
      <c r="AJ23" s="83"/>
      <c r="AK23" s="82">
        <f>SUM(AK25:AK35)</f>
        <v>0.112842552878278002</v>
      </c>
      <c r="AL23" s="83"/>
      <c r="AM23" s="82">
        <f>SUM(AM25:AM35)</f>
        <v>0.0437005324620879954</v>
      </c>
      <c r="AN23" s="83"/>
      <c r="AO23" s="82">
        <f>SUM(AO25:AO35)</f>
        <v>0.0112519499791990008</v>
      </c>
      <c r="AP23" s="83"/>
      <c r="AQ23" s="82">
        <f>SUM(AQ25:AQ35)</f>
        <v>0.00177134360399700004</v>
      </c>
      <c r="AR23" s="83"/>
      <c r="AS23" s="82">
        <f>SUM(AS25:AS35)</f>
        <v>0.000143292076507999999</v>
      </c>
      <c r="BH23">
        <f>BH15+1</f>
        <v>2</v>
      </c>
      <c r="BI23" t="n">
        <v>3</v>
      </c>
      <c r="BJ23" s="109">
        <f>$H$27*H42</f>
        <v>0.0166032436534340011</v>
      </c>
      <c r="BP23">
        <f>BL9+1</f>
        <v>6</v>
      </c>
      <c r="BQ23" t="n">
        <v>5</v>
      </c>
      <c r="BR23" s="109">
        <f>$H$31*H44</f>
        <v>1.852455153933842071E-06</v>
      </c>
    </row>
    <row r="24" spans="1:70">
      <c r="A24" s="28" t="s">
        <v>92</v>
      </c>
      <c r="B24" s="66">
        <f>B23/B21</f>
        <v>0.399077335093135979</v>
      </c>
      <c r="C24" s="67">
        <f>C23/B21</f>
        <v>0.600922664906863968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>
        <f>$H$27*H43</f>
        <v>0.00392094556319499965</v>
      </c>
      <c r="BP24">
        <f>BH49+1</f>
        <v>7</v>
      </c>
      <c r="BQ24" t="n">
        <v>0</v>
      </c>
      <c r="BR24" s="109">
        <f>$H$32*H39</f>
        <v>0.0000222784670059999979</v>
      </c>
    </row>
    <row r="25" spans="1:70">
      <c r="A25" s="28" t="s">
        <v>117</v>
      </c>
      <c r="B25" s="119">
        <f>1/(1+EXP(-3.1416*4*((B11/(B11+C8))-(3.1416/6))))</f>
        <v>0.189905522254736994</v>
      </c>
      <c r="C25" s="120">
        <f>1/(1+EXP(-3.1416*4*((C11/(C11+B8))-(3.1416/6))))</f>
        <v>0.0397935789973470033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>
        <f>L25*J25</f>
        <v>0.268136028998973996</v>
      </c>
      <c r="I25" s="99" t="n">
        <v>0</v>
      </c>
      <c r="J25" s="100">
        <f>Y25+AA25+AC25+AE25+AG25+AI25+AK25+AM25+AO25+AQ25+AS25</f>
        <v>0.31171325909655403</v>
      </c>
      <c r="K25" s="99" t="n">
        <v>0</v>
      </c>
      <c r="L25" s="100">
        <f>S20</f>
        <v>0.860200909567078043</v>
      </c>
      <c r="M25" s="86" t="n">
        <v>0</v>
      </c>
      <c r="N25" s="73">
        <f>(1-$B$24)^$B$21</f>
        <v>0.0783597285202760041</v>
      </c>
      <c r="O25" s="72" t="n">
        <v>0</v>
      </c>
      <c r="P25" s="73">
        <f>N25</f>
        <v>0.0783597285202760041</v>
      </c>
      <c r="Q25" s="14" t="n">
        <v>0</v>
      </c>
      <c r="R25" s="75">
        <f>P25*N25</f>
        <v>0.00614024705377099966</v>
      </c>
      <c r="S25" s="72" t="n">
        <v>0</v>
      </c>
      <c r="T25" s="135">
        <f>(1-$B$33)^(INT(C23*2*(1-C31)))</f>
        <v>0.975248753121874934</v>
      </c>
      <c r="U25" s="140" t="n">
        <v>0</v>
      </c>
      <c r="V25" s="88">
        <f>R25*T25</f>
        <v>0.00598826828305000003</v>
      </c>
      <c r="W25" s="136">
        <f>B31</f>
        <v>0.274179997482123028</v>
      </c>
      <c r="X25" s="14" t="n">
        <v>0</v>
      </c>
      <c r="Y25" s="81">
        <f>V25</f>
        <v>0.00598826828305000003</v>
      </c>
      <c r="Z25" s="14" t="n">
        <v>0</v>
      </c>
      <c r="AA25" s="80">
        <f>((1-W25)^Z26)*V26</f>
        <v>0.0289740133262390032</v>
      </c>
      <c r="AB25" s="14" t="n">
        <v>0</v>
      </c>
      <c r="AC25" s="81">
        <f>(((1-$W$25)^AB27))*V27</f>
        <v>0.0631378988028429955</v>
      </c>
      <c r="AD25" s="14" t="n">
        <v>0</v>
      </c>
      <c r="AE25" s="81">
        <f>(((1-$W$25)^AB28))*V28</f>
        <v>0.0816250543409239881</v>
      </c>
      <c r="AF25" s="14" t="n">
        <v>0</v>
      </c>
      <c r="AG25" s="81">
        <f>(((1-$W$25)^AB29))*V29</f>
        <v>0.0693635789554940008</v>
      </c>
      <c r="AH25" s="14" t="n">
        <v>0</v>
      </c>
      <c r="AI25" s="81">
        <f>(((1-$W$25)^AB30))*V30</f>
        <v>0.0405167864228939933</v>
      </c>
      <c r="AJ25" s="14" t="n">
        <v>0</v>
      </c>
      <c r="AK25" s="81">
        <f>(((1-$W$25)^AB31))*V31</f>
        <v>0.0164985773813109997</v>
      </c>
      <c r="AL25" s="14" t="n">
        <v>0</v>
      </c>
      <c r="AM25" s="81">
        <f>(((1-$W$25)^AB32))*V32</f>
        <v>0.00463755695528499956</v>
      </c>
      <c r="AN25" s="14" t="n">
        <v>0</v>
      </c>
      <c r="AO25" s="81">
        <f>(((1-$W$25)^AB33))*V33</f>
        <v>0.000866680954866999897</v>
      </c>
      <c r="AP25" s="14" t="n">
        <v>0</v>
      </c>
      <c r="AQ25" s="81">
        <f>(((1-$W$25)^AB34))*V34</f>
        <v>0.000099029185338000012</v>
      </c>
      <c r="AR25" s="14" t="n">
        <v>0</v>
      </c>
      <c r="AS25" s="81">
        <f>(((1-$W$25)^AB35))*V35</f>
        <v>5.814488309295001063E-06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>
        <f>$H$27*H44</f>
        <v>0.000679393835834000015</v>
      </c>
      <c r="BP25">
        <f>BP19+1</f>
        <v>7</v>
      </c>
      <c r="BQ25" t="n">
        <v>1</v>
      </c>
      <c r="BR25" s="109">
        <f>$H$32*H40</f>
        <v>0.000025865738949999999</v>
      </c>
    </row>
    <row r="26" spans="1:70">
      <c r="A26" s="42" t="s">
        <v>118</v>
      </c>
      <c r="B26" s="121">
        <f>1/(1+EXP(-3.1416*4*((B10/(B10+C9))-(3.1416/6))))</f>
        <v>0.310191742676894977</v>
      </c>
      <c r="C26" s="120">
        <f>1/(1+EXP(-3.1416*4*((C10/(C10+B9))-(3.1416/6))))</f>
        <v>0.0621999581354459963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>
        <f>L25*J26+L26*J25</f>
        <v>0.372338151339683998</v>
      </c>
      <c r="I26" s="95" t="n">
        <v>1</v>
      </c>
      <c r="J26" s="88">
        <f>Y26+AA26+AC26+AE26+AG26+AI26+AK26+AM26+AO26+AQ26+AS26</f>
        <v>0.385118386263695012</v>
      </c>
      <c r="K26" s="95" t="n">
        <v>1</v>
      </c>
      <c r="L26" s="88">
        <f>T20</f>
        <v>0.131720303793462001</v>
      </c>
      <c r="M26" s="87" t="n">
        <v>1</v>
      </c>
      <c r="N26" s="73">
        <f>(($B$24)^M26)*((1-($B$24))^($B$21-M26))*HLOOKUP($B$21,$AV$24:$BF$34,M26+1)</f>
        <v>0.260196473379314996</v>
      </c>
      <c r="O26" s="74" t="n">
        <v>1</v>
      </c>
      <c r="P26" s="73">
        <f>N26</f>
        <v>0.260196473379314996</v>
      </c>
      <c r="Q26" s="30" t="n">
        <v>1</v>
      </c>
      <c r="R26" s="39">
        <f>N26*P25+P26*N25</f>
        <v>0.0407778500318720027</v>
      </c>
      <c r="S26" s="74" t="n">
        <v>1</v>
      </c>
      <c r="T26" s="135">
        <f>(($B$33)^S26)*((1-($B$33))^(INT($C$23*2*(1-$C$31))-S26))*HLOOKUP(INT($C$23*2*(1-$C$31)),$AV$24:$BF$34,S26+1)</f>
        <v>0.024503737515624997</v>
      </c>
      <c r="U26" s="95" t="n">
        <v>1</v>
      </c>
      <c r="V26" s="88">
        <f>R26*T25+T26*R25</f>
        <v>0.0399190064006609937</v>
      </c>
      <c r="W26" s="137"/>
      <c r="X26" s="30" t="n">
        <v>1</v>
      </c>
      <c r="Y26" s="75"/>
      <c r="Z26" s="30" t="n">
        <v>1</v>
      </c>
      <c r="AA26" s="81">
        <f>(1-((1-W25)^Z26))*V26</f>
        <v>0.0109449930744220003</v>
      </c>
      <c r="AB26" s="30" t="n">
        <v>1</v>
      </c>
      <c r="AC26" s="81">
        <f>((($W$25)^M26)*((1-($W$25))^($U$27-M26))*HLOOKUP($U$27,$AV$24:$BF$34,M26+1))*V27</f>
        <v>0.047700942037247005</v>
      </c>
      <c r="AD26" s="30" t="n">
        <v>1</v>
      </c>
      <c r="AE26" s="81">
        <f>((($W$25)^M26)*((1-($W$25))^($U$28-M26))*HLOOKUP($U$28,$AV$24:$BF$34,M26+1))*V28</f>
        <v>0.0925020960404910042</v>
      </c>
      <c r="AF26" s="30" t="n">
        <v>1</v>
      </c>
      <c r="AG26" s="81">
        <f>((($W$25)^M26)*((1-($W$25))^($U$29-M26))*HLOOKUP($U$29,$AV$24:$BF$34,M26+1))*V29</f>
        <v>0.104808937959241999</v>
      </c>
      <c r="AH26" s="30" t="n">
        <v>1</v>
      </c>
      <c r="AI26" s="81">
        <f>((($W$25)^M26)*((1-($W$25))^($U$30-M26))*HLOOKUP($U$30,$AV$24:$BF$34,M26+1))*V30</f>
        <v>0.0765264966580959882</v>
      </c>
      <c r="AJ26" s="30" t="n">
        <v>1</v>
      </c>
      <c r="AK26" s="81">
        <f>((($W$25)^M26)*((1-($W$25))^($U$31-M26))*HLOOKUP($U$31,$AV$24:$BF$34,M26+1))*V31</f>
        <v>0.0373942290582309989</v>
      </c>
      <c r="AL26" s="30" t="n">
        <v>1</v>
      </c>
      <c r="AM26" s="81">
        <f>((($W$25)^Q26)*((1-($W$25))^($U$32-Q26))*HLOOKUP($U$32,$AV$24:$BF$34,Q26+1))*V32</f>
        <v>0.0122629266889669997</v>
      </c>
      <c r="AN26" s="30" t="n">
        <v>1</v>
      </c>
      <c r="AO26" s="81">
        <f>((($W$25)^Q26)*((1-($W$25))^($U$33-Q26))*HLOOKUP($U$33,$AV$24:$BF$34,Q26+1))*V33</f>
        <v>0.00261912409356400033</v>
      </c>
      <c r="AP26" s="30" t="n">
        <v>1</v>
      </c>
      <c r="AQ26" s="81">
        <f>((($W$25)^Q26)*((1-($W$25))^($U$34-Q26))*HLOOKUP($U$34,$AV$24:$BF$34,Q26+1))*V34</f>
        <v>0.000336676304360999978</v>
      </c>
      <c r="AR26" s="30" t="n">
        <v>1</v>
      </c>
      <c r="AS26" s="81">
        <f>((($W$25)^Q26)*((1-($W$25))^($U$35-Q26))*HLOOKUP($U$35,$AV$24:$BF$34,Q26+1))*V35</f>
        <v>0.0000219643490740000003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>
        <f>$H$27*H45</f>
        <v>0.0000885478385020000047</v>
      </c>
      <c r="BP26">
        <f>BP20+1</f>
        <v>7</v>
      </c>
      <c r="BQ26" t="n">
        <v>2</v>
      </c>
      <c r="BR26" s="109">
        <f>$H$32*H41</f>
        <v>0.0000140793511470000032</v>
      </c>
    </row>
    <row r="27" spans="1:70">
      <c r="A27" s="28" t="s">
        <v>119</v>
      </c>
      <c r="B27" s="121">
        <f>1/(1+EXP(-3.1416*4*((B12/(B12+C7))-(3.1416/6))))</f>
        <v>0.148484608311910993</v>
      </c>
      <c r="C27" s="120">
        <f>1/(1+EXP(-3.1416*4*((C12/(C12+B7))-(3.1416/6))))</f>
        <v>0.0421277786469009996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>
        <f>L25*J27+J26*L26+J25*L27</f>
        <v>0.237578719140216998</v>
      </c>
      <c r="I27" s="95" t="n">
        <v>2</v>
      </c>
      <c r="J27" s="88">
        <f>Y27+AA27+AC27+AE27+AG27+AI27+AK27+AM27+AO27+AQ27+AS27</f>
        <v>0.214376481827699017</v>
      </c>
      <c r="K27" s="95" t="n">
        <v>2</v>
      </c>
      <c r="L27" s="88">
        <f>U20</f>
        <v>0.00784042249027599958</v>
      </c>
      <c r="M27" s="87" t="n">
        <v>2</v>
      </c>
      <c r="N27" s="73">
        <f>(($B$24)^M27)*((1-($B$24))^($B$21-M27))*HLOOKUP($B$21,$AV$24:$BF$34,M27+1)</f>
        <v>0.34559693371839999</v>
      </c>
      <c r="O27" s="74" t="n">
        <v>2</v>
      </c>
      <c r="P27" s="73">
        <f>N27</f>
        <v>0.34559693371839999</v>
      </c>
      <c r="Q27" s="30" t="n">
        <v>2</v>
      </c>
      <c r="R27" s="39">
        <f>P25*N27+P26*N26+P27*N25</f>
        <v>0.121863968566261005</v>
      </c>
      <c r="S27" s="74" t="n">
        <v>2</v>
      </c>
      <c r="T27" s="135">
        <f>(($B$33)^S27)*((1-($B$33))^(INT($C$23*2*(1-$C$31))-S27))*HLOOKUP(INT($C$23*2*(1-$C$31)),$AV$24:$BF$34,S27+1)</f>
        <v>0.000246268718750000026</v>
      </c>
      <c r="U27" s="95" t="n">
        <v>2</v>
      </c>
      <c r="V27" s="88">
        <f>R27*T25+T26*R26+R25*T27</f>
        <v>0.119848405279137005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>
        <f>((($W$25)^M27)*((1-($W$25))^($U$27-M27))*HLOOKUP($U$27,$AV$24:$BF$34,M27+1))*V27</f>
        <v>0.00900956443904700066</v>
      </c>
      <c r="AD27" s="30" t="n">
        <v>2</v>
      </c>
      <c r="AE27" s="81">
        <f>((($W$25)^M27)*((1-($W$25))^($U$28-M27))*HLOOKUP($U$28,$AV$24:$BF$34,M27+1))*V28</f>
        <v>0.0349428568673930018</v>
      </c>
      <c r="AF27" s="30" t="n">
        <v>2</v>
      </c>
      <c r="AG27" s="81">
        <f>((($W$25)^M27)*((1-($W$25))^($U$29-M27))*HLOOKUP($U$29,$AV$24:$BF$34,M27+1))*V29</f>
        <v>0.0593876875384020053</v>
      </c>
      <c r="AH27" s="30" t="n">
        <v>2</v>
      </c>
      <c r="AI27" s="81">
        <f>((($W$25)^M27)*((1-($W$25))^($U$30-M27))*HLOOKUP($U$30,$AV$24:$BF$34,M27+1))*V30</f>
        <v>0.0578160827429550039</v>
      </c>
      <c r="AJ27" s="30" t="n">
        <v>2</v>
      </c>
      <c r="AK27" s="81">
        <f>((($W$25)^M27)*((1-($W$25))^($U$31-M27))*HLOOKUP($U$31,$AV$24:$BF$34,M27+1))*V31</f>
        <v>0.0353143671759690037</v>
      </c>
      <c r="AL27" s="30" t="n">
        <v>2</v>
      </c>
      <c r="AM27" s="81">
        <f>((($W$25)^Q27)*((1-($W$25))^($U$32-Q27))*HLOOKUP($U$32,$AV$24:$BF$34,Q27+1))*V32</f>
        <v>0.0138970372697400002</v>
      </c>
      <c r="AN27" s="30" t="n">
        <v>2</v>
      </c>
      <c r="AO27" s="81">
        <f>((($W$25)^Q27)*((1-($W$25))^($U$33-Q27))*HLOOKUP($U$33,$AV$24:$BF$34,Q27+1))*V33</f>
        <v>0.00346282827988499964</v>
      </c>
      <c r="AP27" s="30" t="n">
        <v>2</v>
      </c>
      <c r="AQ27" s="81">
        <f>((($W$25)^Q27)*((1-($W$25))^($U$34-Q27))*HLOOKUP($U$34,$AV$24:$BF$34,Q27+1))*V34</f>
        <v>0.00050872066331500001</v>
      </c>
      <c r="AR27" s="30" t="n">
        <v>2</v>
      </c>
      <c r="AS27" s="81">
        <f>((($W$25)^Q27)*((1-($W$25))^($U$35-Q27))*HLOOKUP($U$35,$AV$24:$BF$34,Q27+1))*V35</f>
        <v>0.000037336850992999997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>
        <f>$H$27*H46</f>
        <v>8.752113781610876286E-06</v>
      </c>
      <c r="BP27">
        <f>BP21+1</f>
        <v>7</v>
      </c>
      <c r="BQ27" t="n">
        <v>3</v>
      </c>
      <c r="BR27" s="109">
        <f>$H$32*H42</f>
        <v>4.776800986359516069E-06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>
        <f>J28*L25+J27*L26+L28*J25+L27*J26</f>
        <v>0.0922632420187090041</v>
      </c>
      <c r="I28" s="95" t="n">
        <v>3</v>
      </c>
      <c r="J28" s="88">
        <f>Y28+AA28+AC28+AE28+AG28+AI28+AK28+AM28+AO28+AQ28+AS28</f>
        <v>0.0708342829048880063</v>
      </c>
      <c r="K28" s="95" t="n">
        <v>3</v>
      </c>
      <c r="L28" s="88">
        <f>V20</f>
        <v>0.000238364149183999974</v>
      </c>
      <c r="M28" s="87" t="n">
        <v>3</v>
      </c>
      <c r="N28" s="73">
        <f>(($B$24)^M28)*((1-($B$24))^($B$21-M28))*HLOOKUP($B$21,$AV$24:$BF$34,M28+1)</f>
        <v>0.229513565353820015</v>
      </c>
      <c r="O28" s="74" t="n">
        <v>3</v>
      </c>
      <c r="P28" s="73">
        <f>N28</f>
        <v>0.229513565353820015</v>
      </c>
      <c r="Q28" s="30" t="n">
        <v>3</v>
      </c>
      <c r="R28" s="39">
        <f>P25*N28+P26*N27+P27*N26+P28*N25</f>
        <v>0.215815448074158001</v>
      </c>
      <c r="S28" s="74" t="n">
        <v>3</v>
      </c>
      <c r="T28" s="135">
        <f>(($B$33)^S28)*((1-($B$33))^(INT($C$23*2*(1-$C$31))-S28))*HLOOKUP(INT($C$23*2*(1-$C$31)),$AV$24:$BF$34,S28+1)</f>
        <v>1.237531250000000079E-06</v>
      </c>
      <c r="U28" s="95" t="n">
        <v>3</v>
      </c>
      <c r="V28" s="88">
        <f>R28*T25+R27*T26+R26*T27+R25*T28</f>
        <v>0.213469919244750006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>
        <f>((($W$25)^M28)*((1-($W$25))^($U$28-M28))*HLOOKUP($U$28,$AV$24:$BF$34,M28+1))*V28</f>
        <v>0.00439991199594200033</v>
      </c>
      <c r="AF28" s="30" t="n">
        <v>3</v>
      </c>
      <c r="AG28" s="81">
        <f>((($W$25)^M28)*((1-($W$25))^($U$29-M28))*HLOOKUP($U$29,$AV$24:$BF$34,M28+1))*V29</f>
        <v>0.0149558806712980008</v>
      </c>
      <c r="AH28" s="30" t="n">
        <v>3</v>
      </c>
      <c r="AI28" s="81">
        <f>((($W$25)^M28)*((1-($W$25))^($U$30-M28))*HLOOKUP($U$30,$AV$24:$BF$34,M28+1))*V30</f>
        <v>0.021840144065881999</v>
      </c>
      <c r="AJ28" s="30" t="n">
        <v>3</v>
      </c>
      <c r="AK28" s="81">
        <f>((($W$25)^M28)*((1-($W$25))^($U$31-M28))*HLOOKUP($U$31,$AV$24:$BF$34,M28+1))*V31</f>
        <v>0.017786766360440998</v>
      </c>
      <c r="AL28" s="30" t="n">
        <v>3</v>
      </c>
      <c r="AM28" s="81">
        <f>((($W$25)^Q28)*((1-($W$25))^($U$32-Q28))*HLOOKUP($U$32,$AV$24:$BF$34,Q28+1))*V32</f>
        <v>0.00874939064416399859</v>
      </c>
      <c r="AN28" s="30" t="n">
        <v>3</v>
      </c>
      <c r="AO28" s="81">
        <f>((($W$25)^Q28)*((1-($W$25))^($U$33-Q28))*HLOOKUP($U$33,$AV$24:$BF$34,Q28+1))*V33</f>
        <v>0.00261618099739999987</v>
      </c>
      <c r="AP28" s="30" t="n">
        <v>3</v>
      </c>
      <c r="AQ28" s="81">
        <f>((($W$25)^Q28)*((1-($W$25))^($U$34-Q28))*HLOOKUP($U$34,$AV$24:$BF$34,Q28+1))*V34</f>
        <v>0.000448397310591999965</v>
      </c>
      <c r="AR28" s="30" t="n">
        <v>3</v>
      </c>
      <c r="AS28" s="81">
        <f>((($W$25)^Q28)*((1-($W$25))^($U$35-Q28))*HLOOKUP($U$35,$AV$24:$BF$34,Q28+1))*V35</f>
        <v>0.0000376108591689999905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>
        <f>$H$27*H47</f>
        <v>6.533771288223003289E-07</v>
      </c>
      <c r="BP28">
        <f>BP22+1</f>
        <v>7</v>
      </c>
      <c r="BQ28" t="n">
        <v>4</v>
      </c>
      <c r="BR28" s="109">
        <f>$H$32*H43</f>
        <v>1.128067323752055983E-06</v>
      </c>
    </row>
    <row r="29" spans="1:70">
      <c r="A29" s="28" t="s">
        <v>121</v>
      </c>
      <c r="B29" s="121">
        <f>1/(1+EXP(-3.1416*4*((B14/(B14+C13))-(3.1416/6))))</f>
        <v>0.283963173564784999</v>
      </c>
      <c r="C29" s="120">
        <f>1/(1+EXP(-3.1416*4*((C14/(C14+B13))-(3.1416/6))))</f>
        <v>0.249345594746472976</v>
      </c>
      <c r="D29" s="153" t="n">
        <v>0.04</v>
      </c>
      <c r="E29" s="153" t="n">
        <v>0.04</v>
      </c>
      <c r="G29" s="89" t="n">
        <v>4</v>
      </c>
      <c r="H29" s="128">
        <f>J29*L25+J28*L26+J27*L27+J26*L28</f>
        <v>0.0243466502761689974</v>
      </c>
      <c r="I29" s="95" t="n">
        <v>4</v>
      </c>
      <c r="J29" s="88">
        <f>Y29+AA29+AC29+AE29+AG29+AI29+AK29+AM29+AO29+AQ29+AS29</f>
        <v>0.0153960967253859993</v>
      </c>
      <c r="K29" s="95" t="n">
        <v>4</v>
      </c>
      <c r="L29" s="88"/>
      <c r="M29" s="87" t="n">
        <v>4</v>
      </c>
      <c r="N29" s="73">
        <f>(($B$24)^M29)*((1-($B$24))^($B$21-M29))*HLOOKUP($B$21,$AV$24:$BF$34,M29+1)</f>
        <v>0.0762108565528349935</v>
      </c>
      <c r="O29" s="74" t="n">
        <v>4</v>
      </c>
      <c r="P29" s="73">
        <f>N29</f>
        <v>0.0762108565528349935</v>
      </c>
      <c r="Q29" s="30" t="n">
        <v>4</v>
      </c>
      <c r="R29" s="39">
        <f>P25*N29+P26*N28+P27*N27+P28*N26+P29*N25</f>
        <v>0.250818205250670001</v>
      </c>
      <c r="S29" s="74" t="n">
        <v>4</v>
      </c>
      <c r="T29" s="135">
        <f>(($B$33)^S29)*((1-($B$33))^(INT($C$23*2*(1-$C$31))-S29))*HLOOKUP(INT($C$23*2*(1-$C$31)),$AV$24:$BF$34,S29+1)</f>
        <v>3.109374999999999925E-09</v>
      </c>
      <c r="U29" s="95" t="n">
        <v>4</v>
      </c>
      <c r="V29" s="88">
        <f>T29*R25+T28*R26+T27*R27+T26*R28+T25*R29</f>
        <v>0.249928488788764991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>
        <f>((($W$25)^M29)*((1-($W$25))^($U$29-M29))*HLOOKUP($U$29,$AV$24:$BF$34,M29+1))*V29</f>
        <v>0.00141240366433000002</v>
      </c>
      <c r="AH29" s="30" t="n">
        <v>4</v>
      </c>
      <c r="AI29" s="81">
        <f>((($W$25)^M29)*((1-($W$25))^($U$30-M29))*HLOOKUP($U$30,$AV$24:$BF$34,M29+1))*V30</f>
        <v>0.00412507965075399952</v>
      </c>
      <c r="AJ29" s="30" t="n">
        <v>4</v>
      </c>
      <c r="AK29" s="81">
        <f>((($W$25)^M29)*((1-($W$25))^($U$31-M29))*HLOOKUP($U$31,$AV$24:$BF$34,M29+1))*V31</f>
        <v>0.00503924065781099983</v>
      </c>
      <c r="AL29" s="30" t="n">
        <v>4</v>
      </c>
      <c r="AM29" s="81">
        <f>((($W$25)^Q29)*((1-($W$25))^($U$32-Q29))*HLOOKUP($U$32,$AV$24:$BF$34,Q29+1))*V32</f>
        <v>0.00330510029547999995</v>
      </c>
      <c r="AN29" s="30" t="n">
        <v>4</v>
      </c>
      <c r="AO29" s="81">
        <f>((($W$25)^Q29)*((1-($W$25))^($U$33-Q29))*HLOOKUP($U$33,$AV$24:$BF$34,Q29+1))*V33</f>
        <v>0.00123533468489400011</v>
      </c>
      <c r="AP29" s="30" t="n">
        <v>4</v>
      </c>
      <c r="AQ29" s="81">
        <f>((($W$25)^Q29)*((1-($W$25))^($U$34-Q29))*HLOOKUP($U$34,$AV$24:$BF$34,Q29+1))*V34</f>
        <v>0.000254074508271999955</v>
      </c>
      <c r="AR29" s="30" t="n">
        <v>4</v>
      </c>
      <c r="AS29" s="81">
        <f>((($W$25)^Q29)*((1-($W$25))^($U$35-Q29))*HLOOKUP($U$35,$AV$24:$BF$34,Q29+1))*V35</f>
        <v>0.0000248632638449999988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>
        <f>$H$27*H48</f>
        <v>3.62648443421911834E-08</v>
      </c>
      <c r="BP29">
        <f>BP23+1</f>
        <v>7</v>
      </c>
      <c r="BQ29" t="n">
        <v>5</v>
      </c>
      <c r="BR29" s="109">
        <f>$H$32*H44</f>
        <v>1.954635619930038869E-07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>
        <f>J30*L25+J29*L26+J28*L27+J27*L28</f>
        <v>0.00461528330288100008</v>
      </c>
      <c r="I30" s="95" t="n">
        <v>5</v>
      </c>
      <c r="J30" s="88">
        <f>Y30+AA30+AC30+AE30+AG30+AI30+AK30+AM30+AO30+AQ30+AS30</f>
        <v>0.00230275784468900024</v>
      </c>
      <c r="K30" s="95" t="n">
        <v>5</v>
      </c>
      <c r="L30" s="88"/>
      <c r="M30" s="87" t="n">
        <v>5</v>
      </c>
      <c r="N30" s="73">
        <f>(($B$24)^M30)*((1-($B$24))^($B$21-M30))*HLOOKUP($B$21,$AV$24:$BF$34,M30+1)</f>
        <v>0.0101224424753510012</v>
      </c>
      <c r="O30" s="74" t="n">
        <v>5</v>
      </c>
      <c r="P30" s="73">
        <f>N30</f>
        <v>0.0101224424753510012</v>
      </c>
      <c r="Q30" s="30" t="n">
        <v>5</v>
      </c>
      <c r="R30" s="39">
        <f>P25*N30+P26*N29+P27*N28+P28*N27+P29*N26+P30*N25</f>
        <v>0.199884344771308005</v>
      </c>
      <c r="S30" s="74" t="n">
        <v>5</v>
      </c>
      <c r="T30" s="135">
        <f>(($B$33)^S30)*((1-($B$33))^(INT($C$23*2*(1-$C$31))-S30))*HLOOKUP(INT($C$23*2*(1-$C$31)),$AV$24:$BF$34,S30+1)</f>
        <v>3.125000000000000922E-12</v>
      </c>
      <c r="U30" s="95" t="n">
        <v>5</v>
      </c>
      <c r="V30" s="88">
        <f>T30*R25+T29*R26+T28*R27+T27*R28+T26*R29+T25*R30</f>
        <v>0.201136241003570015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>
        <f>((($W$25)^M30)*((1-($W$25))^($U$30-M30))*HLOOKUP($U$30,$AV$24:$BF$34,M30+1))*V30</f>
        <v>0.000311651462988999972</v>
      </c>
      <c r="AJ30" s="30" t="n">
        <v>5</v>
      </c>
      <c r="AK30" s="81">
        <f>((($W$25)^M30)*((1-($W$25))^($U$31-M30))*HLOOKUP($U$31,$AV$24:$BF$34,M30+1))*V31</f>
        <v>0.000761433405569999966</v>
      </c>
      <c r="AL30" s="30" t="n">
        <v>5</v>
      </c>
      <c r="AM30" s="81">
        <f>((($W$25)^Q30)*((1-($W$25))^($U$32-Q30))*HLOOKUP($U$32,$AV$24:$BF$34,Q30+1))*V32</f>
        <v>0.000749105057080000059</v>
      </c>
      <c r="AN30" s="30" t="n">
        <v>5</v>
      </c>
      <c r="AO30" s="81">
        <f>((($W$25)^Q30)*((1-($W$25))^($U$33-Q30))*HLOOKUP($U$33,$AV$24:$BF$34,Q30+1))*V33</f>
        <v>0.00037332017262500008</v>
      </c>
      <c r="AP30" s="30" t="n">
        <v>5</v>
      </c>
      <c r="AQ30" s="81">
        <f>((($W$25)^Q30)*((1-($W$25))^($U$34-Q30))*HLOOKUP($U$34,$AV$24:$BF$34,Q30+1))*V34</f>
        <v>0.0000959771676130000095</v>
      </c>
      <c r="AR30" s="30" t="n">
        <v>5</v>
      </c>
      <c r="AS30" s="81">
        <f>((($W$25)^Q30)*((1-($W$25))^($U$35-Q30))*HLOOKUP($U$35,$AV$24:$BF$34,Q30+1))*V35</f>
        <v>0.0000112705788120000006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>
        <f>$H$27*H49</f>
        <v>1.451148165637290025E-09</v>
      </c>
      <c r="BP30">
        <f>BL10+1</f>
        <v>7</v>
      </c>
      <c r="BQ30" t="n">
        <v>6</v>
      </c>
      <c r="BR30" s="109">
        <f>$H$32*H45</f>
        <v>2.547546799450327078E-08</v>
      </c>
    </row>
    <row r="31" spans="1:70">
      <c r="A31" s="186" t="s">
        <v>123</v>
      </c>
      <c r="B31" s="62">
        <f>(B25*D25)+(B26*D26)+(B27*D27)+(B28*D28)+(B29*D29)+(B30*D30)/(B25+B26+B27+B28+B29+B30)</f>
        <v>0.274179997482123028</v>
      </c>
      <c r="C31" s="63">
        <f>(C25*E25)+(C26*E26)+(C27*E27)+(C28*E28)+(C29*E29)+(C30*E30)/(C25+C26+C27+C28+C29+C30)</f>
        <v>0.127715657061733978</v>
      </c>
      <c r="G31" s="89" t="n">
        <v>6</v>
      </c>
      <c r="H31" s="128">
        <f>J31*L25+J30*L26+J29*L27+J28*L28</f>
        <v>0.000647789101878000118</v>
      </c>
      <c r="I31" s="95" t="n">
        <v>6</v>
      </c>
      <c r="J31" s="88">
        <f>Y31+AA31+AC31+AE31+AG31+AI31+AK31+AM31+AO31+AQ31+AS31</f>
        <v>0.000240493680145999988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>
        <f>P26*N30+P27*N29+P28*N28+P29*N27+P30*N26</f>
        <v>0.110620601030990007</v>
      </c>
      <c r="S31" s="72" t="n">
        <v>6</v>
      </c>
      <c r="T31" s="135">
        <f>(($B$33)^S31)*((1-($B$33))^(INT($C$23*2*(1-$C$31))-S31))*HLOOKUP(INT($C$23*2*(1-$C$31)),$AV$24:$BF$34,S31+1)</f>
        <v>0</v>
      </c>
      <c r="U31" s="95" t="n">
        <v>6</v>
      </c>
      <c r="V31" s="88">
        <f>T31*R25+T30*R26+T29*R27+T28*R28+T27*R29+T26*R30+T25*R31</f>
        <v>0.112842552878279001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>
        <f>((($W$25)^Q31)*((1-($W$25))^($U$31-Q31))*HLOOKUP($U$31,$AV$24:$BF$34,Q31+1))*V31</f>
        <v>0.0000479388389450000041</v>
      </c>
      <c r="AL31" s="30" t="n">
        <v>6</v>
      </c>
      <c r="AM31" s="81">
        <f>((($W$25)^Q31)*((1-($W$25))^($U$32-Q31))*HLOOKUP($U$32,$AV$24:$BF$34,Q31+1))*V32</f>
        <v>0.0000943253248979999981</v>
      </c>
      <c r="AN31" s="30" t="n">
        <v>6</v>
      </c>
      <c r="AO31" s="81">
        <f>((($W$25)^Q31)*((1-($W$25))^($U$33-Q31))*HLOOKUP($U$33,$AV$24:$BF$34,Q31+1))*V33</f>
        <v>0.0000705112311839999961</v>
      </c>
      <c r="AP31" s="30" t="n">
        <v>6</v>
      </c>
      <c r="AQ31" s="81">
        <f>((($W$25)^Q31)*((1-($W$25))^($U$34-Q31))*HLOOKUP($U$34,$AV$24:$BF$34,Q31+1))*V34</f>
        <v>0.0000241703815300000002</v>
      </c>
      <c r="AR31" s="30" t="n">
        <v>6</v>
      </c>
      <c r="AS31" s="81">
        <f>((($W$25)^Q31)*((1-($W$25))^($U$35-Q31))*HLOOKUP($U$35,$AV$24:$BF$34,Q31+1))*V35</f>
        <v>3.547903589179444084E-06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>
        <f>$H$28*H43</f>
        <v>0.00152269172402499997</v>
      </c>
      <c r="BP31">
        <f>BP24+1</f>
        <v>8</v>
      </c>
      <c r="BQ31" t="n">
        <v>0</v>
      </c>
      <c r="BR31" s="109">
        <f>$H$33*H39</f>
        <v>1.774395988167381928E-06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>
        <f>J32*L25+J31*L26+J30*L27+J29*L28</f>
        <v>0.0000683520812929999888</v>
      </c>
      <c r="I32" s="95" t="n">
        <v>7</v>
      </c>
      <c r="J32" s="88">
        <f>Y32+AA32+AC32+AE32+AG32+AI32+AK32+AM32+AO32+AQ32+AS32</f>
        <v>0.0000173793222330000008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>
        <f>P27*N30+P28*N29+P29*N28+P30*N27</f>
        <v>0.0419794209746639968</v>
      </c>
      <c r="S32" s="74" t="n">
        <v>7</v>
      </c>
      <c r="T32" s="135">
        <f>(($B$33)^S32)*((1-($B$33))^(INT($C$23*2*(1-$C$31))-S32))*HLOOKUP(INT($C$23*2*(1-$C$31)),$AV$24:$BF$34,S32+1)</f>
        <v>0</v>
      </c>
      <c r="U32" s="95" t="n">
        <v>7</v>
      </c>
      <c r="V32" s="88">
        <f>T32*R25+T31*R26+T30*R27+T29*R28+T28*R29+T27*R30+T26*R31+T25*R32</f>
        <v>0.0437005324620870006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>
        <f>((($W$25)^Q32)*((1-($W$25))^($U$32-Q32))*HLOOKUP($U$32,$AV$24:$BF$34,Q32+1))*V32</f>
        <v>5.0902264735366934E-06</v>
      </c>
      <c r="AN32" s="30" t="n">
        <v>7</v>
      </c>
      <c r="AO32" s="81">
        <f>((($W$25)^Q32)*((1-($W$25))^($U$33-Q32))*HLOOKUP($U$33,$AV$24:$BF$34,Q32+1))*V33</f>
        <v>7.610217850664706304E-06</v>
      </c>
      <c r="AP32" s="30" t="n">
        <v>7</v>
      </c>
      <c r="AQ32" s="81">
        <f>((($W$25)^Q32)*((1-($W$25))^($U$34-Q32))*HLOOKUP($U$34,$AV$24:$BF$34,Q32+1))*V34</f>
        <v>3.913033410906764356E-06</v>
      </c>
      <c r="AR32" s="30" t="n">
        <v>7</v>
      </c>
      <c r="AS32" s="81">
        <f>((($W$25)^Q32)*((1-($W$25))^($U$35-Q32))*HLOOKUP($U$35,$AV$24:$BF$34,Q32+1))*V35</f>
        <v>7.658444980567757633E-07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>
        <f>$H$28*H44</f>
        <v>0.000263841299120999961</v>
      </c>
      <c r="BP32">
        <f>BP25+1</f>
        <v>8</v>
      </c>
      <c r="BQ32" t="n">
        <v>1</v>
      </c>
      <c r="BR32" s="109">
        <f>$H$33*H40</f>
        <v>2.06010868750617698E-06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8</v>
      </c>
      <c r="H33" s="128">
        <f>J33*L25+J32*L26+J31*L27+J30*L28</f>
        <v>5.443985835953063114E-06</v>
      </c>
      <c r="I33" s="95" t="n">
        <v>8</v>
      </c>
      <c r="J33" s="88">
        <f>Y33+AA33+AC33+AE33+AG33+AI33+AK33+AM33+AO33+AQ33+AS33</f>
        <v>8.373732818398630023E-07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>
        <f>P28*N30+P29*N29+P30*N28</f>
        <v>0.0104545703817310009</v>
      </c>
      <c r="S33" s="74" t="n">
        <v>8</v>
      </c>
      <c r="T33" s="135">
        <f>(($B$33)^S33)*((1-($B$33))^(INT($C$23*2*(1-$C$31))-S33))*HLOOKUP(INT($C$23*2*(1-$C$31)),$AV$24:$BF$34,S33+1)</f>
        <v>0</v>
      </c>
      <c r="U33" s="95" t="n">
        <v>8</v>
      </c>
      <c r="V33" s="88">
        <f>T33*R25+T32*R26+T31*R27+T30*R28+T29*R29+T28*R30+T27*R31+T26*R32+T25*R33</f>
        <v>0.0112519499791970001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>
        <f>((($W$25)^Q33)*((1-($W$25))^($U$33-Q33))*HLOOKUP($U$33,$AV$24:$BF$34,Q33+1))*V33</f>
        <v>3.593469289722558879E-07</v>
      </c>
      <c r="AP33" s="30" t="n">
        <v>8</v>
      </c>
      <c r="AQ33" s="81">
        <f>((($W$25)^Q33)*((1-($W$25))^($U$34-Q33))*HLOOKUP($U$34,$AV$24:$BF$34,Q33+1))*V34</f>
        <v>3.695391030190451E-07</v>
      </c>
      <c r="AR33" s="30" t="n">
        <v>8</v>
      </c>
      <c r="AS33" s="81">
        <f>((($W$25)^Q33)*((1-($W$25))^($U$35-Q33))*HLOOKUP($U$35,$AV$24:$BF$34,Q33+1))*V35</f>
        <v>1.084872498485620011E-07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>
        <f>$H$28*H45</f>
        <v>0.0000343873840369999906</v>
      </c>
      <c r="BP33">
        <f>BP26+1</f>
        <v>8</v>
      </c>
      <c r="BQ33" t="n">
        <v>2</v>
      </c>
      <c r="BR33" s="109">
        <f>$H$33*H41</f>
        <v>1.121367290859197934E-06</v>
      </c>
    </row>
    <row r="34" spans="1:70">
      <c r="A34" s="42" t="s">
        <v>126</v>
      </c>
      <c r="B34" s="58">
        <f>B23*2</f>
        <v>3.99077335093135979</v>
      </c>
      <c r="C34" s="59">
        <f>C23*2</f>
        <v>6.00922664906863968</v>
      </c>
      <c r="G34" s="89" t="n">
        <v>9</v>
      </c>
      <c r="H34" s="128">
        <f>J34*L25+J33*L26+J32*L27+J31*L28</f>
        <v>3.250612846410772826E-07</v>
      </c>
      <c r="I34" s="95" t="n">
        <v>9</v>
      </c>
      <c r="J34" s="88">
        <f>Y34+AA34+AC34+AE34+AG34+AI34+AK34+AM34+AO34+AQ34+AS34</f>
        <v>2.461741318753370065E-08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>
        <f>P29*N30+P30*N29</f>
        <v>0.00154288002290600001</v>
      </c>
      <c r="S34" s="74" t="n">
        <v>9</v>
      </c>
      <c r="T34" s="135">
        <f>(($B$33)^S34)*((1-($B$33))^(INT($C$23*2*(1-$C$31))-S34))*HLOOKUP(INT($C$23*2*(1-$C$31)),$AV$24:$BF$34,S34+1)</f>
        <v>0</v>
      </c>
      <c r="U34" s="95" t="n">
        <v>9</v>
      </c>
      <c r="V34" s="88">
        <f>T34*R25+T33*R26+T32*R27+T31*R28+T30*R29+T29*R30+T28*R31+T27*R32+T26*R33+T25*R34</f>
        <v>0.00177134360399600022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>
        <f>((($W$25)^Q34)*((1-($W$25))^($U$34-Q34))*HLOOKUP($U$34,$AV$24:$BF$34,Q34+1))*V34</f>
        <v>1.551046172834115119E-08</v>
      </c>
      <c r="AR34" s="30" t="n">
        <v>9</v>
      </c>
      <c r="AS34" s="81">
        <f>((($W$25)^Q34)*((1-($W$25))^($U$35-Q34))*HLOOKUP($U$35,$AV$24:$BF$34,Q34+1))*V35</f>
        <v>9.106951459192547811E-09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>
        <f>$H$28*H46</f>
        <v>3.398866678506940974E-06</v>
      </c>
      <c r="BP34">
        <f>BP27+1</f>
        <v>8</v>
      </c>
      <c r="BQ34" t="n">
        <v>3</v>
      </c>
      <c r="BR34" s="109">
        <f>$H$33*H42</f>
        <v>3.804542073771645111E-07</v>
      </c>
    </row>
    <row r="35" spans="7:70">
      <c r="G35" s="90" t="n">
        <v>10</v>
      </c>
      <c r="H35" s="129">
        <f>J35*L25+J34*L26+J33*L27+J32*L28</f>
        <v>1.424650451714549136E-08</v>
      </c>
      <c r="I35" s="96" t="n">
        <v>10</v>
      </c>
      <c r="J35" s="91">
        <f>Y35+AA35+AC35+AE35+AG35+AI35+AK35+AM35+AO35+AQ35+AS35</f>
        <v>3.440169628118613914E-10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>
        <f>P30*N30</f>
        <v>0.000102463841667</v>
      </c>
      <c r="S35" s="74" t="n">
        <v>10</v>
      </c>
      <c r="T35" s="135">
        <f>(($B$33)^S35)*((1-($B$33))^(INT($C$23*2*(1-$C$31))-S35))*HLOOKUP(INT($C$23*2*(1-$C$31)),$AV$24:$BF$34,S35+1)</f>
        <v>0</v>
      </c>
      <c r="U35" s="96" t="n">
        <v>10</v>
      </c>
      <c r="V35" s="91">
        <f>IF(((T35*R25+T34*R26+T33*R27+T32*R28+T31*R29+T30*R30+T29*R31+T28*R32+T27*R33+T26*R34+T25*R35)+V23)&lt;&gt;1,1-V23,(T35*R25+T34*R26+T33*R27+T32*R28+T31*R29+T30*R30+T29*R31+T28*R32+T27*R33+T26*R34+T25*R35))</f>
        <v>0.000143292076507999999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>
        <f>((($W$25)^Q35)*((1-($W$25))^($U$35-Q35))*HLOOKUP($U$35,$AV$24:$BF$34,Q35+1))*V35</f>
        <v>3.440169628118615465E-10</v>
      </c>
      <c r="BH35">
        <f>BH28+1</f>
        <v>3</v>
      </c>
      <c r="BI35" t="n">
        <v>8</v>
      </c>
      <c r="BJ35" s="109">
        <f>$H$28*H47</f>
        <v>2.5373776062174481E-07</v>
      </c>
      <c r="BP35">
        <f>BP28+1</f>
        <v>8</v>
      </c>
      <c r="BQ35" t="n">
        <v>4</v>
      </c>
      <c r="BR35" s="109">
        <f>$H$33*H43</f>
        <v>8.984631362112741378E-08</v>
      </c>
    </row>
    <row r="36" spans="1:70">
      <c r="A36" s="3"/>
      <c r="B36" s="110">
        <f>SUM(B37:B39)</f>
        <v>0.999999985137487002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>
        <f>SUM(V39:V49)</f>
        <v>1</v>
      </c>
      <c r="W36" s="15"/>
      <c r="X36" s="15"/>
      <c r="AS36" s="84">
        <f>Y37+AA37+AC37+AE37+AG37+AI37+AK37+AM37+AO37+AQ37+AS37</f>
        <v>1</v>
      </c>
      <c r="BH36">
        <f>BH29+1</f>
        <v>3</v>
      </c>
      <c r="BI36" t="n">
        <v>9</v>
      </c>
      <c r="BJ36" s="109">
        <f>$H$28*H48</f>
        <v>1.408338306740203047E-08</v>
      </c>
      <c r="BP36">
        <f>BP29+1</f>
        <v>8</v>
      </c>
      <c r="BQ36" t="n">
        <v>5</v>
      </c>
      <c r="BR36" s="109">
        <f>$H$33*H44</f>
        <v>1.556793652520164103E-08</v>
      </c>
    </row>
    <row r="37" spans="1:70">
      <c r="A37" s="111" t="s">
        <v>127</v>
      </c>
      <c r="B37" s="109">
        <f>SUM(BN4:BN14)</f>
        <v>0.284095546838858013</v>
      </c>
      <c r="G37" s="15"/>
      <c r="H37" s="61">
        <f>SUM(H39:H49)</f>
        <v>0.999999999830560071</v>
      </c>
      <c r="I37" s="15"/>
      <c r="J37" s="61">
        <f>SUM(J39:J49)</f>
        <v>1</v>
      </c>
      <c r="K37" s="61"/>
      <c r="L37" s="61">
        <f>SUM(L39:L49)</f>
        <v>1</v>
      </c>
      <c r="M37" s="15"/>
      <c r="N37" s="76">
        <f>SUM(N39:N49)</f>
        <v>0.99999999999999698</v>
      </c>
      <c r="O37" s="15"/>
      <c r="P37" s="76">
        <f>SUM(P39:P49)</f>
        <v>0.99999999999999698</v>
      </c>
      <c r="Q37" s="15"/>
      <c r="R37" s="61">
        <f>SUM(R39:R49)</f>
        <v>0.999999999999998046</v>
      </c>
      <c r="S37" s="15"/>
      <c r="T37" s="61">
        <f>SUM(T39:T49)</f>
        <v>1</v>
      </c>
      <c r="U37" s="15"/>
      <c r="V37" s="61">
        <f>SUM(V39:V48)</f>
        <v>0.993449947292945978</v>
      </c>
      <c r="W37" s="15"/>
      <c r="X37" s="15"/>
      <c r="Y37" s="82">
        <f>SUM(Y39:Y49)</f>
        <v>0.000101441764846000004</v>
      </c>
      <c r="Z37" s="83"/>
      <c r="AA37" s="82">
        <f>SUM(AA39:AA49)</f>
        <v>0.001528509309903</v>
      </c>
      <c r="AB37" s="83"/>
      <c r="AC37" s="82">
        <f>SUM(AC39:AC49)</f>
        <v>0.0103656402599959985</v>
      </c>
      <c r="AD37" s="83"/>
      <c r="AE37" s="82">
        <f>SUM(AE39:AE49)</f>
        <v>0.0416647377977409938</v>
      </c>
      <c r="AF37" s="83"/>
      <c r="AG37" s="82">
        <f>SUM(AG39:AG49)</f>
        <v>0.109935117138663996</v>
      </c>
      <c r="AH37" s="83"/>
      <c r="AI37" s="82">
        <f>SUM(AI39:AI49)</f>
        <v>0.198992222897994999</v>
      </c>
      <c r="AJ37" s="83"/>
      <c r="AK37" s="82">
        <f>SUM(AK39:AK49)</f>
        <v>0.25030790839879602</v>
      </c>
      <c r="AL37" s="83"/>
      <c r="AM37" s="82">
        <f>SUM(AM39:AM49)</f>
        <v>0.216163327230484015</v>
      </c>
      <c r="AN37" s="83"/>
      <c r="AO37" s="82">
        <f>SUM(AO39:AO49)</f>
        <v>0.122802009643281007</v>
      </c>
      <c r="AP37" s="83"/>
      <c r="AQ37" s="82">
        <f>SUM(AQ39:AQ49)</f>
        <v>0.0415890328512390006</v>
      </c>
      <c r="AR37" s="83"/>
      <c r="AS37" s="82">
        <f>SUM(AS39:AS49)</f>
        <v>0.0065500527070560004</v>
      </c>
      <c r="BH37">
        <f>BH30+1</f>
        <v>3</v>
      </c>
      <c r="BI37" t="n">
        <v>10</v>
      </c>
      <c r="BJ37" s="109">
        <f>$H$28*H49</f>
        <v>5.635506197513402579E-10</v>
      </c>
      <c r="BP37">
        <f>BP30+1</f>
        <v>8</v>
      </c>
      <c r="BQ37" t="n">
        <v>6</v>
      </c>
      <c r="BR37" s="109">
        <f>$H$33*H45</f>
        <v>2.029025075796113006E-09</v>
      </c>
    </row>
    <row r="38" spans="1:70">
      <c r="A38" s="112" t="s">
        <v>128</v>
      </c>
      <c r="B38" s="109">
        <f>SUM(BJ4:BJ59)</f>
        <v>0.314238991773403953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>
        <f>$H$29*H44</f>
        <v>0.0000696230882159999975</v>
      </c>
      <c r="BP38">
        <f>BL11+1</f>
        <v>8</v>
      </c>
      <c r="BQ38" t="n">
        <v>7</v>
      </c>
      <c r="BR38" s="109">
        <f>$H$33*H46</f>
        <v>2.005498793585914902E-10</v>
      </c>
    </row>
    <row r="39" spans="1:70">
      <c r="A39" s="113" t="s">
        <v>129</v>
      </c>
      <c r="B39" s="109">
        <f>SUM(BR4:BR47)</f>
        <v>0.401665446525225001</v>
      </c>
      <c r="G39" s="130" t="n">
        <v>0</v>
      </c>
      <c r="H39" s="131">
        <f>L39*J39</f>
        <v>0.325936922254453965</v>
      </c>
      <c r="I39" s="99" t="n">
        <v>0</v>
      </c>
      <c r="J39" s="100">
        <f>Y39+AA39+AC39+AE39+AG39+AI39+AK39+AM39+AO39+AQ39+AS39</f>
        <v>0.449420940241111033</v>
      </c>
      <c r="K39" s="104" t="n">
        <v>0</v>
      </c>
      <c r="L39" s="100">
        <f>AC20</f>
        <v>0.725237506911874075</v>
      </c>
      <c r="M39" s="86" t="n">
        <v>0</v>
      </c>
      <c r="N39" s="73">
        <f>(1-$C$24)^$B$21</f>
        <v>0.0101224424753510012</v>
      </c>
      <c r="O39" s="72" t="n">
        <v>0</v>
      </c>
      <c r="P39" s="73">
        <f>N39</f>
        <v>0.0101224424753510012</v>
      </c>
      <c r="Q39" s="14" t="n">
        <v>0</v>
      </c>
      <c r="R39" s="75">
        <f>P39*N39</f>
        <v>0.000102463841667</v>
      </c>
      <c r="S39" s="72" t="n">
        <v>0</v>
      </c>
      <c r="T39" s="135">
        <f>(1-$C$33)^(INT(B23*2*(1-B31)))</f>
        <v>0.990024999999999977</v>
      </c>
      <c r="U39" s="140" t="n">
        <v>0</v>
      </c>
      <c r="V39" s="88">
        <f>R39*T39</f>
        <v>0.000101441764846000004</v>
      </c>
      <c r="W39" s="136">
        <f>C31</f>
        <v>0.127715657061733978</v>
      </c>
      <c r="X39" s="14" t="n">
        <v>0</v>
      </c>
      <c r="Y39" s="81">
        <f>V39</f>
        <v>0.000101441764846000004</v>
      </c>
      <c r="Z39" s="14" t="n">
        <v>0</v>
      </c>
      <c r="AA39" s="80">
        <f>((1-W39)^Z40)*V40</f>
        <v>0.00133329473906399976</v>
      </c>
      <c r="AB39" s="14" t="n">
        <v>0</v>
      </c>
      <c r="AC39" s="81">
        <f>(((1-$W$39)^AB41))*V41</f>
        <v>0.00788700810121399876</v>
      </c>
      <c r="AD39" s="14" t="n">
        <v>0</v>
      </c>
      <c r="AE39" s="81">
        <f>(((1-$W$39)^AB42))*V42</f>
        <v>0.0276530401772149981</v>
      </c>
      <c r="AF39" s="14" t="n">
        <v>0</v>
      </c>
      <c r="AG39" s="81">
        <f>(((1-$W$39)^AB43))*V43</f>
        <v>0.0636456538125270033</v>
      </c>
      <c r="AH39" s="14" t="n">
        <v>0</v>
      </c>
      <c r="AI39" s="81">
        <f>(((1-$W$39)^AB44))*V44</f>
        <v>0.100490842975038008</v>
      </c>
      <c r="AJ39" s="14" t="n">
        <v>0</v>
      </c>
      <c r="AK39" s="81">
        <f>(((1-$W$39)^AB45))*V45</f>
        <v>0.110261281141317014</v>
      </c>
      <c r="AL39" s="14" t="n">
        <v>0</v>
      </c>
      <c r="AM39" s="81">
        <f>(((1-$W$39)^AB46))*V46</f>
        <v>0.0830593554743020057</v>
      </c>
      <c r="AN39" s="14" t="n">
        <v>0</v>
      </c>
      <c r="AO39" s="81">
        <f>(((1-$W$39)^AB47))*V47</f>
        <v>0.0411595001060829979</v>
      </c>
      <c r="AP39" s="14" t="n">
        <v>0</v>
      </c>
      <c r="AQ39" s="81">
        <f>(((1-$W$39)^AB48))*V48</f>
        <v>0.0121591023906129991</v>
      </c>
      <c r="AR39" s="14" t="n">
        <v>0</v>
      </c>
      <c r="AS39" s="81">
        <f>(((1-$W$39)^AB49))*V49</f>
        <v>0.00167041955889200011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>
        <f>$H$29*H45</f>
        <v>9.074227121558434315E-06</v>
      </c>
      <c r="BP39">
        <f>BP31+1</f>
        <v>9</v>
      </c>
      <c r="BQ39" t="n">
        <v>0</v>
      </c>
      <c r="BR39" s="109">
        <f>$H$34*H39</f>
        <v>1.059494746599917044E-07</v>
      </c>
    </row>
    <row r="40" spans="7:70">
      <c r="G40" s="93" t="n">
        <v>1</v>
      </c>
      <c r="H40" s="132">
        <f>L39*J40+L40*J39</f>
        <v>0.378419185792300983</v>
      </c>
      <c r="I40" s="95" t="n">
        <v>1</v>
      </c>
      <c r="J40" s="88">
        <f>Y40+AA40+AC40+AE40+AG40+AI40+AK40+AM40+AO40+AQ40+AS40</f>
        <v>0.374163745662252012</v>
      </c>
      <c r="K40" s="97" t="n">
        <v>1</v>
      </c>
      <c r="L40" s="88">
        <f>AD20</f>
        <v>0.238221217849714018</v>
      </c>
      <c r="M40" s="87" t="n">
        <v>1</v>
      </c>
      <c r="N40" s="73">
        <f>(($C$24)^M26)*((1-($C$24))^($B$21-M26))*HLOOKUP($B$21,$AV$24:$BF$34,M26+1)</f>
        <v>0.0762108565528349935</v>
      </c>
      <c r="O40" s="74" t="n">
        <v>1</v>
      </c>
      <c r="P40" s="73">
        <f>N40</f>
        <v>0.0762108565528349935</v>
      </c>
      <c r="Q40" s="30" t="n">
        <v>1</v>
      </c>
      <c r="R40" s="39">
        <f>P40*N39+P39*N40</f>
        <v>0.00154288002290600001</v>
      </c>
      <c r="S40" s="74" t="n">
        <v>1</v>
      </c>
      <c r="T40" s="135">
        <f>(($C$33)^S40)*((1-($C$33))^(INT($B$23*2*(1-$B$31))-S40))*HLOOKUP(INT($B$23*2*(1-$B$31)),$AV$24:$BF$34,S40+1)</f>
        <v>0.00995000000000000107</v>
      </c>
      <c r="U40" s="95" t="n">
        <v>1</v>
      </c>
      <c r="V40" s="88">
        <f>R40*T39+T40*R39</f>
        <v>0.001528509309903</v>
      </c>
      <c r="W40" s="137"/>
      <c r="X40" s="30" t="n">
        <v>1</v>
      </c>
      <c r="Y40" s="75"/>
      <c r="Z40" s="30" t="n">
        <v>1</v>
      </c>
      <c r="AA40" s="81">
        <f>(1-((1-W39)^Z40))*V40</f>
        <v>0.000195214570838999961</v>
      </c>
      <c r="AB40" s="30" t="n">
        <v>1</v>
      </c>
      <c r="AC40" s="81">
        <f>((($W$39)^M40)*((1-($W$39))^($U$27-M40))*HLOOKUP($U$27,$AV$24:$BF$34,M40+1))*V41</f>
        <v>0.00230955520422300031</v>
      </c>
      <c r="AD40" s="30" t="n">
        <v>1</v>
      </c>
      <c r="AE40" s="81">
        <f>((($W$39)^M40)*((1-($W$39))^($U$28-M40))*HLOOKUP($U$28,$AV$24:$BF$34,M40+1))*V42</f>
        <v>0.012146473422041002</v>
      </c>
      <c r="AF40" s="30" t="n">
        <v>1</v>
      </c>
      <c r="AG40" s="81">
        <f>((($W$39)^M40)*((1-($W$39))^($U$29-M40))*HLOOKUP($U$29,$AV$24:$BF$34,M40+1))*V43</f>
        <v>0.0372747559283689966</v>
      </c>
      <c r="AH40" s="30" t="n">
        <v>1</v>
      </c>
      <c r="AI40" s="81">
        <f>((($W$39)^M40)*((1-($W$39))^($U$30-M40))*HLOOKUP($U$30,$AV$24:$BF$34,M40+1))*V44</f>
        <v>0.0735669173885010075</v>
      </c>
      <c r="AJ40" s="30" t="n">
        <v>1</v>
      </c>
      <c r="AK40" s="81">
        <f>((($W$39)^M40)*((1-($W$39))^($U$31-M40))*HLOOKUP($U$31,$AV$24:$BF$34,M40+1))*V45</f>
        <v>0.0968635428351040062</v>
      </c>
      <c r="AL40" s="30" t="n">
        <v>1</v>
      </c>
      <c r="AM40" s="81">
        <f>((($W$39)^Q40)*((1-($W$39))^($U$32-Q40))*HLOOKUP($U$32,$AV$24:$BF$34,Q40+1))*V46</f>
        <v>0.0851280453648220004</v>
      </c>
      <c r="AN40" s="30" t="n">
        <v>1</v>
      </c>
      <c r="AO40" s="81">
        <f>((($W$39)^Q40)*((1-($W$39))^($U$33-Q40))*HLOOKUP($U$33,$AV$24:$BF$34,Q40+1))*V47</f>
        <v>0.0482110003962590028</v>
      </c>
      <c r="AP40" s="30" t="n">
        <v>1</v>
      </c>
      <c r="AQ40" s="81">
        <f>((($W$39)^Q40)*((1-($W$39))^($U$34-Q40))*HLOOKUP($U$34,$AV$24:$BF$34,Q40+1))*V48</f>
        <v>0.016022492978384002</v>
      </c>
      <c r="AR40" s="30" t="n">
        <v>1</v>
      </c>
      <c r="AS40" s="81">
        <f>((($W$39)^Q40)*((1-($W$39))^($U$35-Q40))*HLOOKUP($U$35,$AV$24:$BF$34,Q40+1))*V49</f>
        <v>0.00244574757370999984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>
        <f>$H$29*H46</f>
        <v>8.969012636706662549E-07</v>
      </c>
      <c r="BP40">
        <f>BP32+1</f>
        <v>9</v>
      </c>
      <c r="BQ40" t="n">
        <v>1</v>
      </c>
      <c r="BR40" s="109">
        <f>$H$34*H40</f>
        <v>1.230094266664759069E-07</v>
      </c>
    </row>
    <row r="41" spans="7:70">
      <c r="G41" s="93" t="n">
        <v>2</v>
      </c>
      <c r="H41" s="132">
        <f>L39*J41+J40*L40+J39*L41</f>
        <v>0.205982771566650014</v>
      </c>
      <c r="I41" s="95" t="n">
        <v>2</v>
      </c>
      <c r="J41" s="88">
        <f>Y41+AA41+AC41+AE41+AG41+AI41+AK41+AM41+AO41+AQ41+AS41</f>
        <v>0.140225399218266977</v>
      </c>
      <c r="K41" s="97" t="n">
        <v>2</v>
      </c>
      <c r="L41" s="88">
        <f>AE20</f>
        <v>0.0337151834911630033</v>
      </c>
      <c r="M41" s="87" t="n">
        <v>2</v>
      </c>
      <c r="N41" s="73">
        <f>(($C$24)^M27)*((1-($C$24))^($B$21-M27))*HLOOKUP($B$21,$AV$24:$BF$34,M27+1)</f>
        <v>0.229513565353820015</v>
      </c>
      <c r="O41" s="74" t="n">
        <v>2</v>
      </c>
      <c r="P41" s="73">
        <f>N41</f>
        <v>0.229513565353820015</v>
      </c>
      <c r="Q41" s="30" t="n">
        <v>2</v>
      </c>
      <c r="R41" s="39">
        <f>P41*N39+P40*N40+P39*N41</f>
        <v>0.0104545703817310009</v>
      </c>
      <c r="S41" s="74" t="n">
        <v>2</v>
      </c>
      <c r="T41" s="135">
        <f>(($C$33)^S41)*((1-($C$33))^(INT($B$23*2*(1-$B$31))-S41))*HLOOKUP(INT($B$23*2*(1-$B$31)),$AV$24:$BF$34,S41+1)</f>
        <v>0.000025</v>
      </c>
      <c r="U41" s="95" t="n">
        <v>2</v>
      </c>
      <c r="V41" s="88">
        <f>R41*T39+T40*R40+R39*T41</f>
        <v>0.0103656402599969999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>
        <f>((($W$39)^M41)*((1-($W$39))^($U$27-M41))*HLOOKUP($U$27,$AV$24:$BF$34,M41+1))*V41</f>
        <v>0.000169076954558999981</v>
      </c>
      <c r="AD41" s="30" t="n">
        <v>2</v>
      </c>
      <c r="AE41" s="81">
        <f>((($W$39)^M41)*((1-($W$39))^($U$28-M41))*HLOOKUP($U$28,$AV$24:$BF$34,M41+1))*V42</f>
        <v>0.001778427925066</v>
      </c>
      <c r="AF41" s="30" t="n">
        <v>2</v>
      </c>
      <c r="AG41" s="81">
        <f>((($W$39)^M41)*((1-($W$39))^($U$29-M41))*HLOOKUP($U$29,$AV$24:$BF$34,M41+1))*V43</f>
        <v>0.0081863843775499987</v>
      </c>
      <c r="AH41" s="30" t="n">
        <v>2</v>
      </c>
      <c r="AI41" s="81">
        <f>((($W$39)^M41)*((1-($W$39))^($U$30-M41))*HLOOKUP($U$30,$AV$24:$BF$34,M41+1))*V44</f>
        <v>0.0215426248753469984</v>
      </c>
      <c r="AJ41" s="30" t="n">
        <v>2</v>
      </c>
      <c r="AK41" s="81">
        <f>((($W$39)^M41)*((1-($W$39))^($U$31-M41))*HLOOKUP($U$31,$AV$24:$BF$34,M41+1))*V45</f>
        <v>0.0354557293119609973</v>
      </c>
      <c r="AL41" s="30" t="n">
        <v>2</v>
      </c>
      <c r="AM41" s="81">
        <f>((($W$39)^Q41)*((1-($W$39))^($U$32-Q41))*HLOOKUP($U$32,$AV$24:$BF$34,Q41+1))*V46</f>
        <v>0.0373921107360249971</v>
      </c>
      <c r="AN41" s="30" t="n">
        <v>2</v>
      </c>
      <c r="AO41" s="81">
        <f>((($W$39)^Q41)*((1-($W$39))^($U$33-Q41))*HLOOKUP($U$33,$AV$24:$BF$34,Q41+1))*V47</f>
        <v>0.0247058757281460029</v>
      </c>
      <c r="AP41" s="30" t="n">
        <v>2</v>
      </c>
      <c r="AQ41" s="81">
        <f>((($W$39)^Q41)*((1-($W$39))^($U$34-Q41))*HLOOKUP($U$34,$AV$24:$BF$34,Q41+1))*V48</f>
        <v>0.00938374389070600046</v>
      </c>
      <c r="AR41" s="30" t="n">
        <v>2</v>
      </c>
      <c r="AS41" s="81">
        <f>((($W$39)^Q41)*((1-($W$39))^($U$35-Q41))*HLOOKUP($U$35,$AV$24:$BF$34,Q41+1))*V49</f>
        <v>0.00161142541890699986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>
        <f>$H$29*H47</f>
        <v>6.6956941730523704E-08</v>
      </c>
      <c r="BP41">
        <f>BP33+1</f>
        <v>9</v>
      </c>
      <c r="BQ41" t="n">
        <v>2</v>
      </c>
      <c r="BR41" s="109">
        <f>$H$34*H41</f>
        <v>6.695702433938482324E-08</v>
      </c>
    </row>
    <row r="42" spans="7:70" ht="15" customHeight="1">
      <c r="G42" s="93" t="n">
        <v>3</v>
      </c>
      <c r="H42" s="132">
        <f>J42*L39+J41*L40+L42*J39+L41*J40</f>
        <v>0.0698852309395399995</v>
      </c>
      <c r="I42" s="95" t="n">
        <v>3</v>
      </c>
      <c r="J42" s="88">
        <f>Y42+AA42+AC42+AE42+AG42+AI42+AK42+AM42+AO42+AQ42+AS42</f>
        <v>0.0311559471179530023</v>
      </c>
      <c r="K42" s="97" t="n">
        <v>3</v>
      </c>
      <c r="L42" s="88">
        <f>AF20</f>
        <v>0.00282609174724900001</v>
      </c>
      <c r="M42" s="87" t="n">
        <v>3</v>
      </c>
      <c r="N42" s="73">
        <f>(($C$24)^M28)*((1-($C$24))^($B$21-M28))*HLOOKUP($B$21,$AV$24:$BF$34,M28+1)</f>
        <v>0.34559693371839999</v>
      </c>
      <c r="O42" s="74" t="n">
        <v>3</v>
      </c>
      <c r="P42" s="73">
        <f>N42</f>
        <v>0.34559693371839999</v>
      </c>
      <c r="Q42" s="30" t="n">
        <v>3</v>
      </c>
      <c r="R42" s="39">
        <f>P42*N39+P41*N40+P40*N41+P39*N42</f>
        <v>0.0419794209746639968</v>
      </c>
      <c r="S42" s="74" t="n">
        <v>3</v>
      </c>
      <c r="T42" s="135">
        <f>(($C$33)^S42)*((1-($C$33))^(INT($B$23*2*(1-$B$31))-S42))*HLOOKUP(INT($B$23*2*(1-$B$31)),$AV$24:$BF$34,S42+1)</f>
        <v>0</v>
      </c>
      <c r="U42" s="95" t="n">
        <v>3</v>
      </c>
      <c r="V42" s="88">
        <f>R42*T39+R41*T40+R40*T41+R39*T42</f>
        <v>0.0416647377977409938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>
        <f>((($W$39)^M42)*((1-($W$39))^($U$28-M42))*HLOOKUP($U$28,$AV$24:$BF$34,M42+1))*V42</f>
        <v>0.0000867962734189999985</v>
      </c>
      <c r="AF42" s="30" t="n">
        <v>3</v>
      </c>
      <c r="AG42" s="81">
        <f>((($W$39)^M42)*((1-($W$39))^($U$29-M42))*HLOOKUP($U$29,$AV$24:$BF$34,M42+1))*V43</f>
        <v>0.000799073886248999976</v>
      </c>
      <c r="AH42" s="30" t="n">
        <v>3</v>
      </c>
      <c r="AI42" s="81">
        <f>((($W$39)^M42)*((1-($W$39))^($U$30-M42))*HLOOKUP($U$30,$AV$24:$BF$34,M42+1))*V44</f>
        <v>0.0031541670019220005</v>
      </c>
      <c r="AJ42" s="30" t="n">
        <v>3</v>
      </c>
      <c r="AK42" s="81">
        <f>((($W$39)^M42)*((1-($W$39))^($U$31-M42))*HLOOKUP($U$31,$AV$24:$BF$34,M42+1))*V45</f>
        <v>0.00692167533417999969</v>
      </c>
      <c r="AL42" s="30" t="n">
        <v>3</v>
      </c>
      <c r="AM42" s="81">
        <f>((($W$39)^Q42)*((1-($W$39))^($U$32-Q42))*HLOOKUP($U$32,$AV$24:$BF$34,Q42+1))*V46</f>
        <v>0.00912462018116799989</v>
      </c>
      <c r="AN42" s="30" t="n">
        <v>3</v>
      </c>
      <c r="AO42" s="81">
        <f>((($W$39)^Q42)*((1-($W$39))^($U$33-Q42))*HLOOKUP($U$33,$AV$24:$BF$34,Q42+1))*V47</f>
        <v>0.00723462980265300093</v>
      </c>
      <c r="AP42" s="30" t="n">
        <v>3</v>
      </c>
      <c r="AQ42" s="81">
        <f>((($W$39)^Q42)*((1-($W$39))^($U$34-Q42))*HLOOKUP($U$34,$AV$24:$BF$34,Q42+1))*V48</f>
        <v>0.00320581898353700057</v>
      </c>
      <c r="AR42" s="30" t="n">
        <v>3</v>
      </c>
      <c r="AS42" s="81">
        <f>((($W$39)^Q42)*((1-($W$39))^($U$35-Q42))*HLOOKUP($U$35,$AV$24:$BF$34,Q42+1))*V49</f>
        <v>0.000629165654824999976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>
        <f>$H$29*H48</f>
        <v>3.716357617021825873E-09</v>
      </c>
      <c r="BP42">
        <f>BP34+1</f>
        <v>9</v>
      </c>
      <c r="BQ42" t="n">
        <v>3</v>
      </c>
      <c r="BR42" s="109">
        <f>$H$34*H42</f>
        <v>2.271698294664523127E-08</v>
      </c>
    </row>
    <row r="43" spans="7:70" ht="15" customHeight="1">
      <c r="G43" s="93" t="n">
        <v>4</v>
      </c>
      <c r="H43" s="132">
        <f>J43*L39+J42*L40+J41*L41+J40*L42</f>
        <v>0.0165037743169289985</v>
      </c>
      <c r="I43" s="95" t="n">
        <v>4</v>
      </c>
      <c r="J43" s="88">
        <f>Y43+AA43+AC43+AE43+AG43+AI43+AK43+AM43+AO43+AQ43+AS43</f>
        <v>0.00454557366560499965</v>
      </c>
      <c r="K43" s="97" t="n">
        <v>4</v>
      </c>
      <c r="L43" s="88"/>
      <c r="M43" s="87" t="n">
        <v>4</v>
      </c>
      <c r="N43" s="73">
        <f>(($C$24)^M29)*((1-($C$24))^($B$21-M29))*HLOOKUP($B$21,$AV$24:$BF$34,M29+1)</f>
        <v>0.260196473379314996</v>
      </c>
      <c r="O43" s="74" t="n">
        <v>4</v>
      </c>
      <c r="P43" s="73">
        <f>N43</f>
        <v>0.260196473379314996</v>
      </c>
      <c r="Q43" s="30" t="n">
        <v>4</v>
      </c>
      <c r="R43" s="39">
        <f>P43*N39+P42*N40+P41*N41+P40*N42+P39*N43</f>
        <v>0.110620601030990007</v>
      </c>
      <c r="S43" s="74" t="n">
        <v>4</v>
      </c>
      <c r="T43" s="135">
        <f>(($C$33)^S43)*((1-($C$33))^(INT($B$23*2*(1-$B$31))-S43))*HLOOKUP(INT($B$23*2*(1-$B$31)),$AV$24:$BF$34,S43+1)</f>
        <v>0</v>
      </c>
      <c r="U43" s="95" t="n">
        <v>4</v>
      </c>
      <c r="V43" s="88">
        <f>T43*R39+T42*R40+T41*R41+T40*R42+T39*R43</f>
        <v>0.109935117138663996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>
        <f>((($W$39)^M43)*((1-($W$39))^($U$29-M43))*HLOOKUP($U$29,$AV$24:$BF$34,M43+1))*V43</f>
        <v>0.0000292491339690000007</v>
      </c>
      <c r="AH43" s="30" t="n">
        <v>4</v>
      </c>
      <c r="AI43" s="81">
        <f>((($W$39)^M43)*((1-($W$39))^($U$30-M43))*HLOOKUP($U$30,$AV$24:$BF$34,M43+1))*V44</f>
        <v>0.000230908942935000017</v>
      </c>
      <c r="AJ43" s="30" t="n">
        <v>4</v>
      </c>
      <c r="AK43" s="81">
        <f>((($W$39)^M43)*((1-($W$39))^($U$31-M43))*HLOOKUP($U$31,$AV$24:$BF$34,M43+1))*V45</f>
        <v>0.000760078683425999913</v>
      </c>
      <c r="AL43" s="30" t="n">
        <v>4</v>
      </c>
      <c r="AM43" s="81">
        <f>((($W$39)^Q43)*((1-($W$39))^($U$32-Q43))*HLOOKUP($U$32,$AV$24:$BF$34,Q43+1))*V46</f>
        <v>0.00133598278051700015</v>
      </c>
      <c r="AN43" s="30" t="n">
        <v>4</v>
      </c>
      <c r="AO43" s="81">
        <f>((($W$39)^Q43)*((1-($W$39))^($U$33-Q43))*HLOOKUP($U$33,$AV$24:$BF$34,Q43+1))*V47</f>
        <v>0.00132407440636399976</v>
      </c>
      <c r="AP43" s="30" t="n">
        <v>4</v>
      </c>
      <c r="AQ43" s="81">
        <f>((($W$39)^Q43)*((1-($W$39))^($U$34-Q43))*HLOOKUP($U$34,$AV$24:$BF$34,Q43+1))*V48</f>
        <v>0.000704070779014999992</v>
      </c>
      <c r="AR43" s="30" t="n">
        <v>4</v>
      </c>
      <c r="AS43" s="81">
        <f>((($W$39)^Q43)*((1-($W$39))^($U$35-Q43))*HLOOKUP($U$35,$AV$24:$BF$34,Q43+1))*V49</f>
        <v>0.000161208939378999982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>
        <f>$H$29*H49</f>
        <v>1.487111177951230094E-10</v>
      </c>
      <c r="BP43">
        <f>BP35+1</f>
        <v>9</v>
      </c>
      <c r="BQ43" t="n">
        <v>4</v>
      </c>
      <c r="BR43" s="109">
        <f>$H$34*H43</f>
        <v>5.364738080887357954E-09</v>
      </c>
    </row>
    <row r="44" spans="7:70" ht="15" customHeight="1">
      <c r="G44" s="93" t="n">
        <v>5</v>
      </c>
      <c r="H44" s="132">
        <f>J44*L39+J43*L40+J42*L41+J41*L42</f>
        <v>0.0028596577938150002</v>
      </c>
      <c r="I44" s="95" t="n">
        <v>5</v>
      </c>
      <c r="J44" s="88">
        <f>Y44+AA44+AC44+AE44+AG44+AI44+AK44+AM44+AO44+AQ44+AS44</f>
        <v>0.000455143837454000089</v>
      </c>
      <c r="K44" s="97" t="n">
        <v>5</v>
      </c>
      <c r="L44" s="88"/>
      <c r="M44" s="87" t="n">
        <v>5</v>
      </c>
      <c r="N44" s="73">
        <f>(($C$24)^M30)*((1-($C$24))^($B$21-M30))*HLOOKUP($B$21,$AV$24:$BF$34,M30+1)</f>
        <v>0.0783597285202760041</v>
      </c>
      <c r="O44" s="74" t="n">
        <v>5</v>
      </c>
      <c r="P44" s="73">
        <f>N44</f>
        <v>0.0783597285202760041</v>
      </c>
      <c r="Q44" s="30" t="n">
        <v>5</v>
      </c>
      <c r="R44" s="39">
        <f>P44*N39+P43*N40+P42*N41+P41*N42+P40*N43+P39*N44</f>
        <v>0.199884344771308005</v>
      </c>
      <c r="S44" s="74" t="n">
        <v>5</v>
      </c>
      <c r="T44" s="135">
        <f>(($C$33)^S44)*((1-($C$33))^(INT($B$23*2*(1-$B$31))-S44))*HLOOKUP(INT($B$23*2*(1-$B$31)),$AV$24:$BF$34,S44+1)</f>
        <v>0</v>
      </c>
      <c r="U44" s="95" t="n">
        <v>5</v>
      </c>
      <c r="V44" s="88">
        <f>T44*R39+T43*R40+T42*R41+T41*R42+T40*R43+T39*R44</f>
        <v>0.198992222897996012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>
        <f>((($W$39)^M44)*((1-($W$39))^($U$30-M44))*HLOOKUP($U$30,$AV$24:$BF$34,M44+1))*V44</f>
        <v>6.761714252354111886E-06</v>
      </c>
      <c r="AJ44" s="30" t="n">
        <v>5</v>
      </c>
      <c r="AK44" s="81">
        <f>((($W$39)^M44)*((1-($W$39))^($U$31-M44))*HLOOKUP($U$31,$AV$24:$BF$34,M44+1))*V45</f>
        <v>0.0000445148187109999949</v>
      </c>
      <c r="AL44" s="30" t="n">
        <v>5</v>
      </c>
      <c r="AM44" s="81">
        <f>((($W$39)^Q44)*((1-($W$39))^($U$32-Q44))*HLOOKUP($U$32,$AV$24:$BF$34,Q44+1))*V46</f>
        <v>0.000117364884526000002</v>
      </c>
      <c r="AN44" s="30" t="n">
        <v>5</v>
      </c>
      <c r="AO44" s="81">
        <f>((($W$39)^Q44)*((1-($W$39))^($U$33-Q44))*HLOOKUP($U$33,$AV$24:$BF$34,Q44+1))*V47</f>
        <v>0.000155091659437999985</v>
      </c>
      <c r="AP44" s="30" t="n">
        <v>5</v>
      </c>
      <c r="AQ44" s="81">
        <f>((($W$39)^Q44)*((1-($W$39))^($U$34-Q44))*HLOOKUP($U$34,$AV$24:$BF$34,Q44+1))*V48</f>
        <v>0.000103086640140000019</v>
      </c>
      <c r="AR44" s="30" t="n">
        <v>5</v>
      </c>
      <c r="AS44" s="81">
        <f>((($W$39)^Q44)*((1-($W$39))^($U$35-Q44))*HLOOKUP($U$35,$AV$24:$BF$34,Q44+1))*V49</f>
        <v>0.0000283241203869999936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>
        <f>$H$30*H45</f>
        <v>1.720159793878162053E-06</v>
      </c>
      <c r="BP44">
        <f>BP36+1</f>
        <v>9</v>
      </c>
      <c r="BQ44" t="n">
        <v>5</v>
      </c>
      <c r="BR44" s="109">
        <f>$H$34*H44</f>
        <v>9.295640360913727194E-10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>
        <f>J45*L39+J44*L40+J43*L41+J42*L42</f>
        <v>0.00037270947003499999</v>
      </c>
      <c r="I45" s="95" t="n">
        <v>6</v>
      </c>
      <c r="J45" s="88">
        <f>Y45+AA45+AC45+AE45+AG45+AI45+AK45+AM45+AO45+AQ45+AS45</f>
        <v>0.0000316863583660000003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>
        <f>P44*N40+P43*N41+P42*N42+P41*N43+P40*N44</f>
        <v>0.250818205250670001</v>
      </c>
      <c r="S45" s="72" t="n">
        <v>6</v>
      </c>
      <c r="T45" s="135">
        <f>(($C$33)^S45)*((1-($C$33))^(INT($B$23*2*(1-$B$31))-S45))*HLOOKUP(INT($B$23*2*(1-$B$31)),$AV$24:$BF$34,S45+1)</f>
        <v>0</v>
      </c>
      <c r="U45" s="95" t="n">
        <v>6</v>
      </c>
      <c r="V45" s="88">
        <f>T45*R39+T44*R40+T43*R41+T42*R42+T41*R43+T40*R44+T39*R45</f>
        <v>0.25030790839879602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>
        <f>((($W$39)^Q45)*((1-($W$39))^($U$31-Q45))*HLOOKUP($U$31,$AV$24:$BF$34,Q45+1))*V45</f>
        <v>1.086274096760859978E-06</v>
      </c>
      <c r="AL45" s="30" t="n">
        <v>6</v>
      </c>
      <c r="AM45" s="81">
        <f>((($W$39)^Q45)*((1-($W$39))^($U$32-Q45))*HLOOKUP($U$32,$AV$24:$BF$34,Q45+1))*V46</f>
        <v>5.727999691977320045E-06</v>
      </c>
      <c r="AN45" s="30" t="n">
        <v>6</v>
      </c>
      <c r="AO45" s="81">
        <f>((($W$39)^Q45)*((1-($W$39))^($U$33-Q45))*HLOOKUP($U$33,$AV$24:$BF$34,Q45+1))*V47</f>
        <v>0.000011353885548</v>
      </c>
      <c r="AP45" s="30" t="n">
        <v>6</v>
      </c>
      <c r="AQ45" s="81">
        <f>((($W$39)^Q45)*((1-($W$39))^($U$34-Q45))*HLOOKUP($U$34,$AV$24:$BF$34,Q45+1))*V48</f>
        <v>0.0000100622983669999999</v>
      </c>
      <c r="AR45" s="30" t="n">
        <v>6</v>
      </c>
      <c r="AS45" s="81">
        <f>((($W$39)^Q45)*((1-($W$39))^($U$35-Q45))*HLOOKUP($U$35,$AV$24:$BF$34,Q45+1))*V49</f>
        <v>3.455900661959166965E-06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>
        <f>$H$30*H46</f>
        <v>1.700214764494266991E-07</v>
      </c>
      <c r="BP45">
        <f>BP37+1</f>
        <v>9</v>
      </c>
      <c r="BQ45" t="n">
        <v>6</v>
      </c>
      <c r="BR45" s="109">
        <f>$H$34*H45</f>
        <v>1.211534191274721828E-10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>
        <f>J46*L39+J45*L40+J44*L41+J43*L42</f>
        <v>0.0000368387952139999975</v>
      </c>
      <c r="I46" s="95" t="n">
        <v>7</v>
      </c>
      <c r="J46" s="88">
        <f>Y46+AA46+AC46+AE46+AG46+AI46+AK46+AM46+AO46+AQ46+AS46</f>
        <v>1.515318921412717911E-06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>
        <f>P44*N41+P43*N42+P42*N43+P41*N44</f>
        <v>0.215815448074158001</v>
      </c>
      <c r="S46" s="74" t="n">
        <v>7</v>
      </c>
      <c r="T46" s="135">
        <f>(($C$33)^S46)*((1-($C$33))^(INT($B$23*2*(1-$B$31))-S46))*HLOOKUP(INT($B$23*2*(1-$B$31)),$AV$24:$BF$34,S46+1)</f>
        <v>0</v>
      </c>
      <c r="U46" s="95" t="n">
        <v>7</v>
      </c>
      <c r="V46" s="88">
        <f>T46*R39+T45*R40+T44*R41+T43*R42+T42*R43+T41*R44+T40*R45+T39*R46</f>
        <v>0.216163327230480995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>
        <f>((($W$39)^Q46)*((1-($W$39))^($U$32-Q46))*HLOOKUP($U$32,$AV$24:$BF$34,Q46+1))*V46</f>
        <v>1.198094324298286059E-07</v>
      </c>
      <c r="AN46" s="30" t="n">
        <v>7</v>
      </c>
      <c r="AO46" s="81">
        <f>((($W$39)^Q46)*((1-($W$39))^($U$33-Q46))*HLOOKUP($U$33,$AV$24:$BF$34,Q46+1))*V47</f>
        <v>4.749660113441200055E-07</v>
      </c>
      <c r="AP46" s="30" t="n">
        <v>7</v>
      </c>
      <c r="AQ46" s="81">
        <f>((($W$39)^Q46)*((1-($W$39))^($U$34-Q46))*HLOOKUP($U$34,$AV$24:$BF$34,Q46+1))*V48</f>
        <v>6.314027520027605131E-07</v>
      </c>
      <c r="AR46" s="30" t="n">
        <v>7</v>
      </c>
      <c r="AS46" s="81">
        <f>((($W$39)^Q46)*((1-($W$39))^($U$35-Q46))*HLOOKUP($U$35,$AV$24:$BF$34,Q46+1))*V49</f>
        <v>2.891407256360084956E-07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>
        <f>$H$30*H47</f>
        <v>1.269272165474617179E-08</v>
      </c>
      <c r="BP46">
        <f>BP38+1</f>
        <v>9</v>
      </c>
      <c r="BQ46" t="n">
        <v>7</v>
      </c>
      <c r="BR46" s="109">
        <f>$H$34*H46</f>
        <v>1.197486609689240968E-11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>
        <f>J47*L39+J46*L40+J45*L41+J44*L42</f>
        <v>2.750150060522392799E-06</v>
      </c>
      <c r="I47" s="95" t="n">
        <v>8</v>
      </c>
      <c r="J47" s="88">
        <f>Y47+AA47+AC47+AE47+AG47+AI47+AK47+AM47+AO47+AQ47+AS47</f>
        <v>4.767998343543223402E-08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>
        <f>P44*N42+P43*N43+P42*N44</f>
        <v>0.121863968566261005</v>
      </c>
      <c r="S47" s="74" t="n">
        <v>8</v>
      </c>
      <c r="T47" s="135">
        <f>(($C$33)^S47)*((1-($C$33))^(INT($B$23*2*(1-$B$31))-S47))*HLOOKUP(INT($B$23*2*(1-$B$31)),$AV$24:$BF$34,S47+1)</f>
        <v>0</v>
      </c>
      <c r="U47" s="95" t="n">
        <v>8</v>
      </c>
      <c r="V47" s="88">
        <f>T47*R39+T46*R40+T45*R41+T44*R42+T43*R43+T42*R44+T41*R45+T40*R46+T39*R47</f>
        <v>0.122802009643282006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>
        <f>((($W$39)^Q47)*((1-($W$39))^($U$33-Q47))*HLOOKUP($U$33,$AV$24:$BF$34,Q47+1))*V47</f>
        <v>8.692778437428979059E-09</v>
      </c>
      <c r="AP47" s="30" t="n">
        <v>8</v>
      </c>
      <c r="AQ47" s="81">
        <f>((($W$39)^Q47)*((1-($W$39))^($U$34-Q47))*HLOOKUP($U$34,$AV$24:$BF$34,Q47+1))*V48</f>
        <v>2.311173472138289203E-08</v>
      </c>
      <c r="AR47" s="30" t="n">
        <v>8</v>
      </c>
      <c r="AS47" s="81">
        <f>((($W$39)^Q47)*((1-($W$39))^($U$35-Q47))*HLOOKUP($U$35,$AV$24:$BF$34,Q47+1))*V49</f>
        <v>1.587547027662036293E-08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>
        <f>$H$30*H48</f>
        <v>7.044929410336266754E-10</v>
      </c>
      <c r="BP47">
        <f>BL12+1</f>
        <v>9</v>
      </c>
      <c r="BQ47" t="n">
        <v>8</v>
      </c>
      <c r="BR47" s="109">
        <f>$H$34*H47</f>
        <v>8.939673116291455638E-13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>
        <f>J48*L39+J47*L40+J46*L41+J45*L42</f>
        <v>1.526434879076352087E-07</v>
      </c>
      <c r="I48" s="95" t="n">
        <v>9</v>
      </c>
      <c r="J48" s="88">
        <f>Y48+AA48+AC48+AE48+AG48+AI48+AK48+AM48+AO48+AQ48+AS48</f>
        <v>8.925253021739338087E-10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>
        <f>P44*N43+P43*N44</f>
        <v>0.0407778500318720027</v>
      </c>
      <c r="S48" s="74" t="n">
        <v>9</v>
      </c>
      <c r="T48" s="135">
        <f>(($C$33)^S48)*((1-($C$33))^(INT($B$23*2*(1-$B$31))-S48))*HLOOKUP(INT($B$23*2*(1-$B$31)),$AV$24:$BF$34,S48+1)</f>
        <v>0</v>
      </c>
      <c r="U48" s="95" t="n">
        <v>9</v>
      </c>
      <c r="V48" s="88">
        <f>T48*R39+T47*R40+T46*R41+T45*R42+T44*R43+T43*R44+T42*R45+T41*R46+T40*R47+T39*R48</f>
        <v>0.0415890328512399954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>
        <f>((($W$39)^Q48)*((1-($W$39))^($U$34-Q48))*HLOOKUP($U$34,$AV$24:$BF$34,Q48+1))*V48</f>
        <v>3.759898312051018867E-10</v>
      </c>
      <c r="AR48" s="30" t="n">
        <v>9</v>
      </c>
      <c r="AS48" s="81">
        <f>((($W$39)^Q48)*((1-($W$39))^($U$35-Q48))*HLOOKUP($U$35,$AV$24:$BF$34,Q48+1))*V49</f>
        <v>5.165354709688320254E-10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>
        <f>$H$30*H49</f>
        <v>2.819048744395069602E-11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>
        <f>J49*L39+J48*L40+J47*L41+J46*L42</f>
        <v>6.10807302475957056E-09</v>
      </c>
      <c r="I49" s="96" t="n">
        <v>10</v>
      </c>
      <c r="J49" s="91">
        <f>Y49+AA49+AC49+AE49+AG49+AI49+AK49+AM49+AO49+AQ49+AS49</f>
        <v>7.56286268400273801E-12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>
        <f>P44*N44</f>
        <v>0.00614024705377099966</v>
      </c>
      <c r="S49" s="74" t="n">
        <v>10</v>
      </c>
      <c r="T49" s="135">
        <f>(($C$33)^S49)*((1-($C$33))^(INT($B$23*2*(1-$B$31))-S49))*HLOOKUP(INT($B$23*2*(1-$B$31)),$AV$24:$BF$34,S49+1)</f>
        <v>0</v>
      </c>
      <c r="U49" s="96" t="n">
        <v>10</v>
      </c>
      <c r="V49" s="91">
        <f>IF(((T49*R39+T48*R40+T47*R41+T46*R42+T45*R43+T44*R44+T43*R45+T42*R46+T41*R47+T40*R48+T39*R49)+V37)&lt;&gt;1,1-V37,(T49*R39+T48*R40+T47*R41+T46*R42+T45*R43+T44*R44+T43*R45+T42*R46+T41*R47+T40*R48+T39*R49))</f>
        <v>0.00655005270705400022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>
        <f>((($W$39)^Q49)*((1-($W$39))^($U$35-Q49))*HLOOKUP($U$35,$AV$24:$BF$34,Q49+1))*V49</f>
        <v>7.56286268400273801E-12</v>
      </c>
      <c r="BH49">
        <f>BP14+1</f>
        <v>6</v>
      </c>
      <c r="BI49" t="n">
        <v>0</v>
      </c>
      <c r="BJ49" s="109">
        <f>$H$31*H39</f>
        <v>0.000211138386136000022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>
        <f>$H$31*H46</f>
        <v>2.386377006594463237E-08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>
        <f>$H$31*H47</f>
        <v>1.781517237735528114E-09</v>
      </c>
    </row>
    <row r="52" spans="8:62">
      <c r="H52" s="109"/>
      <c r="BH52">
        <f>BH47+1</f>
        <v>6</v>
      </c>
      <c r="BI52" t="n">
        <v>9</v>
      </c>
      <c r="BJ52" s="109">
        <f>$H$31*H48</f>
        <v>9.888078793921235918E-11</v>
      </c>
    </row>
    <row r="53" spans="60:62">
      <c r="BH53">
        <f>BH48+1</f>
        <v>6</v>
      </c>
      <c r="BI53" t="n">
        <v>10</v>
      </c>
      <c r="BJ53" s="109">
        <f>$H$31*H49</f>
        <v>3.95674313891424232E-12</v>
      </c>
    </row>
    <row r="54" spans="60:62">
      <c r="BH54">
        <f>BH51+1</f>
        <v>7</v>
      </c>
      <c r="BI54" t="n">
        <v>8</v>
      </c>
      <c r="BJ54" s="109">
        <f>$H$32*H47</f>
        <v>1.879784805047754737E-10</v>
      </c>
    </row>
    <row r="55" spans="60:62">
      <c r="BH55">
        <f>BH52+1</f>
        <v>7</v>
      </c>
      <c r="BI55" t="n">
        <v>9</v>
      </c>
      <c r="BJ55" s="109">
        <f>$H$32*H48</f>
        <v>1.043350009430973973E-11</v>
      </c>
    </row>
    <row r="56" spans="60:62">
      <c r="BH56">
        <f>BH53+1</f>
        <v>7</v>
      </c>
      <c r="BI56" t="n">
        <v>10</v>
      </c>
      <c r="BJ56" s="109">
        <f>$H$32*H49</f>
        <v>4.174995039319465996E-13</v>
      </c>
    </row>
    <row r="57" spans="60:62">
      <c r="BH57">
        <f>BH55+1</f>
        <v>8</v>
      </c>
      <c r="BI57" t="n">
        <v>9</v>
      </c>
      <c r="BJ57" s="109">
        <f>$H$33*H48</f>
        <v>8.309889861196387151E-13</v>
      </c>
    </row>
    <row r="58" spans="60:62">
      <c r="BH58">
        <f>BH56+1</f>
        <v>8</v>
      </c>
      <c r="BI58" t="n">
        <v>10</v>
      </c>
      <c r="BJ58" s="109">
        <f>$H$33*H49</f>
        <v>3.325226303175809479E-14</v>
      </c>
    </row>
    <row r="59" spans="60:62">
      <c r="BH59">
        <f>BH58+1</f>
        <v>9</v>
      </c>
      <c r="BI59" t="n">
        <v>10</v>
      </c>
      <c r="BJ59" s="109">
        <f>$H$34*H49</f>
        <v>1.985498064109856821E-15</v>
      </c>
    </row>
  </sheetData>
  <mergeCells count="2">
    <mergeCell ref="P1:Q1"/>
    <mergeCell ref="B3:C3"/>
  </mergeCells>
  <conditionalFormatting sqref="H49">
    <cfRule type="cellIs" dxfId="0" priority="1" operator="greaterThan">
      <formula>0.15</formula>
    </cfRule>
  </conditionalFormatting>
  <conditionalFormatting sqref="H39:H49">
    <cfRule type="cellIs" dxfId="1" priority="2" operator="greaterThan">
      <formula>0.15</formula>
    </cfRule>
  </conditionalFormatting>
  <conditionalFormatting sqref="H49">
    <cfRule type="cellIs" dxfId="2" priority="3" operator="greaterThan">
      <formula>0.15</formula>
    </cfRule>
  </conditionalFormatting>
  <conditionalFormatting sqref="H39:H49">
    <cfRule type="cellIs" dxfId="3" priority="4" operator="greaterThan">
      <formula>0.15</formula>
    </cfRule>
  </conditionalFormatting>
  <conditionalFormatting sqref="H35">
    <cfRule type="cellIs" dxfId="4" priority="5" operator="greaterThan">
      <formula>0.15</formula>
    </cfRule>
  </conditionalFormatting>
  <conditionalFormatting sqref="H25:H35">
    <cfRule type="cellIs" dxfId="5" priority="6" operator="greaterThan">
      <formula>0.15</formula>
    </cfRule>
  </conditionalFormatting>
  <conditionalFormatting sqref="H35">
    <cfRule type="cellIs" dxfId="6" priority="7" operator="greaterThan">
      <formula>0.15</formula>
    </cfRule>
  </conditionalFormatting>
  <conditionalFormatting sqref="H25:H35">
    <cfRule type="cellIs" dxfId="7" priority="8" operator="greaterThan">
      <formula>0.15</formula>
    </cfRule>
  </conditionalFormatting>
  <conditionalFormatting sqref="V49">
    <cfRule type="cellIs" dxfId="8" priority="9" operator="greaterThan">
      <formula>0.15</formula>
    </cfRule>
  </conditionalFormatting>
  <conditionalFormatting sqref="V35">
    <cfRule type="cellIs" dxfId="9" priority="10" operator="greaterThan">
      <formula>0.15</formula>
    </cfRule>
  </conditionalFormatting>
  <conditionalFormatting sqref="V25:V35 V39:V49">
    <cfRule type="cellIs" dxfId="10" priority="11" operator="greaterThan">
      <formula>0.15</formula>
    </cfRule>
  </conditionalFormatting>
  <conditionalFormatting sqref="V49">
    <cfRule type="cellIs" dxfId="11" priority="12" operator="greaterThan">
      <formula>0.15</formula>
    </cfRule>
  </conditionalFormatting>
  <conditionalFormatting sqref="V35">
    <cfRule type="cellIs" dxfId="12" priority="13" operator="greaterThan">
      <formula>0.15</formula>
    </cfRule>
  </conditionalFormatting>
  <conditionalFormatting sqref="V25:V35 V39:V49">
    <cfRule type="cellIs" dxfId="13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E26B0A"/>
  </sheetPr>
  <dimension ref="A1:BR59"/>
  <sheetViews>
    <sheetView view="normal" zoomScale="80" workbookViewId="0">
      <selection activeCell="G13" sqref="G13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5">
      <c r="A1" s="155" t="s">
        <v>146</v>
      </c>
      <c r="B1" t="s">
        <v>1</v>
      </c>
      <c r="F1" s="196" t="s">
        <v>2</v>
      </c>
      <c r="G1" s="194">
        <f>IF(D3="SI",COUNTIF($F$6:$F$18,"RAP"),0)</f>
        <v>2</v>
      </c>
      <c r="H1" s="15"/>
      <c r="J1" s="197" t="s">
        <v>2</v>
      </c>
      <c r="K1" s="194">
        <f>IF(D3="SI",COUNTIF($J$6:$J$18,"RAP"),0)</f>
        <v>1</v>
      </c>
      <c r="L1" s="15"/>
      <c r="P1" s="155"/>
      <c r="Q1" s="155"/>
      <c r="R1" s="153"/>
      <c r="S1" s="153"/>
      <c r="U1" t="n">
        <v>1.5</v>
      </c>
      <c r="V1" t="n">
        <v>2.5</v>
      </c>
      <c r="W1" t="n">
        <v>3.5</v>
      </c>
      <c r="AI1" s="158"/>
    </row>
    <row r="2" spans="1:35">
      <c r="A2" s="155" t="s">
        <v>147</v>
      </c>
      <c r="B2" t="s">
        <v>4</v>
      </c>
      <c r="F2" s="196" t="s">
        <v>5</v>
      </c>
      <c r="G2" s="194">
        <f>IF(D3="SI",COUNTIF($F$6:$F$18,"TEC"),0)</f>
        <v>0</v>
      </c>
      <c r="H2" s="15"/>
      <c r="J2" s="197" t="s">
        <v>5</v>
      </c>
      <c r="K2" s="194">
        <f>IF(D3="SI",COUNTIF($J$6:$J$18,"TEC"),0)</f>
        <v>0</v>
      </c>
      <c r="L2" s="15"/>
      <c r="M2" s="160"/>
      <c r="O2" t="s">
        <v>6</v>
      </c>
      <c r="P2" s="203" t="n">
        <v>0.45</v>
      </c>
      <c r="R2" s="153"/>
      <c r="S2" s="153"/>
      <c r="Y2" t="s">
        <v>6</v>
      </c>
      <c r="Z2" s="204" t="n">
        <v>0.45</v>
      </c>
      <c r="AI2" s="15"/>
    </row>
    <row r="3" spans="1:40">
      <c r="A3" s="159" t="s">
        <v>7</v>
      </c>
      <c r="B3" s="206" t="s">
        <v>8</v>
      </c>
      <c r="C3" s="206"/>
      <c r="D3" t="str">
        <f>IF(B3="Sol","SI",IF(B3="Lluvia","SI","NO"))</f>
        <v>SI</v>
      </c>
      <c r="F3" s="196" t="s">
        <v>9</v>
      </c>
      <c r="G3" s="194">
        <f>IF(D3="SI",COUNTIF($F$6:$F$18,"POT"),0)</f>
        <v>1</v>
      </c>
      <c r="H3" s="15"/>
      <c r="J3" s="197" t="s">
        <v>9</v>
      </c>
      <c r="K3" s="194">
        <f>IF(D3="SI",COUNTIF($J$6:$J$18,"POT"),0)</f>
        <v>1</v>
      </c>
      <c r="L3" s="15"/>
      <c r="O3" t="s">
        <v>10</v>
      </c>
      <c r="P3" s="203" t="n">
        <v>0.569999999999999929</v>
      </c>
      <c r="Q3" t="s">
        <v>11</v>
      </c>
      <c r="R3" s="203" t="n">
        <v>0.7</v>
      </c>
      <c r="Y3" t="s">
        <v>10</v>
      </c>
      <c r="Z3" s="204" t="n">
        <v>0.569999999999999929</v>
      </c>
      <c r="AA3" t="s">
        <v>11</v>
      </c>
      <c r="AB3" s="204" t="n">
        <v>0.7</v>
      </c>
      <c r="AI3" s="199">
        <f>SUM(AI5:AI19)</f>
        <v>3.68369999999999997</v>
      </c>
      <c r="AM3" s="199">
        <f>SUM(AM5:AM19)</f>
        <v>3.68369999999999997</v>
      </c>
      <c r="AN3" s="199">
        <f>SUM(AN5:AN19)</f>
        <v>3.07500000000000018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G4" s="10" t="s">
        <v>28</v>
      </c>
      <c r="AH4" s="10" t="s">
        <v>29</v>
      </c>
      <c r="AI4" s="155" t="s">
        <v>30</v>
      </c>
      <c r="AK4" s="11" t="s">
        <v>28</v>
      </c>
      <c r="AL4" s="11" t="s">
        <v>29</v>
      </c>
      <c r="AM4" s="15" t="s">
        <v>31</v>
      </c>
      <c r="AO4" t="s">
        <v>32</v>
      </c>
      <c r="BH4" t="n">
        <v>0</v>
      </c>
      <c r="BI4" t="n">
        <v>1</v>
      </c>
      <c r="BJ4" s="109">
        <f>$H$25*H40</f>
        <v>0.0106951194860130006</v>
      </c>
      <c r="BL4" t="n">
        <v>0</v>
      </c>
      <c r="BM4" t="n">
        <v>0</v>
      </c>
      <c r="BN4" s="109">
        <f>H25*H39</f>
        <v>0.00289809534487900056</v>
      </c>
      <c r="BP4" t="n">
        <v>1</v>
      </c>
      <c r="BQ4" t="n">
        <v>0</v>
      </c>
      <c r="BR4" s="109">
        <f>$H$26*H39</f>
        <v>0.00856634421487400033</v>
      </c>
    </row>
    <row r="5" spans="1:70">
      <c r="A5" s="42" t="s">
        <v>33</v>
      </c>
      <c r="B5" s="156" t="n">
        <v>352</v>
      </c>
      <c r="C5" s="156" t="n">
        <v>352</v>
      </c>
      <c r="E5" s="189" t="s">
        <v>34</v>
      </c>
      <c r="F5" s="164" t="s">
        <v>35</v>
      </c>
      <c r="G5" s="164" t="n">
        <v>13</v>
      </c>
      <c r="H5" s="12"/>
      <c r="I5" s="12"/>
      <c r="J5" s="163" t="s">
        <v>35</v>
      </c>
      <c r="K5" s="163" t="n">
        <v>12</v>
      </c>
      <c r="L5" s="12"/>
      <c r="M5" s="12"/>
      <c r="O5" s="69">
        <f>AG5*AI5*AO5*AH5</f>
        <v>0.188916907317073992</v>
      </c>
      <c r="P5" s="201">
        <f>P3</f>
        <v>0.569999999999999929</v>
      </c>
      <c r="Q5" s="205">
        <f>P5*O5</f>
        <v>0.107682637170731987</v>
      </c>
      <c r="R5" s="157">
        <f>IF($B$17="JC",IF($C$17="JC",$W$1,$V$1*1.1),IF($C$17="JC",$V$1/0.9,$U$1))*Q5/1.5</f>
        <v>0.107682637170731987</v>
      </c>
      <c r="S5" s="173">
        <f>(1-R5)</f>
        <v>0.892317362829268035</v>
      </c>
      <c r="T5" s="174">
        <f>R5*PRODUCT(S6:S19)</f>
        <v>0.0793243035175820044</v>
      </c>
      <c r="U5" s="174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0.0248063240450249989</v>
      </c>
      <c r="V5" s="20"/>
      <c r="W5" s="183" t="s">
        <v>36</v>
      </c>
      <c r="X5" s="17" t="s">
        <v>37</v>
      </c>
      <c r="Y5" s="71">
        <f>AK5*AI5*AL5*AO5</f>
        <v>0</v>
      </c>
      <c r="Z5" s="71">
        <f>Z3</f>
        <v>0.569999999999999929</v>
      </c>
      <c r="AA5" s="71">
        <f>Z5*Y5</f>
        <v>0</v>
      </c>
      <c r="AB5" s="157">
        <f>IF($B$17="JC",IF($C$17="JC",$W$1,$V$1/0.9),IF($C$17="JC",$V$1*1.1,$U$1))*AA5/1.5</f>
        <v>0</v>
      </c>
      <c r="AC5" s="173">
        <f>(1-AB5)</f>
        <v>1</v>
      </c>
      <c r="AD5" s="174">
        <f>AB5*PRODUCT(AC6:AC19)</f>
        <v>0</v>
      </c>
      <c r="AE5" s="174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20"/>
      <c r="AG5" s="195">
        <f>IF(COUNTIF(F5:F10,"IMP")+COUNTIF(J5:J10,"IMP")=0,0,COUNTIF(F5:F10,"IMP")/(COUNTIF(F5:F10,"IMP")+COUNTIF(J5:J10,"IMP")))</f>
        <v>1</v>
      </c>
      <c r="AH5">
        <f>COUNTIF(F5:F10,"IMP")</f>
        <v>2</v>
      </c>
      <c r="AI5" s="198">
        <f>AN5*$AM$3/$AN$3</f>
        <v>0.566750721951220005</v>
      </c>
      <c r="AK5" s="195">
        <f>IF(COUNTIF(F5:F10,"IMP")+COUNTIF(J5:J10,"IMP")=0,0,COUNTIF(J5:J10,"IMP")/(COUNTIF(F5:F10,"IMP")+COUNTIF(J5:J10,"IMP")))</f>
        <v>0</v>
      </c>
      <c r="AL5">
        <f>COUNTIF(J5:J10,"IMP")</f>
        <v>0</v>
      </c>
      <c r="AM5" s="199" t="n">
        <v>0.473099999999999987</v>
      </c>
      <c r="AN5" s="200">
        <f>IF(AG5=0,IF(AK5=0,0,AM5),AM5)</f>
        <v>0.473099999999999987</v>
      </c>
      <c r="AO5">
        <f>1/6</f>
        <v>0.16666666666666698</v>
      </c>
      <c r="BH5" t="n">
        <v>0</v>
      </c>
      <c r="BI5" t="n">
        <v>2</v>
      </c>
      <c r="BJ5" s="109">
        <f>$H$25*H41</f>
        <v>0.0180609098172680014</v>
      </c>
      <c r="BL5" t="n">
        <v>1</v>
      </c>
      <c r="BM5" t="n">
        <v>1</v>
      </c>
      <c r="BN5" s="109">
        <f>$H$26*H40</f>
        <v>0.0316132024773689935</v>
      </c>
      <c r="BP5">
        <f>BP4+1</f>
        <v>2</v>
      </c>
      <c r="BQ5" t="n">
        <v>0</v>
      </c>
      <c r="BR5" s="109">
        <f>$H$27*H39</f>
        <v>0.0115173744939889988</v>
      </c>
    </row>
    <row r="6" spans="1:70">
      <c r="A6" s="4" t="s">
        <v>38</v>
      </c>
      <c r="B6" s="165" t="n">
        <v>3</v>
      </c>
      <c r="C6" s="166" t="n">
        <v>9.5</v>
      </c>
      <c r="E6" s="189" t="s">
        <v>39</v>
      </c>
      <c r="F6" s="164" t="s">
        <v>40</v>
      </c>
      <c r="G6" s="164"/>
      <c r="H6" s="12"/>
      <c r="I6" s="12"/>
      <c r="J6" s="163"/>
      <c r="K6" s="163"/>
      <c r="L6" s="12"/>
      <c r="M6" s="12"/>
      <c r="O6" s="69">
        <f>AG6*AI6*AO6*AH6</f>
        <v>0.062188642682927</v>
      </c>
      <c r="P6" s="201">
        <f>P3</f>
        <v>0.569999999999999929</v>
      </c>
      <c r="Q6" s="205">
        <f>P6*O6</f>
        <v>0.0354475263292680021</v>
      </c>
      <c r="R6" s="157">
        <f>IF($B$17="JC",IF($C$17="JC",$W$1,$V$1*1.1),IF($C$17="JC",$V$1/0.9,$U$1))*Q6/1.5</f>
        <v>0.0354475263292680021</v>
      </c>
      <c r="S6" s="173">
        <f>(1-R6)</f>
        <v>0.964552473670732091</v>
      </c>
      <c r="T6" s="174">
        <f>R6*S5*PRODUCT(S7:S19)</f>
        <v>0.024156833328067</v>
      </c>
      <c r="U6" s="174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0.00666656419148899992</v>
      </c>
      <c r="V6" s="20"/>
      <c r="W6" s="183" t="s">
        <v>41</v>
      </c>
      <c r="X6" s="17" t="s">
        <v>42</v>
      </c>
      <c r="Y6" s="71">
        <f>AK6*AI6*AL6*AO6</f>
        <v>0</v>
      </c>
      <c r="Z6" s="71">
        <f>Z3</f>
        <v>0.569999999999999929</v>
      </c>
      <c r="AA6" s="71">
        <f>Z6*Y6</f>
        <v>0</v>
      </c>
      <c r="AB6" s="157">
        <f>IF($B$17="JC",IF($C$17="JC",$W$1,$V$1/0.9),IF($C$17="JC",$V$1*1.1,$U$1))*AA6/1.5</f>
        <v>0</v>
      </c>
      <c r="AC6" s="173">
        <f>(1-AB6)</f>
        <v>1</v>
      </c>
      <c r="AD6" s="174">
        <f>AB6*AC5*PRODUCT(AC7:AC19)</f>
        <v>0</v>
      </c>
      <c r="AE6" s="174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</v>
      </c>
      <c r="AF6" s="20"/>
      <c r="AG6" s="195">
        <f>IF(COUNTIF(F11:F18,"IMP")+COUNTIF(J11:J18,"IMP")=0,0,COUNTIF(F11:F18,"IMP")/(COUNTIF(F11:F18,"IMP")+COUNTIF(J11:J18,"IMP")))</f>
        <v>1</v>
      </c>
      <c r="AH6">
        <f>COUNTIF(F11:F18,"IMP")</f>
        <v>1</v>
      </c>
      <c r="AI6" s="198">
        <f>AN6*$AM$3/$AN$3</f>
        <v>0.497509141463415006</v>
      </c>
      <c r="AK6" s="195">
        <f>IF(COUNTIF(F11:F18,"IMP")+COUNTIF(J11:J18,"IMP")=0,0,COUNTIF(J11:J18,"IMP")/(COUNTIF(F11:F18,"IMP")+COUNTIF(J11:J18,"IMP")))</f>
        <v>0</v>
      </c>
      <c r="AL6">
        <f>COUNTIF(J11:J18,"IMP")</f>
        <v>0</v>
      </c>
      <c r="AM6" s="199" t="n">
        <v>0.415300000000000047</v>
      </c>
      <c r="AN6" s="200">
        <f>IF(AG6=0,IF(AK6=0,0,AM6),AM6)</f>
        <v>0.415300000000000047</v>
      </c>
      <c r="AO6">
        <f>1/8</f>
        <v>0.125</v>
      </c>
      <c r="BH6" t="n">
        <v>0</v>
      </c>
      <c r="BI6" t="n">
        <v>3</v>
      </c>
      <c r="BJ6" s="109">
        <f>$H$25*H42</f>
        <v>0.0184688739652069991</v>
      </c>
      <c r="BL6">
        <f>BH14+1</f>
        <v>2</v>
      </c>
      <c r="BM6" t="n">
        <v>2</v>
      </c>
      <c r="BN6" s="109">
        <f>$H$27*H41</f>
        <v>0.0717761968857209975</v>
      </c>
      <c r="BP6">
        <f>BL5+1</f>
        <v>2</v>
      </c>
      <c r="BQ6" t="n">
        <v>1</v>
      </c>
      <c r="BR6" s="109">
        <f>$H$27*H40</f>
        <v>0.0425036728332710023</v>
      </c>
    </row>
    <row r="7" spans="1:70">
      <c r="A7" s="7" t="s">
        <v>43</v>
      </c>
      <c r="B7" s="165" t="n">
        <v>16</v>
      </c>
      <c r="C7" s="166" t="n">
        <v>5</v>
      </c>
      <c r="E7" s="189" t="s">
        <v>44</v>
      </c>
      <c r="F7" s="164" t="s">
        <v>35</v>
      </c>
      <c r="G7" s="164"/>
      <c r="H7" s="12"/>
      <c r="I7" s="12"/>
      <c r="J7" s="163" t="s">
        <v>148</v>
      </c>
      <c r="K7" s="163"/>
      <c r="L7" s="12"/>
      <c r="M7" s="12"/>
      <c r="O7" s="69">
        <f>AG7*AI7*AO7*AH7</f>
        <v>0</v>
      </c>
      <c r="P7" s="201">
        <f>P2</f>
        <v>0.45</v>
      </c>
      <c r="Q7" s="205">
        <f>P7*O7</f>
        <v>0</v>
      </c>
      <c r="R7" s="157">
        <f>IF($B$17="JC",IF($C$17="JC",$W$1,$V$1*1.1),IF($C$17="JC",$V$1/0.9,$U$1))*Q7/1.5</f>
        <v>0</v>
      </c>
      <c r="S7" s="173">
        <f>(1-R7)</f>
        <v>1</v>
      </c>
      <c r="T7" s="174">
        <f>R7*PRODUCT(S5:S6)*PRODUCT(S8:S19)</f>
        <v>0</v>
      </c>
      <c r="U7" s="174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4" t="s">
        <v>45</v>
      </c>
      <c r="X7" s="17" t="s">
        <v>46</v>
      </c>
      <c r="Y7" s="71">
        <f>AK7*AI7*AL7*AO7</f>
        <v>0.00467200975609800029</v>
      </c>
      <c r="Z7" s="71">
        <f>Z2</f>
        <v>0.45</v>
      </c>
      <c r="AA7" s="71">
        <f>Z7*Y7</f>
        <v>0.00210240439024399972</v>
      </c>
      <c r="AB7" s="157">
        <f>IF($B$17="JC",IF($C$17="JC",$W$1,$V$1/0.9),IF($C$17="JC",$V$1*1.1,$U$1))*AA7/1.5</f>
        <v>0.00210240439024399972</v>
      </c>
      <c r="AC7" s="173">
        <f>(1-AB7)</f>
        <v>0.997897595609756038</v>
      </c>
      <c r="AD7" s="174">
        <f>AB7*PRODUCT(AC5:AC6)*PRODUCT(AC8:AC19)</f>
        <v>0.00153218911547500003</v>
      </c>
      <c r="AE7" s="174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0.000503597253707000014</v>
      </c>
      <c r="AG7" s="195">
        <f>IF(COUNTIF(F14:F18,"IMP")+COUNTIF(J14:J18,"IMP")=0,0,COUNTIF(J14:J18,"IMP")/(COUNTIF(F14:F18,"IMP")+COUNTIF(J14:J18,"IMP")))</f>
        <v>0</v>
      </c>
      <c r="AH7">
        <f>COUNTIF(J14:J18,"IMP")</f>
        <v>0</v>
      </c>
      <c r="AI7" s="198">
        <f>AN7*$AM$3/$AN$3</f>
        <v>0.00467200975609800029</v>
      </c>
      <c r="AK7" s="195">
        <f>IF(COUNTIF(F14:F18,"IMP")+COUNTIF(J14:J18,"IMP")=0,0,COUNTIF(F14:F18,"IMP")/(COUNTIF(F14:F18,"IMP")+COUNTIF(J14:J18,"IMP")))</f>
        <v>1</v>
      </c>
      <c r="AL7">
        <f>COUNTIF(F14:F18,"IMP")</f>
        <v>1</v>
      </c>
      <c r="AM7" s="199" t="n">
        <v>0.00390000000000000036</v>
      </c>
      <c r="AN7" s="200">
        <f>IF(AG7=0,IF(AK7=0,0,AM7),AM7)</f>
        <v>0.00390000000000000036</v>
      </c>
      <c r="AO7" t="n">
        <v>1</v>
      </c>
      <c r="BH7" t="n">
        <v>0</v>
      </c>
      <c r="BI7" t="n">
        <v>4</v>
      </c>
      <c r="BJ7" s="109">
        <f>$H$25*H43</f>
        <v>0.0127534123474880001</v>
      </c>
      <c r="BL7">
        <f>BH23+1</f>
        <v>3</v>
      </c>
      <c r="BM7" t="n">
        <v>3</v>
      </c>
      <c r="BN7" s="109">
        <f>$H$28*H42</f>
        <v>0.0595143383979349938</v>
      </c>
      <c r="BP7">
        <f>BP5+1</f>
        <v>3</v>
      </c>
      <c r="BQ7" t="n">
        <v>0</v>
      </c>
      <c r="BR7" s="109">
        <f>$H$28*H39</f>
        <v>0.00933885993209699983</v>
      </c>
    </row>
    <row r="8" spans="1:70">
      <c r="A8" s="7" t="s">
        <v>47</v>
      </c>
      <c r="B8" s="165" t="n">
        <v>22.5</v>
      </c>
      <c r="C8" s="166" t="n">
        <v>8</v>
      </c>
      <c r="E8" s="189" t="s">
        <v>44</v>
      </c>
      <c r="F8" s="164" t="s">
        <v>35</v>
      </c>
      <c r="G8" s="164"/>
      <c r="H8" s="12"/>
      <c r="I8" s="12"/>
      <c r="J8" s="163"/>
      <c r="K8" s="163"/>
      <c r="L8" s="12"/>
      <c r="M8" s="12"/>
      <c r="O8" s="69">
        <f>AG8*AI8*AO8*AH8</f>
        <v>0.12716712945591</v>
      </c>
      <c r="P8" s="201">
        <f>P2</f>
        <v>0.45</v>
      </c>
      <c r="Q8" s="205">
        <f>P8*O8</f>
        <v>0.0572252082551599983</v>
      </c>
      <c r="R8" s="157">
        <f>IF($B$17="JC",IF($C$17="JC",$W$1,$V$1*1.1),IF($C$17="JC",$V$1/0.9,$U$1))*Q8/1.5</f>
        <v>0.0572252082551599983</v>
      </c>
      <c r="S8" s="173">
        <f>(1-R8)</f>
        <v>0.942774791744840002</v>
      </c>
      <c r="T8" s="174">
        <f>R8*PRODUCT(S5:S7)*PRODUCT(S9:S19)</f>
        <v>0.0398987553888189961</v>
      </c>
      <c r="U8" s="174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0.00858906155790199932</v>
      </c>
      <c r="W8" s="183" t="s">
        <v>48</v>
      </c>
      <c r="X8" s="17" t="s">
        <v>49</v>
      </c>
      <c r="Y8" s="71">
        <f>AK8*AI8*AL8*AO8</f>
        <v>0</v>
      </c>
      <c r="Z8" s="71">
        <f>Z2</f>
        <v>0.45</v>
      </c>
      <c r="AA8" s="71">
        <f>Z8*Y8</f>
        <v>0</v>
      </c>
      <c r="AB8" s="157">
        <f>IF($B$17="JC",IF($C$17="JC",$W$1,$V$1/0.9),IF($C$17="JC",$V$1*1.1,$U$1))*AA8/1.5</f>
        <v>0</v>
      </c>
      <c r="AC8" s="173">
        <f>(1-AB8)</f>
        <v>1</v>
      </c>
      <c r="AD8" s="174">
        <f>AB8*PRODUCT(AC5:AC7)*PRODUCT(AC9:AC19)</f>
        <v>0</v>
      </c>
      <c r="AE8" s="174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</v>
      </c>
      <c r="AG8" s="195">
        <f>IF(COUNTIF(F6:F18,"IMP")+COUNTIF(J6:J18,"IMP")=0,0,COUNTIF(F6:F18,"IMP")/(COUNTIF(F6:F18,"IMP")+COUNTIF(J6:J18,"IMP")))</f>
        <v>1</v>
      </c>
      <c r="AH8">
        <f>COUNTIF(F6:F18,"IMP")</f>
        <v>3</v>
      </c>
      <c r="AI8" s="198">
        <f>AN8*$AM$3/$AN$3</f>
        <v>0.551057560975610006</v>
      </c>
      <c r="AK8" s="195">
        <f>IF(COUNTIF(F6:F18,"IMP")+COUNTIF(J6:J18,"IMP")=0,0,COUNTIF(J6:J18,"IMP")/(COUNTIF(F6:F18,"IMP")+COUNTIF(J6:J18,"IMP")))</f>
        <v>0</v>
      </c>
      <c r="AL8">
        <f>COUNTIF(J6:J18,"IMP")</f>
        <v>0</v>
      </c>
      <c r="AM8" s="199" t="n">
        <v>0.460000000000000053</v>
      </c>
      <c r="AN8" s="200">
        <f>IF(AG8=0,IF(AK8=0,0,AM8),AM8)</f>
        <v>0.460000000000000053</v>
      </c>
      <c r="AO8">
        <f>1/13</f>
        <v>0.0769230769230769962</v>
      </c>
      <c r="BH8" t="n">
        <v>0</v>
      </c>
      <c r="BI8" t="n">
        <v>5</v>
      </c>
      <c r="BJ8" s="109">
        <f>$H$25*H44</f>
        <v>0.00627819272495599989</v>
      </c>
      <c r="BL8">
        <f>BH31+1</f>
        <v>4</v>
      </c>
      <c r="BM8" t="n">
        <v>4</v>
      </c>
      <c r="BN8" s="109">
        <f>$H$29*H43</f>
        <v>0.0224791108230630021</v>
      </c>
      <c r="BP8">
        <f>BP6+1</f>
        <v>3</v>
      </c>
      <c r="BQ8" t="n">
        <v>1</v>
      </c>
      <c r="BR8" s="109">
        <f>$H$28*H40</f>
        <v>0.0344640913948530025</v>
      </c>
    </row>
    <row r="9" spans="1:70">
      <c r="A9" s="7" t="s">
        <v>50</v>
      </c>
      <c r="B9" s="165" t="n">
        <v>14.75</v>
      </c>
      <c r="C9" s="166" t="n">
        <v>8</v>
      </c>
      <c r="E9" s="189" t="s">
        <v>44</v>
      </c>
      <c r="F9" s="164" t="s">
        <v>35</v>
      </c>
      <c r="G9" s="164"/>
      <c r="H9" s="12"/>
      <c r="I9" s="12"/>
      <c r="J9" s="163" t="s">
        <v>35</v>
      </c>
      <c r="K9" s="163"/>
      <c r="L9" s="12"/>
      <c r="M9" s="12"/>
      <c r="O9" s="69">
        <f>AG9*AI9*AO9*AH9</f>
        <v>0</v>
      </c>
      <c r="P9" s="201">
        <f>P2</f>
        <v>0.45</v>
      </c>
      <c r="Q9" s="205">
        <f>P9*O9</f>
        <v>0</v>
      </c>
      <c r="R9" s="157">
        <f>IF($B$17="JC",IF($C$17="JC",$W$1,$V$1*1.1),IF($C$17="JC",$V$1/0.9,$U$1))*Q9/1.5</f>
        <v>0</v>
      </c>
      <c r="S9" s="173">
        <f>(1-R9)</f>
        <v>1</v>
      </c>
      <c r="T9" s="174">
        <f>R9*PRODUCT(S5:S8)*PRODUCT(S10:S19)</f>
        <v>0</v>
      </c>
      <c r="U9" s="174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4" t="s">
        <v>51</v>
      </c>
      <c r="X9" s="17" t="s">
        <v>52</v>
      </c>
      <c r="Y9" s="71">
        <f>AK9*AI9*AL9*AO9</f>
        <v>0.0275528780487799985</v>
      </c>
      <c r="Z9" s="71">
        <f>Z2</f>
        <v>0.45</v>
      </c>
      <c r="AA9" s="71">
        <f>Z9*Y9</f>
        <v>0.0123987951219510006</v>
      </c>
      <c r="AB9" s="157">
        <f>IF($B$17="JC",IF($C$17="JC",$W$1,$V$1/0.9),IF($C$17="JC",$V$1*1.1,$U$1))*AA9/1.5</f>
        <v>0.0123987951219510006</v>
      </c>
      <c r="AC9" s="173">
        <f>(1-AB9)</f>
        <v>0.98760120487804901</v>
      </c>
      <c r="AD9" s="174">
        <f>AB9*PRODUCT(AC5:AC8)*PRODUCT(AC10:AC19)</f>
        <v>0.00913019318707999972</v>
      </c>
      <c r="AE9" s="174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0.0028862714158770002</v>
      </c>
      <c r="AG9" s="195">
        <f>IF(COUNTIF(J6:J13,"IMP")+COUNTIF(F6:F13,"IMP")=0,0,COUNTIF(J6:J13,"IMP")/(COUNTIF(J6:J13,"IMP")+COUNTIF(F6:F13,"IMP")))</f>
        <v>0</v>
      </c>
      <c r="AH9">
        <f>COUNTIF(J6:J13,"IMP")</f>
        <v>0</v>
      </c>
      <c r="AI9" s="198">
        <f>AN9*$AM$3/$AN$3</f>
        <v>0.0137764390243899992</v>
      </c>
      <c r="AK9" s="195">
        <f>IF(COUNTIF(J6:J13,"IMP")+COUNTIF(F6:F13,"IMP")=0,0,COUNTIF(F6:F13,"IMP")/(COUNTIF(J6:J13,"IMP")+COUNTIF(F6:F13,"IMP")))</f>
        <v>1</v>
      </c>
      <c r="AL9">
        <f>COUNTIF(F6:F13,"IMP")</f>
        <v>2</v>
      </c>
      <c r="AM9" s="199" t="n">
        <v>0.0114999999999999991</v>
      </c>
      <c r="AN9" s="200">
        <f>IF(AG9=0,IF(AK9=0,0,AM9),AM9)</f>
        <v>0.0114999999999999991</v>
      </c>
      <c r="AO9" t="n">
        <v>1</v>
      </c>
      <c r="BH9" t="n">
        <v>0</v>
      </c>
      <c r="BI9" t="n">
        <v>6</v>
      </c>
      <c r="BJ9" s="109">
        <f>$H$25*H45</f>
        <v>0.0022669108265800002</v>
      </c>
      <c r="BL9">
        <f>BH38+1</f>
        <v>5</v>
      </c>
      <c r="BM9" t="n">
        <v>5</v>
      </c>
      <c r="BN9" s="109">
        <f>$H$30*H44</f>
        <v>0.0043289328893169996</v>
      </c>
      <c r="BP9">
        <f>BL6+1</f>
        <v>3</v>
      </c>
      <c r="BQ9" t="n">
        <v>2</v>
      </c>
      <c r="BR9" s="109">
        <f>$H$28*H41</f>
        <v>0.0581997094497689993</v>
      </c>
    </row>
    <row r="10" spans="1:70">
      <c r="A10" s="8" t="s">
        <v>53</v>
      </c>
      <c r="B10" s="165" t="n">
        <v>8.75</v>
      </c>
      <c r="C10" s="166" t="n">
        <v>7</v>
      </c>
      <c r="E10" s="189" t="s">
        <v>39</v>
      </c>
      <c r="F10" s="164" t="s">
        <v>40</v>
      </c>
      <c r="G10" s="164"/>
      <c r="H10" s="12"/>
      <c r="I10" s="12"/>
      <c r="J10" s="163"/>
      <c r="K10" s="163"/>
      <c r="L10" s="12"/>
      <c r="M10" s="12"/>
      <c r="O10" s="69">
        <f>AG10*AI10*AO10*AH10</f>
        <v>0.0998292682926840058</v>
      </c>
      <c r="P10" s="201">
        <f>P3</f>
        <v>0.569999999999999929</v>
      </c>
      <c r="Q10" s="205">
        <f>P10*O10</f>
        <v>0.0569026829268299927</v>
      </c>
      <c r="R10" s="157">
        <f>IF($B$17="JC",IF($C$17="JC",$W$1,$V$1*1.1),IF($C$17="JC",$V$1/0.9,$U$1))*Q10/1.5</f>
        <v>0.0569026829268299927</v>
      </c>
      <c r="S10" s="173">
        <f>(1-R10)</f>
        <v>0.943097317073170061</v>
      </c>
      <c r="T10" s="174">
        <f>R10*PRODUCT(S5:S9)*PRODUCT(S11:S19)</f>
        <v>0.0396603152954529961</v>
      </c>
      <c r="U10" s="174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0.00614478898516800065</v>
      </c>
      <c r="W10" s="183" t="s">
        <v>54</v>
      </c>
      <c r="X10" s="17" t="s">
        <v>55</v>
      </c>
      <c r="Y10" s="71">
        <f>AK10*AI10*AL10*AO10</f>
        <v>0.0249573170731710015</v>
      </c>
      <c r="Z10" s="71">
        <f>Z3</f>
        <v>0.569999999999999929</v>
      </c>
      <c r="AA10" s="71">
        <f>Z10*Y10</f>
        <v>0.0142256707317069981</v>
      </c>
      <c r="AB10" s="157">
        <f>IF($B$17="JC",IF($C$17="JC",$W$1,$V$1/0.9),IF($C$17="JC",$V$1*1.1,$U$1))*AA10/1.5</f>
        <v>0.0142256707317069981</v>
      </c>
      <c r="AC10" s="173">
        <f>(1-AB10)</f>
        <v>0.985774329268292959</v>
      </c>
      <c r="AD10" s="174">
        <f>AB10*PRODUCT(AC5:AC9)*PRODUCT(AC11:AC19)</f>
        <v>0.0104948767365639983</v>
      </c>
      <c r="AE10" s="174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0.00316622921785300004</v>
      </c>
      <c r="AG10" s="195">
        <f>IF(COUNTIF(F11:F18,"RAP")+COUNTIF(J11:J18,"RAP")=0,0,COUNTIF(F11:F18,"RAP")/(COUNTIF(F11:F18,"RAP")+COUNTIF(J11:J18,"RAP")))</f>
        <v>0.666666666666666963</v>
      </c>
      <c r="AH10">
        <f>COUNTIF(F11:F18,"RAP")</f>
        <v>2</v>
      </c>
      <c r="AI10" s="198">
        <f>AN10*$AM$3/$AN$3</f>
        <v>0.59897560975609796</v>
      </c>
      <c r="AK10" s="195">
        <f>IF(COUNTIF(F11:F18,"RAP")+COUNTIF(J11:J18,"RAP")=0,0,COUNTIF(J11:J18,"RAP")/(COUNTIF(F11:F18,"RAP")+COUNTIF(J11:J18,"RAP")))</f>
        <v>0.333333333333332993</v>
      </c>
      <c r="AL10">
        <f>COUNTIF(J11:J18,"RAP")</f>
        <v>1</v>
      </c>
      <c r="AM10" s="199" t="n">
        <v>0.5</v>
      </c>
      <c r="AN10" s="200">
        <f>IF(AG10=0,IF(AK10=0,0,AM10),AM10)</f>
        <v>0.5</v>
      </c>
      <c r="AO10">
        <f>1/8</f>
        <v>0.125</v>
      </c>
      <c r="BH10" t="n">
        <v>0</v>
      </c>
      <c r="BI10" t="n">
        <v>7</v>
      </c>
      <c r="BJ10" s="109">
        <f>$H$25*H46</f>
        <v>0.000608343984979000041</v>
      </c>
      <c r="BL10">
        <f>BH44+1</f>
        <v>6</v>
      </c>
      <c r="BM10" t="n">
        <v>6</v>
      </c>
      <c r="BN10" s="109">
        <f>$H$31*H45</f>
        <v>0.000452417544210999978</v>
      </c>
      <c r="BP10">
        <f>BP7+1</f>
        <v>4</v>
      </c>
      <c r="BQ10" t="n">
        <v>0</v>
      </c>
      <c r="BR10" s="109">
        <f>$H$29*H39</f>
        <v>0.00510817063373399982</v>
      </c>
    </row>
    <row r="11" spans="1:70">
      <c r="A11" s="8" t="s">
        <v>56</v>
      </c>
      <c r="B11" s="165" t="n">
        <v>7.5</v>
      </c>
      <c r="C11" s="166" t="n">
        <v>18.5</v>
      </c>
      <c r="E11" s="189" t="s">
        <v>57</v>
      </c>
      <c r="F11" s="164"/>
      <c r="G11" s="164"/>
      <c r="H11" s="12"/>
      <c r="I11" s="12"/>
      <c r="J11" s="163" t="s">
        <v>148</v>
      </c>
      <c r="K11" s="163"/>
      <c r="L11" s="12"/>
      <c r="M11" s="12"/>
      <c r="O11" s="69">
        <f>AG11*AI11*AO11*AH11</f>
        <v>0.0998292682926840058</v>
      </c>
      <c r="P11" s="201">
        <f>P3</f>
        <v>0.569999999999999929</v>
      </c>
      <c r="Q11" s="205">
        <f>P11*O11</f>
        <v>0.0569026829268299927</v>
      </c>
      <c r="R11" s="157">
        <f>IF($B$17="JC",IF($C$17="JC",$W$1,$V$1*1.1),IF($C$17="JC",$V$1/0.9,$U$1))*Q11/1.5</f>
        <v>0.0569026829268299927</v>
      </c>
      <c r="S11" s="173">
        <f>(1-R11)</f>
        <v>0.943097317073170061</v>
      </c>
      <c r="T11" s="174">
        <f>R11*PRODUCT(S5:S10)*PRODUCT(S12:S19)</f>
        <v>0.0396603152954529961</v>
      </c>
      <c r="U11" s="174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0.00375184574889799993</v>
      </c>
      <c r="W11" s="183" t="s">
        <v>58</v>
      </c>
      <c r="X11" s="17" t="s">
        <v>59</v>
      </c>
      <c r="Y11" s="71">
        <f>AK11*AI11*AL11*AO11</f>
        <v>0.0249573170731710015</v>
      </c>
      <c r="Z11" s="71">
        <f>Z3</f>
        <v>0.569999999999999929</v>
      </c>
      <c r="AA11" s="71">
        <f>Z11*Y11</f>
        <v>0.0142256707317069981</v>
      </c>
      <c r="AB11" s="157">
        <f>IF($B$17="JC",IF($C$17="JC",$W$1,$V$1/0.9),IF($C$17="JC",$V$1*1.1,$U$1))*AA11/1.5</f>
        <v>0.0142256707317069981</v>
      </c>
      <c r="AC11" s="173">
        <f>(1-AB11)</f>
        <v>0.985774329268292959</v>
      </c>
      <c r="AD11" s="174">
        <f>AB11*PRODUCT(AC5:AC10)*PRODUCT(AC12:AC19)</f>
        <v>0.0104948767365639983</v>
      </c>
      <c r="AE11" s="174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0.00301477806276399996</v>
      </c>
      <c r="AG11" s="195">
        <f>IF(COUNTIF(F11:F18,"RAP")+COUNTIF(J11:J18,"RAP")=0,0,COUNTIF(F11:F18,"RAP")/(COUNTIF(F11:F18,"RAP")+COUNTIF(J11:J18,"RAP")))</f>
        <v>0.666666666666666963</v>
      </c>
      <c r="AH11">
        <f>COUNTIF(F11:F18,"RAP")</f>
        <v>2</v>
      </c>
      <c r="AI11" s="198">
        <f>AN11*$AM$3/$AN$3</f>
        <v>0.59897560975609796</v>
      </c>
      <c r="AK11" s="195">
        <f>IF(COUNTIF(F11:F18,"RAP")+COUNTIF(J11:J18,"RAP")=0,0,COUNTIF(J11:J18,"RAP")/(COUNTIF(F11:F18,"RAP")+COUNTIF(J11:J18,"RAP")))</f>
        <v>0.333333333333332993</v>
      </c>
      <c r="AL11">
        <f>COUNTIF(J11:J18,"RAP")</f>
        <v>1</v>
      </c>
      <c r="AM11" s="199" t="n">
        <v>0.5</v>
      </c>
      <c r="AN11" s="200">
        <f>IF(AG11=0,IF(AK11=0,0,AM11),AM11)</f>
        <v>0.5</v>
      </c>
      <c r="AO11">
        <f>1/8</f>
        <v>0.125</v>
      </c>
      <c r="BH11" t="n">
        <v>0</v>
      </c>
      <c r="BI11" t="n">
        <v>8</v>
      </c>
      <c r="BJ11" s="109">
        <f>$H$25*H47</f>
        <v>0.000121564203429999984</v>
      </c>
      <c r="BL11">
        <f>BH50+1</f>
        <v>7</v>
      </c>
      <c r="BM11" t="n">
        <v>7</v>
      </c>
      <c r="BN11" s="109">
        <f>$H$32*H46</f>
        <v>0.0000265113775240000038</v>
      </c>
      <c r="BP11">
        <f>BP8+1</f>
        <v>4</v>
      </c>
      <c r="BQ11" t="n">
        <v>1</v>
      </c>
      <c r="BR11" s="109">
        <f>$H$29*H40</f>
        <v>0.0188511725051639978</v>
      </c>
    </row>
    <row r="12" spans="1:70">
      <c r="A12" s="8" t="s">
        <v>60</v>
      </c>
      <c r="B12" s="165" t="n">
        <v>9.5</v>
      </c>
      <c r="C12" s="166" t="n">
        <v>9</v>
      </c>
      <c r="E12" s="189" t="s">
        <v>57</v>
      </c>
      <c r="F12" s="164" t="s">
        <v>9</v>
      </c>
      <c r="G12" s="164"/>
      <c r="H12" s="12"/>
      <c r="I12" s="12"/>
      <c r="J12" s="163" t="s">
        <v>35</v>
      </c>
      <c r="K12" s="163"/>
      <c r="L12" s="12"/>
      <c r="M12" s="12"/>
      <c r="O12" s="69">
        <f>AG12*AI12*AO12*AH12</f>
        <v>0.00328010452961600052</v>
      </c>
      <c r="P12" s="201">
        <f>P2</f>
        <v>0.45</v>
      </c>
      <c r="Q12" s="205">
        <f>P12*O12</f>
        <v>0.00147604703832699986</v>
      </c>
      <c r="R12" s="157">
        <f>IF($B$17="JC",IF($C$17="JC",$W$1,$V$1*1.1),IF($C$17="JC",$V$1/0.9,$U$1))*Q12/1.5</f>
        <v>0.00147604703832699986</v>
      </c>
      <c r="S12" s="173">
        <f>(1-R12)</f>
        <v>0.998523952961672911</v>
      </c>
      <c r="T12" s="174">
        <f>R12*PRODUCT(S5:S11)*PRODUCT(S13:S19)</f>
        <v>0.000971676363895000073</v>
      </c>
      <c r="U12" s="174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0.0000904837319579999999</v>
      </c>
      <c r="W12" s="184" t="s">
        <v>61</v>
      </c>
      <c r="X12" s="17" t="s">
        <v>62</v>
      </c>
      <c r="Y12" s="71">
        <f>AK12*AI12*AL12*AO12</f>
        <v>0.00328010452961700016</v>
      </c>
      <c r="Z12" s="71">
        <f>Z2</f>
        <v>0.45</v>
      </c>
      <c r="AA12" s="71">
        <f>Z12*Y12</f>
        <v>0.00147604703832799995</v>
      </c>
      <c r="AB12" s="157">
        <f>IF($B$17="JC",IF($C$17="JC",$W$1,$V$1/0.9),IF($C$17="JC",$V$1*1.1,$U$1))*AA12/1.5</f>
        <v>0.00147604703832799995</v>
      </c>
      <c r="AC12" s="173">
        <f>(1-AB12)</f>
        <v>0.998523952961672023</v>
      </c>
      <c r="AD12" s="174">
        <f>AB12*PRODUCT(AC5:AC11)*PRODUCT(AC13:AC19)</f>
        <v>0.00107503797236900001</v>
      </c>
      <c r="AE12" s="174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0.000307228280940999987</v>
      </c>
      <c r="AG12" s="195">
        <f>IF(COUNTA(F6:F10)+COUNTA(J6:J10)=0,0,COUNTA(F6:F10)/(COUNTA(F6:F10)+COUNTA(J6:J10)))</f>
        <v>0.714285714285713969</v>
      </c>
      <c r="AH12">
        <f>COUNTA(J6:J10)</f>
        <v>2</v>
      </c>
      <c r="AI12" s="198">
        <f>AN12*$AM$3/$AN$3</f>
        <v>0.0137764390243899992</v>
      </c>
      <c r="AK12" s="195">
        <f>IF(COUNTA(J6:J10)+COUNTA(F6:F10)=0,0,COUNTA(J6:J10)/(COUNTA(J6:J10)+COUNTA(F6:F10)))</f>
        <v>0.285714285714285978</v>
      </c>
      <c r="AL12">
        <f>COUNTA(F6:F10)</f>
        <v>5</v>
      </c>
      <c r="AM12" s="199" t="n">
        <v>0.0114999999999999991</v>
      </c>
      <c r="AN12" s="200">
        <f>IF(AG12=0,IF(AK12=0,0,AM12),AM12)</f>
        <v>0.0114999999999999991</v>
      </c>
      <c r="AO12">
        <f>1/6</f>
        <v>0.16666666666666698</v>
      </c>
      <c r="BH12" t="n">
        <v>0</v>
      </c>
      <c r="BI12" t="n">
        <v>9</v>
      </c>
      <c r="BJ12" s="109">
        <f>$H$25*H48</f>
        <v>0.0000179322096629999983</v>
      </c>
      <c r="BL12">
        <f>BH54+1</f>
        <v>8</v>
      </c>
      <c r="BM12" t="n">
        <v>8</v>
      </c>
      <c r="BN12" s="109">
        <f>$H$33*H47</f>
        <v>8.802330390887837177E-07</v>
      </c>
      <c r="BP12">
        <f>BP9+1</f>
        <v>4</v>
      </c>
      <c r="BQ12" t="n">
        <v>2</v>
      </c>
      <c r="BR12" s="109">
        <f>$H$29*H41</f>
        <v>0.0318340834817959983</v>
      </c>
    </row>
    <row r="13" spans="1:70">
      <c r="A13" s="9" t="s">
        <v>63</v>
      </c>
      <c r="B13" s="165" t="n">
        <v>8</v>
      </c>
      <c r="C13" s="166" t="n">
        <v>7.5</v>
      </c>
      <c r="E13" s="189" t="s">
        <v>57</v>
      </c>
      <c r="F13" s="164"/>
      <c r="G13" s="164"/>
      <c r="H13" s="12"/>
      <c r="I13" s="12"/>
      <c r="J13" s="163" t="s">
        <v>35</v>
      </c>
      <c r="K13" s="163"/>
      <c r="L13" s="12"/>
      <c r="M13" s="12"/>
      <c r="O13" s="69">
        <f>AG13*AI13*AO13*AH13</f>
        <v>0.0423499715121949993</v>
      </c>
      <c r="P13" s="201">
        <f>P3</f>
        <v>0.569999999999999929</v>
      </c>
      <c r="Q13" s="205">
        <f>P13*O13</f>
        <v>0.024139483761950995</v>
      </c>
      <c r="R13" s="157">
        <f>IF($B$17="JC",IF($C$17="JC",$W$1,$V$1*1.1),IF($C$17="JC",$V$1/0.9,$U$1))*Q13/1.5</f>
        <v>0.024139483761950995</v>
      </c>
      <c r="S13" s="173">
        <f>(1-R13)</f>
        <v>0.975860516238049058</v>
      </c>
      <c r="T13" s="174">
        <f>R13*PRODUCT(S5:S12)*PRODUCT(S14:S19)</f>
        <v>0.0162599857200889986</v>
      </c>
      <c r="U13" s="174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0.0011119334641830001</v>
      </c>
      <c r="W13" s="183" t="s">
        <v>64</v>
      </c>
      <c r="X13" s="17" t="s">
        <v>65</v>
      </c>
      <c r="Y13" s="71">
        <f>AK13*AI13*AL13*AO13</f>
        <v>0.134108243121950998</v>
      </c>
      <c r="Z13" s="71">
        <f>Z3</f>
        <v>0.569999999999999929</v>
      </c>
      <c r="AA13" s="71">
        <f>Z13*Y13</f>
        <v>0.0764416985795119963</v>
      </c>
      <c r="AB13" s="157">
        <f>IF($B$17="JC",IF($C$17="JC",$W$1,$V$1/0.9),IF($C$17="JC",$V$1*1.1,$U$1))*AA13/1.5</f>
        <v>0.0764416985795119963</v>
      </c>
      <c r="AC13" s="173">
        <f>(1-AB13)</f>
        <v>0.923558301420488093</v>
      </c>
      <c r="AD13" s="174">
        <f>AB13*PRODUCT(AC5:AC12)*PRODUCT(AC14:AC19)</f>
        <v>0.0601932935189960006</v>
      </c>
      <c r="AE13" s="174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0.012220140166258</v>
      </c>
      <c r="AG13" s="195">
        <f>B22</f>
        <v>0.239999999999999991</v>
      </c>
      <c r="AH13" t="n">
        <v>1</v>
      </c>
      <c r="AI13" s="198">
        <f>AN13*$AM$3/$AN$3</f>
        <v>0.176458214634145989</v>
      </c>
      <c r="AK13" s="195">
        <f>C22</f>
        <v>0.759999999999999964</v>
      </c>
      <c r="AL13" t="n">
        <v>1</v>
      </c>
      <c r="AM13" s="199" t="n">
        <v>0.147299999999999986</v>
      </c>
      <c r="AN13" s="200">
        <f>IF(AG13=0,IF(AK13=0,0,AM13),AM13)</f>
        <v>0.147299999999999986</v>
      </c>
      <c r="AO13" t="n">
        <v>1</v>
      </c>
      <c r="BH13" t="n">
        <v>0</v>
      </c>
      <c r="BI13" t="n">
        <v>10</v>
      </c>
      <c r="BJ13" s="109">
        <f>$H$25*H49</f>
        <v>1.910289025754357006E-06</v>
      </c>
      <c r="BL13">
        <f>BH57+1</f>
        <v>9</v>
      </c>
      <c r="BM13" t="n">
        <v>9</v>
      </c>
      <c r="BN13" s="109">
        <f>$H$34*H48</f>
        <v>1.639529783364670088E-08</v>
      </c>
      <c r="BP13">
        <f>BL7+1</f>
        <v>4</v>
      </c>
      <c r="BQ13" t="n">
        <v>3</v>
      </c>
      <c r="BR13" s="109">
        <f>$H$29*H42</f>
        <v>0.0325531593685859999</v>
      </c>
    </row>
    <row r="14" spans="1:70">
      <c r="A14" s="9" t="s">
        <v>66</v>
      </c>
      <c r="B14" s="165" t="n">
        <v>8</v>
      </c>
      <c r="C14" s="166" t="n">
        <v>8.25</v>
      </c>
      <c r="E14" s="189" t="s">
        <v>67</v>
      </c>
      <c r="F14" s="164" t="s">
        <v>2</v>
      </c>
      <c r="G14" s="164"/>
      <c r="H14" s="12"/>
      <c r="I14" s="12"/>
      <c r="J14" s="163" t="s">
        <v>35</v>
      </c>
      <c r="K14" s="163"/>
      <c r="L14" s="12"/>
      <c r="M14" s="12"/>
      <c r="O14" s="69">
        <f>AG14*AI14*AO14*AH14</f>
        <v>0.060175485658536001</v>
      </c>
      <c r="P14" s="201">
        <f>IF(COUNTIF(F6:F18,"CAB")-COUNTIF(J6:J18,"CAB")&gt;2,0.8,IF(COUNTIF(F6:F18,"CAB")-COUNTIF(J6:J18,"CAB")&gt;0,0.6,IF(COUNTIF(F6:F18,"CAB")-COUNTIF(J6:J18,"CAB")=0,0.5,0.15)))</f>
        <v>0.15</v>
      </c>
      <c r="Q14" s="205">
        <f>P14*O14</f>
        <v>0.00902632284877999957</v>
      </c>
      <c r="R14" s="157">
        <f>IF($B$17="JC",IF($C$17="JC",$W$1,$V$1*1.1),IF($C$17="JC",$V$1/0.9,$U$1))*Q14/1.5</f>
        <v>0.00902632284877999957</v>
      </c>
      <c r="S14" s="173">
        <f>(1-R14)</f>
        <v>0.990973677151220045</v>
      </c>
      <c r="T14" s="174">
        <f>R14*PRODUCT(S5:S13)*PRODUCT(S15:S19)</f>
        <v>0.00598726764668599998</v>
      </c>
      <c r="U14" s="174">
        <f>R14*R15*PRODUCT(S5:S13)*PRODUCT(S16:S19)+R14*R16*PRODUCT(S5:S13)*S15*PRODUCT(S17:S19)+R14*R17*PRODUCT(S5:S13)*PRODUCT(S15:S16)*PRODUCT(S18:S19)+R14*R18*PRODUCT(S5:S13)*PRODUCT(S15:S17)*PRODUCT(S19)+R14*R19*PRODUCT(S5:S13)*PRODUCT(S15:S18)</f>
        <v>0.000354901950493999951</v>
      </c>
      <c r="W14" s="183" t="s">
        <v>68</v>
      </c>
      <c r="X14" s="17" t="s">
        <v>69</v>
      </c>
      <c r="Y14" s="71">
        <f>AK14*AI14*AL14*AO14</f>
        <v>0.190555704585366001</v>
      </c>
      <c r="Z14" s="202">
        <f>IF(COUNTIF(J6:J18,"CAB")-COUNTIF(F6:F18,"CAB")&gt;2,0.8,IF(COUNTIF(J6:J18,"CAB")-COUNTIF(F6:F18,"CAB")&gt;0,0.6,IF(COUNTIF(J6:J18,"CAB")-COUNTIF(F6:F18,"CAB")=0,0.5,0.15)))</f>
        <v>0.6</v>
      </c>
      <c r="AA14" s="71">
        <f>Z14*Y14</f>
        <v>0.114333422751220004</v>
      </c>
      <c r="AB14" s="157">
        <f>IF($B$17="JC",IF($C$17="JC",$W$1,$V$1/0.9),IF($C$17="JC",$V$1*1.1,$U$1))*AA14/1.5</f>
        <v>0.114333422751220004</v>
      </c>
      <c r="AC14" s="173">
        <f>(1-AB14)</f>
        <v>0.885666577248779952</v>
      </c>
      <c r="AD14" s="174">
        <f>AB14*PRODUCT(AC5:AC13)*PRODUCT(AC15:AC19)</f>
        <v>0.0938825859237270066</v>
      </c>
      <c r="AE14" s="174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0.00693997932841199905</v>
      </c>
      <c r="AG14" s="195">
        <f>IF(AL14=0,1,B22)</f>
        <v>0.239999999999999991</v>
      </c>
      <c r="AH14">
        <f>IF(COUNTIF(F6:F18,"CAB")&gt;0,1,0)</f>
        <v>1</v>
      </c>
      <c r="AI14" s="198">
        <f>AN14*$AM$3/$AN$3</f>
        <v>0.250731190243902002</v>
      </c>
      <c r="AK14" s="195">
        <f>IF(AH14=0,1,C22)</f>
        <v>0.759999999999999964</v>
      </c>
      <c r="AL14">
        <f>IF(COUNTIF(J6:J18,"CAB")&gt;0,1,0)</f>
        <v>1</v>
      </c>
      <c r="AM14" s="199" t="n">
        <v>0.209299999999999997</v>
      </c>
      <c r="AN14" s="200">
        <f>IF(AG14=0,IF(AK14=0,0,AM14),AM14)</f>
        <v>0.209299999999999997</v>
      </c>
      <c r="AO14" t="n">
        <v>1</v>
      </c>
      <c r="BH14" t="n">
        <v>1</v>
      </c>
      <c r="BI14" t="n">
        <v>2</v>
      </c>
      <c r="BJ14" s="109">
        <f>$H$26*H41</f>
        <v>0.0533853969303950038</v>
      </c>
      <c r="BL14">
        <f>BP39+1</f>
        <v>10</v>
      </c>
      <c r="BM14" t="n">
        <v>10</v>
      </c>
      <c r="BN14" s="109">
        <f>$H$35*H49</f>
        <v>1.658013104035145796E-10</v>
      </c>
      <c r="BP14">
        <f>BP10+1</f>
        <v>5</v>
      </c>
      <c r="BQ14" t="n">
        <v>0</v>
      </c>
      <c r="BR14" s="109">
        <f>$H$30*H39</f>
        <v>0.00199829167476099947</v>
      </c>
    </row>
    <row r="15" spans="1:70">
      <c r="A15" s="186" t="s">
        <v>70</v>
      </c>
      <c r="B15" s="167" t="n">
        <v>4.75</v>
      </c>
      <c r="C15" s="168" t="n">
        <v>8</v>
      </c>
      <c r="E15" s="189" t="s">
        <v>67</v>
      </c>
      <c r="F15" s="164" t="s">
        <v>2</v>
      </c>
      <c r="G15" s="164"/>
      <c r="H15" s="12"/>
      <c r="I15" s="12"/>
      <c r="J15" s="163" t="s">
        <v>2</v>
      </c>
      <c r="K15" s="163"/>
      <c r="L15" s="12"/>
      <c r="M15" s="12"/>
      <c r="O15" s="69">
        <f>AG15*AI15*AO15*AH15</f>
        <v>0.0112128234146339989</v>
      </c>
      <c r="P15" s="201">
        <f>R3</f>
        <v>0.7</v>
      </c>
      <c r="Q15" s="205">
        <f>P15*O15</f>
        <v>0.00784897639024399929</v>
      </c>
      <c r="R15" s="157">
        <f>IF($B$17="JC",IF($C$17="JC",$W$1,$V$1*1.1),IF($C$17="JC",$V$1/0.9,$U$1))*Q15/1.5</f>
        <v>0.00784897639024399929</v>
      </c>
      <c r="S15" s="173">
        <f>(1-R15)</f>
        <v>0.992151023609756066</v>
      </c>
      <c r="T15" s="174">
        <f>R15*PRODUCT(S5:S14)*PRODUCT(S16:S19)</f>
        <v>0.00520014155869100048</v>
      </c>
      <c r="U15" s="174">
        <f>R15*R16*PRODUCT(S5:S14)*PRODUCT(S17:S19)+R15*R17*PRODUCT(S5:S14)*S16*PRODUCT(S18:S19)+R15*R18*PRODUCT(S5:S14)*S16*S17*S19+R15*R19*PRODUCT(S5:S14)*S16*S17*S18</f>
        <v>0.000267105491077999968</v>
      </c>
      <c r="W15" s="183" t="s">
        <v>71</v>
      </c>
      <c r="X15" s="17" t="s">
        <v>72</v>
      </c>
      <c r="Y15" s="71">
        <f>AK15*AI15*AL15*AO15</f>
        <v>0.0355072741463420005</v>
      </c>
      <c r="Z15" s="71">
        <f>AB3</f>
        <v>0.7</v>
      </c>
      <c r="AA15" s="71">
        <f>Z15*Y15</f>
        <v>0.0248550919024390016</v>
      </c>
      <c r="AB15" s="157">
        <f>IF($B$17="JC",IF($C$17="JC",$W$1,$V$1/0.9),IF($C$17="JC",$V$1*1.1,$U$1))*AA15/1.5</f>
        <v>0.0248550919024390016</v>
      </c>
      <c r="AC15" s="173">
        <f>(1-AB15)</f>
        <v>0.975144908097561114</v>
      </c>
      <c r="AD15" s="174">
        <f>AB15*PRODUCT(AC5:AC14)*PRODUCT(AC16:AC19)</f>
        <v>0.0185365245290539988</v>
      </c>
      <c r="AE15" s="174">
        <f>AB15*AB16*PRODUCT(AC5:AC14)*PRODUCT(AC17:AC19)+AB15*AB17*PRODUCT(AC5:AC14)*AC16*PRODUCT(AC18:AC19)+AB15*AB18*PRODUCT(AC5:AC14)*AC16*AC17*AC19+AB15*AB19*PRODUCT(AC5:AC14)*AC16*AC17*AC18</f>
        <v>0.000897784838285000042</v>
      </c>
      <c r="AG15" s="195">
        <f>IF(AL15=0,1,B22)</f>
        <v>0.239999999999999991</v>
      </c>
      <c r="AH15" t="n">
        <v>1</v>
      </c>
      <c r="AI15" s="198">
        <f>AN15*$AM$3/$AN$3</f>
        <v>0.0467200975609759972</v>
      </c>
      <c r="AK15" s="195">
        <f>IF(AH15=0,1,C22)</f>
        <v>0.759999999999999964</v>
      </c>
      <c r="AL15" t="n">
        <v>1</v>
      </c>
      <c r="AM15" s="199" t="n">
        <v>0.0390000000000000036</v>
      </c>
      <c r="AN15" s="200">
        <f>IF(AG15=0,IF(AK15=0,0,AM15),AM15)</f>
        <v>0.0390000000000000036</v>
      </c>
      <c r="AO15" t="n">
        <v>1</v>
      </c>
      <c r="BH15" t="n">
        <v>1</v>
      </c>
      <c r="BI15" t="n">
        <v>3</v>
      </c>
      <c r="BJ15" s="109">
        <f>$H$26*H42</f>
        <v>0.0545912790366379941</v>
      </c>
      <c r="BP15">
        <f>BP11+1</f>
        <v>5</v>
      </c>
      <c r="BQ15" t="n">
        <v>1</v>
      </c>
      <c r="BR15" s="109">
        <f>$H$30*H40</f>
        <v>0.00737448761554300081</v>
      </c>
    </row>
    <row r="16" spans="1:70">
      <c r="A16" s="186" t="s">
        <v>73</v>
      </c>
      <c r="B16" s="54">
        <f>AVERAGE(G5:G18)</f>
        <v>13</v>
      </c>
      <c r="C16" s="56">
        <f>AVERAGE(K5:K18)</f>
        <v>12</v>
      </c>
      <c r="E16" s="189" t="s">
        <v>74</v>
      </c>
      <c r="F16" s="164" t="s">
        <v>148</v>
      </c>
      <c r="G16" s="164"/>
      <c r="H16" s="12"/>
      <c r="I16" s="12"/>
      <c r="J16" s="163" t="s">
        <v>35</v>
      </c>
      <c r="K16" s="163"/>
      <c r="L16" s="12"/>
      <c r="M16" s="12"/>
      <c r="O16" s="69">
        <f>AG16*AI16*AO16*AH16</f>
        <v>0.028405819317073</v>
      </c>
      <c r="P16" s="201" t="n">
        <v>0.15</v>
      </c>
      <c r="Q16" s="205">
        <f>P16*O16</f>
        <v>0.00426087289756099974</v>
      </c>
      <c r="R16" s="157">
        <f>IF($B$17="JC",IF($C$17="JC",$W$1,$V$1*1.1),IF($C$17="JC",$V$1/0.9,$U$1))*Q16/1.5</f>
        <v>0.00426087289756099974</v>
      </c>
      <c r="S16" s="173">
        <f>(1-R16)</f>
        <v>0.995739127102438992</v>
      </c>
      <c r="T16" s="174">
        <f>R16*PRODUCT(S5:S15)*PRODUCT(S17:S19)</f>
        <v>0.00281276166672499972</v>
      </c>
      <c r="U16" s="174">
        <f>R16*R17*PRODUCT(S5:S15)*PRODUCT(S18:S19)+R16*R18*PRODUCT(S5:S15)*S17*S19+R16*R19*PRODUCT(S5:S15)*S17*S18</f>
        <v>0.000132441517700000011</v>
      </c>
      <c r="W16" s="184" t="s">
        <v>75</v>
      </c>
      <c r="X16" s="17" t="s">
        <v>76</v>
      </c>
      <c r="Y16" s="71">
        <f>AK16*AI16*AL16*AO16</f>
        <v>0.00897025873170700194</v>
      </c>
      <c r="Z16" s="71" t="n">
        <v>0.15</v>
      </c>
      <c r="AA16" s="71">
        <f>Z16*Y16</f>
        <v>0.00134553880975599993</v>
      </c>
      <c r="AB16" s="157">
        <f>IF($B$17="JC",IF($C$17="JC",$W$1,$V$1/0.9),IF($C$17="JC",$V$1*1.1,$U$1))*AA16/1.5</f>
        <v>0.00134553880975599993</v>
      </c>
      <c r="AC16" s="173">
        <f>(1-AB16)</f>
        <v>0.998654461190244014</v>
      </c>
      <c r="AD16" s="174">
        <f>AB16*PRODUCT(AC5:AC15)*PRODUCT(AC17:AC19)</f>
        <v>0.000979857850751000115</v>
      </c>
      <c r="AE16" s="174">
        <f>AB16*AB17*PRODUCT(AC5:AC15)*PRODUCT(AC18:AC19)+AB16*AB18*PRODUCT(AC5:AC15)*AC17*AC19+AB16*AB19*PRODUCT(AC5:AC15)*AC17*AC18</f>
        <v>0.000046137524702999988</v>
      </c>
      <c r="AG16" s="195">
        <f>C22</f>
        <v>0.759999999999999964</v>
      </c>
      <c r="AH16" t="n">
        <v>1</v>
      </c>
      <c r="AI16" s="198">
        <f>AN16*$AM$3/$AN$3</f>
        <v>0.0373760780487800037</v>
      </c>
      <c r="AK16" s="195">
        <f>B22</f>
        <v>0.239999999999999991</v>
      </c>
      <c r="AL16" t="n">
        <v>1</v>
      </c>
      <c r="AM16" s="199" t="n">
        <v>0.0312000000000000011</v>
      </c>
      <c r="AN16" s="200">
        <f>IF(AG16=0,IF(AK16=0,0,AM16),AM16)</f>
        <v>0.0312000000000000011</v>
      </c>
      <c r="AO16" t="n">
        <v>1</v>
      </c>
      <c r="BH16" t="n">
        <v>1</v>
      </c>
      <c r="BI16" t="n">
        <v>4</v>
      </c>
      <c r="BJ16" s="109">
        <f>$H$26*H43</f>
        <v>0.0376972138876799967</v>
      </c>
      <c r="BP16">
        <f>BP12+1</f>
        <v>5</v>
      </c>
      <c r="BQ16" t="n">
        <v>2</v>
      </c>
      <c r="BR16" s="109">
        <f>$H$30*H41</f>
        <v>0.0124533396702170007</v>
      </c>
    </row>
    <row r="17" spans="1:70">
      <c r="A17" s="185" t="s">
        <v>77</v>
      </c>
      <c r="B17" s="169" t="s">
        <v>149</v>
      </c>
      <c r="C17" s="170" t="s">
        <v>150</v>
      </c>
      <c r="E17" s="189" t="s">
        <v>74</v>
      </c>
      <c r="F17" s="164"/>
      <c r="G17" s="164"/>
      <c r="H17" s="12"/>
      <c r="I17" s="12"/>
      <c r="J17" s="163" t="s">
        <v>35</v>
      </c>
      <c r="K17" s="163"/>
      <c r="L17" s="12"/>
      <c r="M17" s="12"/>
      <c r="O17" s="69">
        <f>AG17*AI17*AO17*AH17</f>
        <v>0.0652284439024399898</v>
      </c>
      <c r="P17" s="201">
        <f>P3</f>
        <v>0.569999999999999929</v>
      </c>
      <c r="Q17" s="205">
        <f>P17*O17</f>
        <v>0.0371802130243910023</v>
      </c>
      <c r="R17" s="157">
        <f>IF($B$17="JC",IF($C$17="JC",$W$1,$V$1*1.1),IF($C$17="JC",$V$1/0.9,$U$1))*Q17/1.5</f>
        <v>0.0371802130243910023</v>
      </c>
      <c r="S17" s="173">
        <f>(1-R17)</f>
        <v>0.962819786975608949</v>
      </c>
      <c r="T17" s="174">
        <f>R17*PRODUCT(S5:S16)*PRODUCT(S18:S19)</f>
        <v>0.0253832247460540028</v>
      </c>
      <c r="U17" s="174">
        <f>R17*R18*PRODUCT(S5:S16)*S19+R17*R19*PRODUCT(S5:S16)*S18</f>
        <v>0.000214995251652999997</v>
      </c>
      <c r="W17" s="183" t="s">
        <v>79</v>
      </c>
      <c r="X17" s="17" t="s">
        <v>80</v>
      </c>
      <c r="Y17" s="71">
        <f>AK17*AI17*AL17*AO17</f>
        <v>0.065228443902438995</v>
      </c>
      <c r="Z17" s="71">
        <f>Z3</f>
        <v>0.569999999999999929</v>
      </c>
      <c r="AA17" s="71">
        <f>Z17*Y17</f>
        <v>0.0371802130243900031</v>
      </c>
      <c r="AB17" s="157">
        <f>IF($B$17="JC",IF($C$17="JC",$W$1,$V$1/0.9),IF($C$17="JC",$V$1*1.1,$U$1))*AA17/1.5</f>
        <v>0.0371802130243900031</v>
      </c>
      <c r="AC17" s="173">
        <f>(1-AB17)</f>
        <v>0.962819786975610015</v>
      </c>
      <c r="AD17" s="174">
        <f>AB17*PRODUCT(AC5:AC16)*PRODUCT(AC18:AC19)</f>
        <v>0.028083353138066002</v>
      </c>
      <c r="AE17" s="174">
        <f>AB17*AB18*PRODUCT(AC5:AC16)*AC19+AB17*AB19*PRODUCT(AC5:AC16)*AC18</f>
        <v>0.000237865268718999978</v>
      </c>
      <c r="AG17" s="195">
        <f>COUNTA(F14:F15)/(COUNTA(F14:F15)+COUNTA(J14:J15))</f>
        <v>0.5</v>
      </c>
      <c r="AH17">
        <f>COUNTA(F14:F15)</f>
        <v>2</v>
      </c>
      <c r="AI17" s="198">
        <f>AN17*$AM$3/$AN$3</f>
        <v>0.130456887804877986</v>
      </c>
      <c r="AK17" s="195">
        <f>COUNTA(J14:J15)/(COUNTA(F14:F15)+COUNTA(J14:J15))</f>
        <v>0.5</v>
      </c>
      <c r="AL17">
        <f>COUNTA(J14:J15)</f>
        <v>2</v>
      </c>
      <c r="AM17" s="199" t="n">
        <v>0.108899999999999997</v>
      </c>
      <c r="AN17" s="200">
        <f>IF(AG17=0,IF(AK17=0,0,AM17),AM17)</f>
        <v>0.108899999999999997</v>
      </c>
      <c r="AO17">
        <f>1/2</f>
        <v>0.5</v>
      </c>
      <c r="BH17" t="n">
        <v>1</v>
      </c>
      <c r="BI17" t="n">
        <v>5</v>
      </c>
      <c r="BJ17" s="109">
        <f>$H$26*H44</f>
        <v>0.0185574156572569962</v>
      </c>
      <c r="BP17">
        <f>BP13+1</f>
        <v>5</v>
      </c>
      <c r="BQ17" t="n">
        <v>3</v>
      </c>
      <c r="BR17" s="109">
        <f>$H$30*H42</f>
        <v>0.0127346386833329994</v>
      </c>
    </row>
    <row r="18" spans="1:70">
      <c r="A18" s="185" t="s">
        <v>81</v>
      </c>
      <c r="B18" s="169" t="n">
        <v>19</v>
      </c>
      <c r="C18" s="170" t="n">
        <v>20</v>
      </c>
      <c r="E18" s="189" t="s">
        <v>74</v>
      </c>
      <c r="F18" s="164" t="s">
        <v>40</v>
      </c>
      <c r="G18" s="164"/>
      <c r="H18" s="12"/>
      <c r="I18" s="12"/>
      <c r="J18" s="163" t="s">
        <v>9</v>
      </c>
      <c r="K18" s="163"/>
      <c r="L18" s="12"/>
      <c r="M18" s="12"/>
      <c r="O18" s="69">
        <f>AG18*AI18*AO18*AH18</f>
        <v>0.0122789999999999999</v>
      </c>
      <c r="P18" s="201">
        <f>P17*1.2</f>
        <v>0.684000000000000075</v>
      </c>
      <c r="Q18" s="205">
        <f>P18*O18</f>
        <v>0.0083988359999999993</v>
      </c>
      <c r="R18" s="157">
        <f>IF($B$17="JC",IF($C$17="JC",$W$1,$V$1*1.1),IF($C$17="JC",$V$1/0.9,$U$1))*Q18/1.5</f>
        <v>0.0083988359999999993</v>
      </c>
      <c r="S18" s="173">
        <f>(1-R18)</f>
        <v>0.991601164000000068</v>
      </c>
      <c r="T18" s="174">
        <f>R18*PRODUCT(S5:S17)*PRODUCT(S19)</f>
        <v>0.00556752276435799942</v>
      </c>
      <c r="U18" s="174">
        <f>R18*R19*PRODUCT(S5:S17)</f>
        <v>0</v>
      </c>
      <c r="W18" s="183" t="s">
        <v>82</v>
      </c>
      <c r="X18" s="17" t="s">
        <v>83</v>
      </c>
      <c r="Y18" s="71">
        <f>AK18*AI18*AL18*AO18</f>
        <v>0.0122789999999999999</v>
      </c>
      <c r="Z18" s="71">
        <f>Z17*1.2</f>
        <v>0.684000000000000075</v>
      </c>
      <c r="AA18" s="71">
        <f>Z18*Y18</f>
        <v>0.0083988359999999993</v>
      </c>
      <c r="AB18" s="157">
        <f>IF($B$17="JC",IF($C$17="JC",$W$1,$V$1/0.9),IF($C$17="JC",$V$1*1.1,$U$1))*AA18/1.5</f>
        <v>0.0083988359999999993</v>
      </c>
      <c r="AC18" s="173">
        <f>(1-AB18)</f>
        <v>0.991601164000000068</v>
      </c>
      <c r="AD18" s="174">
        <f>AB18*PRODUCT(AC5:AC17)*PRODUCT(AC19)</f>
        <v>0.00615976533556899941</v>
      </c>
      <c r="AE18" s="174">
        <f>AB18*AB19*PRODUCT(AC5:AC17)</f>
        <v>0</v>
      </c>
      <c r="AG18" s="195">
        <f>IF(COUNTA(F14:F15)&gt;0,IF(COUNTIF(F11:F18,"CAB")+COUNTIF(J11:J18,"CAB")=0,0,COUNTIF(F11:F18,"CAB")/(COUNTIF(F11:F18,"CAB")+COUNTIF(J11:J18,"CAB"))),0)</f>
        <v>0.5</v>
      </c>
      <c r="AH18">
        <f>COUNTIF(F11:F18,"CAB")</f>
        <v>1</v>
      </c>
      <c r="AI18" s="198">
        <f>AN18*$AM$3/$AN$3</f>
        <v>0.196463999999999999</v>
      </c>
      <c r="AK18" s="195">
        <f>IF(COUNTA(J14:J15)&gt;0,IF(COUNTIF(J11:J18,"CAB")+COUNTIF(F11:F18,"CAB")=0,0,COUNTIF(J11:J18,"CAB")/(COUNTIF(J11:J18,"CAB")+COUNTIF(F11:F18,"CAB"))),0)</f>
        <v>0.5</v>
      </c>
      <c r="AL18">
        <f>COUNTIF(J11:J18,"CAB")</f>
        <v>1</v>
      </c>
      <c r="AM18" s="199" t="n">
        <v>0.164000000000000012</v>
      </c>
      <c r="AN18" s="200">
        <f>IF(AG18=0,IF(AK18=0,0,AM18),AM18)</f>
        <v>0.164000000000000012</v>
      </c>
      <c r="AO18">
        <f>1/8</f>
        <v>0.125</v>
      </c>
      <c r="BH18" t="n">
        <v>1</v>
      </c>
      <c r="BI18" t="n">
        <v>6</v>
      </c>
      <c r="BJ18" s="109">
        <f>$H$26*H45</f>
        <v>0.00670065547678300089</v>
      </c>
      <c r="BP18">
        <f>BL8+1</f>
        <v>5</v>
      </c>
      <c r="BQ18" t="n">
        <v>4</v>
      </c>
      <c r="BR18" s="109">
        <f>$H$30*H43</f>
        <v>0.00879371955923100046</v>
      </c>
    </row>
    <row r="19" spans="8:70">
      <c r="H19" s="15" t="s">
        <v>84</v>
      </c>
      <c r="L19" s="15" t="s">
        <v>84</v>
      </c>
      <c r="O19" s="69">
        <f>AG19*AI19*AO19*AH19</f>
        <v>0</v>
      </c>
      <c r="P19" s="201">
        <f>P3</f>
        <v>0.569999999999999929</v>
      </c>
      <c r="Q19" s="205">
        <f>P19*O19</f>
        <v>0</v>
      </c>
      <c r="R19" s="157">
        <f>IF($B$17="JC",IF($C$17="JC",$W$1,$V$1*1.1),IF($C$17="JC",$V$1/0.9,$U$1))*Q19/1.5</f>
        <v>0</v>
      </c>
      <c r="S19" s="175">
        <f>(1-R19)</f>
        <v>1</v>
      </c>
      <c r="T19" s="176">
        <f>R19*PRODUCT(S5:S18)</f>
        <v>0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AK19*AI19*AL19*AO19</f>
        <v>0</v>
      </c>
      <c r="Z19" s="71">
        <f>Z3</f>
        <v>0.569999999999999929</v>
      </c>
      <c r="AA19" s="71">
        <f>Z19*Y19</f>
        <v>0</v>
      </c>
      <c r="AB19" s="157">
        <f>IF($B$17="JC",IF($C$17="JC",$W$1,$V$1/0.9),IF($C$17="JC",$V$1*1.1,$U$1))*AA19/1.5</f>
        <v>0</v>
      </c>
      <c r="AC19" s="175">
        <f>(1-AB19)</f>
        <v>1</v>
      </c>
      <c r="AD19" s="176">
        <f>AB19*PRODUCT(AC5:AC18)</f>
        <v>0</v>
      </c>
      <c r="AE19" s="176" t="n">
        <v>0</v>
      </c>
      <c r="AF19" s="3" t="s">
        <v>85</v>
      </c>
      <c r="AG19" s="195">
        <f>IF(COUNTIF(F11:F18,"TEC")&gt;0,IF(COUNTIF(J6:J13,"CAB")&gt;0,IF(COUNTIF(F11:F18,"TEC")+COUNTIF(J11:J18,"TEC")&gt;0,COUNTIF(F11:F18,"TEC")/(COUNTIF(F11:F18,"TEC")+COUNTIF(J11:J18,"TEC")),0),0),0)</f>
        <v>0</v>
      </c>
      <c r="AH19">
        <f>COUNTIF(F11:F18,"TEC")</f>
        <v>0</v>
      </c>
      <c r="AI19" s="198">
        <f>AN19*$AM$3/$AN$3</f>
        <v>0</v>
      </c>
      <c r="AK19" s="195">
        <f>IF(COUNTIF(J11:J18,"TEC")&gt;0,IF(COUNTIF(F6:F13,"CAB")&gt;0,IF(COUNTIF(F11:F18,"TEC")+COUNTIF(J11:J18,"TEC")&gt;0,COUNTIF(J11:J18,"TEC")/(COUNTIF(F11:F18,"TEC")+COUNTIF(J11:J18,"TEC")),0),0),0)</f>
        <v>0</v>
      </c>
      <c r="AL19">
        <f>COUNTIF(J11:J18,"TEC")</f>
        <v>0</v>
      </c>
      <c r="AM19" s="199" t="n">
        <v>0.608699999999999974</v>
      </c>
      <c r="AN19" s="200">
        <f>IF(AG19=0,IF(AK19=0,0,AM19),AM19)</f>
        <v>0</v>
      </c>
      <c r="AO19">
        <f>1/8</f>
        <v>0.125</v>
      </c>
      <c r="BH19" t="n">
        <v>1</v>
      </c>
      <c r="BI19" t="n">
        <v>7</v>
      </c>
      <c r="BJ19" s="109">
        <f>$H$26*H46</f>
        <v>0.00179817547603799994</v>
      </c>
      <c r="BP19">
        <f>BP15+1</f>
        <v>6</v>
      </c>
      <c r="BQ19" t="n">
        <v>1</v>
      </c>
      <c r="BR19" s="109">
        <f>$H$31*H40</f>
        <v>0.00213447288537799995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>
        <f>PRODUCT(S5:S19)</f>
        <v>0.657324664243231016</v>
      </c>
      <c r="T20" s="178">
        <f>SUM(T5:T19)</f>
        <v>0.284883103291871986</v>
      </c>
      <c r="U20" s="178">
        <f>SUM(U5:U19)</f>
        <v>0.0521304459355479999</v>
      </c>
      <c r="V20" s="178">
        <f>1-S20-T20-U20</f>
        <v>0.00566178652934899951</v>
      </c>
      <c r="W20" s="23"/>
      <c r="X20" s="24"/>
      <c r="Y20" s="24"/>
      <c r="Z20" s="24"/>
      <c r="AA20" s="24"/>
      <c r="AB20" s="25"/>
      <c r="AC20" s="181">
        <f>PRODUCT(AC5:AC19)</f>
        <v>0.727247261015322</v>
      </c>
      <c r="AD20" s="178">
        <f>SUM(AD5:AD19)</f>
        <v>0.240562554044215027</v>
      </c>
      <c r="AE20" s="178">
        <f>SUM(AE5:AE19)</f>
        <v>0.0302200113575189988</v>
      </c>
      <c r="AF20" s="178">
        <f>1-AC20-AD20-AE20</f>
        <v>0.00197017358294400005</v>
      </c>
      <c r="BH20" t="n">
        <v>1</v>
      </c>
      <c r="BI20" t="n">
        <v>8</v>
      </c>
      <c r="BJ20" s="109">
        <f>$H$26*H47</f>
        <v>0.000359325931987999958</v>
      </c>
      <c r="BP20">
        <f>BP16+1</f>
        <v>6</v>
      </c>
      <c r="BQ20" t="n">
        <v>2</v>
      </c>
      <c r="BR20" s="109">
        <f>$H$31*H41</f>
        <v>0.00360449664359900002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BH21" s="20" t="n">
        <v>1</v>
      </c>
      <c r="BI21" t="n">
        <v>9</v>
      </c>
      <c r="BJ21" s="109">
        <f>$H$26*H48</f>
        <v>0.0000530049781760000016</v>
      </c>
      <c r="BP21">
        <f>BP17+1</f>
        <v>6</v>
      </c>
      <c r="BQ21" t="n">
        <v>3</v>
      </c>
      <c r="BR21" s="109">
        <f>$H$31*H42</f>
        <v>0.00368591587534500009</v>
      </c>
    </row>
    <row r="22" spans="1:70">
      <c r="A22" s="28" t="s">
        <v>90</v>
      </c>
      <c r="B22" s="64">
        <f>(B6)/((B6)+(C6))</f>
        <v>0.239999999999999991</v>
      </c>
      <c r="C22" s="65">
        <f>1-B22</f>
        <v>0.759999999999999964</v>
      </c>
      <c r="D22" s="26"/>
      <c r="E22" s="26"/>
      <c r="V22" s="61">
        <f>SUM(V25:V35)</f>
        <v>1</v>
      </c>
      <c r="AS22" s="84">
        <f>Y23+AA23+AC23+AE23+AG23+AI23+AK23+AM23+AO23+AQ23+AS23</f>
        <v>0.999999999999996092</v>
      </c>
      <c r="BH22" t="n">
        <v>1</v>
      </c>
      <c r="BI22" t="n">
        <v>10</v>
      </c>
      <c r="BJ22" s="109">
        <f>$H$26*H49</f>
        <v>5.646533808289632634E-06</v>
      </c>
      <c r="BP22">
        <f>BP18+1</f>
        <v>6</v>
      </c>
      <c r="BQ22" t="n">
        <v>4</v>
      </c>
      <c r="BR22" s="109">
        <f>$H$31*H43</f>
        <v>0.00254525560816400009</v>
      </c>
    </row>
    <row r="23" spans="1:70">
      <c r="A23" s="42" t="s">
        <v>91</v>
      </c>
      <c r="B23" s="58">
        <f>((B22^2.8)/((B22^2.8)+(C22^2.8)))*B21</f>
        <v>0.190718835501004982</v>
      </c>
      <c r="C23" s="59">
        <f>B21-B23</f>
        <v>4.80928116449899967</v>
      </c>
      <c r="D23" s="151">
        <f>SUM(D25:D30)</f>
        <v>1</v>
      </c>
      <c r="E23" s="151">
        <f>SUM(E25:E30)</f>
        <v>1</v>
      </c>
      <c r="H23" s="61">
        <f>SUM(H25:H35)</f>
        <v>0.999999541429956018</v>
      </c>
      <c r="J23" s="61">
        <f>SUM(J25:J35)</f>
        <v>0.999999999999996092</v>
      </c>
      <c r="K23" s="61"/>
      <c r="L23" s="61">
        <f>SUM(L25:L35)</f>
        <v>1</v>
      </c>
      <c r="N23" s="61">
        <f>SUM(N25:N35)</f>
        <v>0.999999999999985079</v>
      </c>
      <c r="O23" s="36"/>
      <c r="P23" s="61">
        <f>SUM(P25:P35)</f>
        <v>0.999999999999985079</v>
      </c>
      <c r="R23" s="61">
        <f>SUM(R25:R35)</f>
        <v>0.999999999999969091</v>
      </c>
      <c r="T23" s="61">
        <f>SUM(T25:T35)</f>
        <v>1</v>
      </c>
      <c r="V23" s="61">
        <f>SUM(V25:V34)</f>
        <v>0.999974025963586932</v>
      </c>
      <c r="Y23" s="82">
        <f>SUM(Y25:Y35)</f>
        <v>0.0132502973880340003</v>
      </c>
      <c r="Z23" s="83"/>
      <c r="AA23" s="82">
        <f>SUM(AA25:AA35)</f>
        <v>0.0752254611925490035</v>
      </c>
      <c r="AB23" s="83"/>
      <c r="AC23" s="82">
        <f>SUM(AC25:AC35)</f>
        <v>0.187040762094405011</v>
      </c>
      <c r="AD23" s="83"/>
      <c r="AE23" s="82">
        <f>SUM(AE25:AE35)</f>
        <v>0.266950320406423014</v>
      </c>
      <c r="AF23" s="83"/>
      <c r="AG23" s="82">
        <f>SUM(AG25:AG35)</f>
        <v>0.240892922570537005</v>
      </c>
      <c r="AH23" s="83"/>
      <c r="AI23" s="82">
        <f>SUM(AI25:AI35)</f>
        <v>0.142860502782858001</v>
      </c>
      <c r="AJ23" s="83"/>
      <c r="AK23" s="82">
        <f>SUM(AK25:AK35)</f>
        <v>0.0562594216163279981</v>
      </c>
      <c r="AL23" s="83"/>
      <c r="AM23" s="82">
        <f>SUM(AM25:AM35)</f>
        <v>0.0146645279251659977</v>
      </c>
      <c r="AN23" s="83"/>
      <c r="AO23" s="82">
        <f>SUM(AO25:AO35)</f>
        <v>0.00253230025627799993</v>
      </c>
      <c r="AP23" s="83"/>
      <c r="AQ23" s="82">
        <f>SUM(AQ25:AQ35)</f>
        <v>0.000297509731005000067</v>
      </c>
      <c r="AR23" s="83"/>
      <c r="AS23" s="82">
        <f>SUM(AS25:AS35)</f>
        <v>0.0000259740364130000057</v>
      </c>
      <c r="BH23">
        <f>BH15+1</f>
        <v>2</v>
      </c>
      <c r="BI23" t="n">
        <v>3</v>
      </c>
      <c r="BJ23" s="109">
        <f>$H$27*H42</f>
        <v>0.0733974947771929997</v>
      </c>
      <c r="BP23">
        <f>BL9+1</f>
        <v>6</v>
      </c>
      <c r="BQ23" t="n">
        <v>5</v>
      </c>
      <c r="BR23" s="109">
        <f>$H$31*H44</f>
        <v>0.001252967033994</v>
      </c>
    </row>
    <row r="24" spans="1:70">
      <c r="A24" s="28" t="s">
        <v>92</v>
      </c>
      <c r="B24" s="66">
        <f>B23/B21</f>
        <v>0.0381437671002010035</v>
      </c>
      <c r="C24" s="67">
        <f>C23/B21</f>
        <v>0.961856232899800112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>
        <f>$H$27*H43</f>
        <v>0.0506835726926049901</v>
      </c>
      <c r="BP24">
        <f>BH49+1</f>
        <v>7</v>
      </c>
      <c r="BQ24" t="n">
        <v>0</v>
      </c>
      <c r="BR24" s="109">
        <f>$H$32*H39</f>
        <v>0.000126297788234999997</v>
      </c>
    </row>
    <row r="25" spans="1:70">
      <c r="A25" s="28" t="s">
        <v>117</v>
      </c>
      <c r="B25" s="119">
        <f>1/(1+EXP(-3.1416*4*((B11/(B11+C8))-(3.1416/6))))</f>
        <v>0.377716723643293006</v>
      </c>
      <c r="C25" s="120">
        <f>1/(1+EXP(-3.1416*4*((C11/(C11+B8))-(3.1416/6))))</f>
        <v>0.287089440810080987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0.440000000000000036</v>
      </c>
      <c r="G25" s="126" t="n">
        <v>0</v>
      </c>
      <c r="H25" s="127">
        <f>L25*J25</f>
        <v>0.0721714123796810014</v>
      </c>
      <c r="I25" s="99" t="n">
        <v>0</v>
      </c>
      <c r="J25" s="100">
        <f>Y25+AA25+AC25+AE25+AG25+AI25+AK25+AM25+AO25+AQ25+AS25</f>
        <v>0.109795685915378005</v>
      </c>
      <c r="K25" s="99" t="n">
        <v>0</v>
      </c>
      <c r="L25" s="100">
        <f>S20</f>
        <v>0.657324664243231016</v>
      </c>
      <c r="M25" s="86" t="n">
        <v>0</v>
      </c>
      <c r="N25" s="73">
        <f>(1-$B$24)^$B$21</f>
        <v>0.823286166209791936</v>
      </c>
      <c r="O25" s="72" t="n">
        <v>0</v>
      </c>
      <c r="P25" s="73">
        <f>N25</f>
        <v>0.823286166209791936</v>
      </c>
      <c r="Q25" s="14" t="n">
        <v>0</v>
      </c>
      <c r="R25" s="75">
        <f>P25*N25</f>
        <v>0.677800111472417033</v>
      </c>
      <c r="S25" s="72" t="n">
        <v>0</v>
      </c>
      <c r="T25" s="135">
        <f>(1-$B$33)^(INT(C23*2*(1-C31)))</f>
        <v>0.0195489749319299992</v>
      </c>
      <c r="U25" s="140" t="n">
        <v>0</v>
      </c>
      <c r="V25" s="88">
        <f>R25*T25</f>
        <v>0.0132502973880340003</v>
      </c>
      <c r="W25" s="136">
        <f>B31</f>
        <v>0.574820354584900972</v>
      </c>
      <c r="X25" s="14" t="n">
        <v>0</v>
      </c>
      <c r="Y25" s="81">
        <f>V25</f>
        <v>0.0132502973880340003</v>
      </c>
      <c r="Z25" s="14" t="n">
        <v>0</v>
      </c>
      <c r="AA25" s="80">
        <f>((1-W25)^Z26)*V26</f>
        <v>0.0319843349160350021</v>
      </c>
      <c r="AB25" s="14" t="n">
        <v>0</v>
      </c>
      <c r="AC25" s="81">
        <f>(((1-$W$25)^AB27))*V27</f>
        <v>0.0338128045526149945</v>
      </c>
      <c r="AD25" s="14" t="n">
        <v>0</v>
      </c>
      <c r="AE25" s="81">
        <f>(((1-$W$25)^AB28))*V28</f>
        <v>0.0205186055506670018</v>
      </c>
      <c r="AF25" s="14" t="n">
        <v>0</v>
      </c>
      <c r="AG25" s="81">
        <f>(((1-$W$25)^AB29))*V29</f>
        <v>0.00787252234992799949</v>
      </c>
      <c r="AH25" s="14" t="n">
        <v>0</v>
      </c>
      <c r="AI25" s="81">
        <f>(((1-$W$25)^AB30))*V30</f>
        <v>0.00198506394507000028</v>
      </c>
      <c r="AJ25" s="14" t="n">
        <v>0</v>
      </c>
      <c r="AK25" s="81">
        <f>(((1-$W$25)^AB31))*V31</f>
        <v>0.000332376304985000015</v>
      </c>
      <c r="AL25" s="14" t="n">
        <v>0</v>
      </c>
      <c r="AM25" s="81">
        <f>(((1-$W$25)^AB32))*V32</f>
        <v>0.000036836244317000002</v>
      </c>
      <c r="AN25" s="14" t="n">
        <v>0</v>
      </c>
      <c r="AO25" s="81">
        <f>(((1-$W$25)^AB33))*V33</f>
        <v>2.704549423408337993E-06</v>
      </c>
      <c r="AP25" s="14" t="n">
        <v>0</v>
      </c>
      <c r="AQ25" s="81">
        <f>(((1-$W$25)^AB34))*V34</f>
        <v>1.350993824958842094E-07</v>
      </c>
      <c r="AR25" s="14" t="n">
        <v>0</v>
      </c>
      <c r="AS25" s="81">
        <f>(((1-$W$25)^AB35))*V35</f>
        <v>5.014921036537423991E-09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>
        <f>$H$27*H44</f>
        <v>0.0249502822212240005</v>
      </c>
      <c r="BP25">
        <f>BP19+1</f>
        <v>7</v>
      </c>
      <c r="BQ25" t="n">
        <v>1</v>
      </c>
      <c r="BR25" s="109">
        <f>$H$32*H40</f>
        <v>0.000466088853280000048</v>
      </c>
    </row>
    <row r="26" spans="1:70">
      <c r="A26" s="42" t="s">
        <v>118</v>
      </c>
      <c r="B26" s="121">
        <f>1/(1+EXP(-3.1416*4*((B10/(B10+C9))-(3.1416/6))))</f>
        <v>0.496192641949262025</v>
      </c>
      <c r="C26" s="120">
        <f>1/(1+EXP(-3.1416*4*((C10/(C10+B9))-(3.1416/6))))</f>
        <v>0.0734128974296150005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0.216999999999999993</v>
      </c>
      <c r="G26" s="89" t="n">
        <v>1</v>
      </c>
      <c r="H26" s="128">
        <f>L25*J26+L26*J25</f>
        <v>0.213328095644038029</v>
      </c>
      <c r="I26" s="95" t="n">
        <v>1</v>
      </c>
      <c r="J26" s="88">
        <f>Y26+AA26+AC26+AE26+AG26+AI26+AK26+AM26+AO26+AQ26+AS26</f>
        <v>0.276954707187194016</v>
      </c>
      <c r="K26" s="95" t="n">
        <v>1</v>
      </c>
      <c r="L26" s="88">
        <f>T20</f>
        <v>0.284883103291871986</v>
      </c>
      <c r="M26" s="87" t="n">
        <v>1</v>
      </c>
      <c r="N26" s="73">
        <f>(($B$24)^M26)*((1-($B$24))^($B$21-M26))*HLOOKUP($B$21,$AV$24:$BF$34,M26+1)</f>
        <v>0.163242877191995017</v>
      </c>
      <c r="O26" s="74" t="n">
        <v>1</v>
      </c>
      <c r="P26" s="73">
        <f>N26</f>
        <v>0.163242877191995017</v>
      </c>
      <c r="Q26" s="30" t="n">
        <v>1</v>
      </c>
      <c r="R26" s="39">
        <f>N26*P25+P26*N25</f>
        <v>0.268791205048906034</v>
      </c>
      <c r="S26" s="74" t="n">
        <v>1</v>
      </c>
      <c r="T26" s="135">
        <f>(($B$33)^S26)*((1-($B$33))^(INT($C$23*2*(1-$C$31))-S26))*HLOOKUP(INT($C$23*2*(1-$C$31)),$AV$24:$BF$34,S26+1)</f>
        <v>0.10323230621949</v>
      </c>
      <c r="U26" s="95" t="n">
        <v>1</v>
      </c>
      <c r="V26" s="88">
        <f>R26*T25+T26*R25</f>
        <v>0.0752254611925490035</v>
      </c>
      <c r="W26" s="137"/>
      <c r="X26" s="30" t="n">
        <v>1</v>
      </c>
      <c r="Y26" s="75"/>
      <c r="Z26" s="30" t="n">
        <v>1</v>
      </c>
      <c r="AA26" s="81">
        <f>(1-((1-W25)^Z26))*V26</f>
        <v>0.043241126276513997</v>
      </c>
      <c r="AB26" s="30" t="n">
        <v>1</v>
      </c>
      <c r="AC26" s="81">
        <f>((($W$25)^M26)*((1-($W$25))^($U$27-M26))*HLOOKUP($U$27,$AV$24:$BF$34,M26+1))*V27</f>
        <v>0.091426240705708004</v>
      </c>
      <c r="AD26" s="30" t="n">
        <v>1</v>
      </c>
      <c r="AE26" s="81">
        <f>((($W$25)^M26)*((1-($W$25))^($U$28-M26))*HLOOKUP($U$28,$AV$24:$BF$34,M26+1))*V28</f>
        <v>0.0832202028865279964</v>
      </c>
      <c r="AF26" s="30" t="n">
        <v>1</v>
      </c>
      <c r="AG26" s="81">
        <f>((($W$25)^M26)*((1-($W$25))^($U$29-M26))*HLOOKUP($U$29,$AV$24:$BF$34,M26+1))*V29</f>
        <v>0.042572932523571998</v>
      </c>
      <c r="AH26" s="30" t="n">
        <v>1</v>
      </c>
      <c r="AI26" s="81">
        <f>((($W$25)^M26)*((1-($W$25))^($U$30-M26))*HLOOKUP($U$30,$AV$24:$BF$34,M26+1))*V30</f>
        <v>0.0134185064252649999</v>
      </c>
      <c r="AJ26" s="30" t="n">
        <v>1</v>
      </c>
      <c r="AK26" s="81">
        <f>((($W$25)^M26)*((1-($W$25))^($U$31-M26))*HLOOKUP($U$31,$AV$24:$BF$34,M26+1))*V31</f>
        <v>0.00269613093026799966</v>
      </c>
      <c r="AL26" s="30" t="n">
        <v>1</v>
      </c>
      <c r="AM26" s="81">
        <f>((($W$25)^Q26)*((1-($W$25))^($U$32-Q26))*HLOOKUP($U$32,$AV$24:$BF$34,Q26+1))*V32</f>
        <v>0.000348604555128000015</v>
      </c>
      <c r="AN26" s="30" t="n">
        <v>1</v>
      </c>
      <c r="AO26" s="81">
        <f>((($W$25)^Q26)*((1-($W$25))^($U$33-Q26))*HLOOKUP($U$33,$AV$24:$BF$34,Q26+1))*V33</f>
        <v>0.000029251260267000001</v>
      </c>
      <c r="AP26" s="30" t="n">
        <v>1</v>
      </c>
      <c r="AQ26" s="81">
        <f>((($W$25)^Q26)*((1-($W$25))^($U$34-Q26))*HLOOKUP($U$34,$AV$24:$BF$34,Q26+1))*V34</f>
        <v>1.643824868123079011E-06</v>
      </c>
      <c r="AR26" s="30" t="n">
        <v>1</v>
      </c>
      <c r="AS26" s="81">
        <f>((($W$25)^Q26)*((1-($W$25))^($U$35-Q26))*HLOOKUP($U$35,$AV$24:$BF$34,Q26+1))*V35</f>
        <v>6.779907550899089051E-08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>
        <f>$H$27*H45</f>
        <v>0.00900897238606400208</v>
      </c>
      <c r="BP26">
        <f>BP20+1</f>
        <v>7</v>
      </c>
      <c r="BQ26" t="n">
        <v>2</v>
      </c>
      <c r="BR26" s="109">
        <f>$H$32*H41</f>
        <v>0.00078708692847599977</v>
      </c>
    </row>
    <row r="27" spans="1:70">
      <c r="A27" s="28" t="s">
        <v>119</v>
      </c>
      <c r="B27" s="121">
        <f>1/(1+EXP(-3.1416*4*((B12/(B12+C7))-(3.1416/6))))</f>
        <v>0.839348905553040048</v>
      </c>
      <c r="C27" s="120">
        <f>1/(1+EXP(-3.1416*4*((C12/(C12+B7))-(3.1416/6))))</f>
        <v>0.113461292935564995</v>
      </c>
      <c r="D27" s="153">
        <f>D26</f>
        <v>0.257000000000000028</v>
      </c>
      <c r="E27" s="153">
        <f>E26</f>
        <v>0.216999999999999993</v>
      </c>
      <c r="G27" s="89" t="n">
        <v>2</v>
      </c>
      <c r="H27" s="128">
        <f>L25*J27+J26*L26+J25*L27</f>
        <v>0.28681774932134104</v>
      </c>
      <c r="I27" s="95" t="n">
        <v>2</v>
      </c>
      <c r="J27" s="88">
        <f>Y27+AA27+AC27+AE27+AG27+AI27+AK27+AM27+AO27+AQ27+AS27</f>
        <v>0.307601929148325004</v>
      </c>
      <c r="K27" s="95" t="n">
        <v>2</v>
      </c>
      <c r="L27" s="88">
        <f>U20</f>
        <v>0.0521304459355479999</v>
      </c>
      <c r="M27" s="87" t="n">
        <v>2</v>
      </c>
      <c r="N27" s="73">
        <f>(($B$24)^M27)*((1-($B$24))^($B$21-M27))*HLOOKUP($B$21,$AV$24:$BF$34,M27+1)</f>
        <v>0.0129472536027600004</v>
      </c>
      <c r="O27" s="74" t="n">
        <v>2</v>
      </c>
      <c r="P27" s="73">
        <f>N27</f>
        <v>0.0129472536027600004</v>
      </c>
      <c r="Q27" s="30" t="n">
        <v>2</v>
      </c>
      <c r="R27" s="39">
        <f>P25*N27+P26*N26+P27*N25</f>
        <v>0.047966826517045007</v>
      </c>
      <c r="S27" s="74" t="n">
        <v>2</v>
      </c>
      <c r="T27" s="135">
        <f>(($B$33)^S27)*((1-($B$33))^(INT($C$23*2*(1-$C$31))-S27))*HLOOKUP(INT($C$23*2*(1-$C$31)),$AV$24:$BF$34,S27+1)</f>
        <v>0.233631008812530006</v>
      </c>
      <c r="U27" s="95" t="n">
        <v>2</v>
      </c>
      <c r="V27" s="88">
        <f>R27*T25+T26*R26+R25*T27</f>
        <v>0.187040762094406006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>
        <f>((($W$25)^M27)*((1-($W$25))^($U$27-M27))*HLOOKUP($U$27,$AV$24:$BF$34,M27+1))*V27</f>
        <v>0.0618017168360819991</v>
      </c>
      <c r="AD27" s="30" t="n">
        <v>2</v>
      </c>
      <c r="AE27" s="81">
        <f>((($W$25)^M27)*((1-($W$25))^($U$28-M27))*HLOOKUP($U$28,$AV$24:$BF$34,M27+1))*V28</f>
        <v>0.112509305296492013</v>
      </c>
      <c r="AF27" s="30" t="n">
        <v>2</v>
      </c>
      <c r="AG27" s="81">
        <f>((($W$25)^M27)*((1-($W$25))^($U$29-M27))*HLOOKUP($U$29,$AV$24:$BF$34,M27+1))*V29</f>
        <v>0.0863345238870519971</v>
      </c>
      <c r="AH27" s="30" t="n">
        <v>2</v>
      </c>
      <c r="AI27" s="81">
        <f>((($W$25)^M27)*((1-($W$25))^($U$30-M27))*HLOOKUP($U$30,$AV$24:$BF$34,M27+1))*V30</f>
        <v>0.0362822195490579968</v>
      </c>
      <c r="AJ27" s="30" t="n">
        <v>2</v>
      </c>
      <c r="AK27" s="81">
        <f>((($W$25)^M27)*((1-($W$25))^($U$31-M27))*HLOOKUP($U$31,$AV$24:$BF$34,M27+1))*V31</f>
        <v>0.00911256544178399963</v>
      </c>
      <c r="AL27" s="30" t="n">
        <v>2</v>
      </c>
      <c r="AM27" s="81">
        <f>((($W$25)^Q27)*((1-($W$25))^($U$32-Q27))*HLOOKUP($U$32,$AV$24:$BF$34,Q27+1))*V32</f>
        <v>0.00141388466839299998</v>
      </c>
      <c r="AN27" s="30" t="n">
        <v>2</v>
      </c>
      <c r="AO27" s="81">
        <f>((($W$25)^Q27)*((1-($W$25))^($U$33-Q27))*HLOOKUP($U$33,$AV$24:$BF$34,Q27+1))*V33</f>
        <v>0.000138411539524999959</v>
      </c>
      <c r="AP27" s="30" t="n">
        <v>2</v>
      </c>
      <c r="AQ27" s="81">
        <f>((($W$25)^Q27)*((1-($W$25))^($U$34-Q27))*HLOOKUP($U$34,$AV$24:$BF$34,Q27+1))*V34</f>
        <v>8.889456527473025267E-06</v>
      </c>
      <c r="AR27" s="30" t="n">
        <v>2</v>
      </c>
      <c r="AS27" s="81">
        <f>((($W$25)^Q27)*((1-($W$25))^($U$35-Q27))*HLOOKUP($U$35,$AV$24:$BF$34,Q27+1))*V35</f>
        <v>4.124734114198270883E-07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>
        <f>$H$27*H46</f>
        <v>0.00241763112057499985</v>
      </c>
      <c r="BP27">
        <f>BP21+1</f>
        <v>7</v>
      </c>
      <c r="BQ27" t="n">
        <v>3</v>
      </c>
      <c r="BR27" s="109">
        <f>$H$32*H42</f>
        <v>0.000804865836147999936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>
        <f>J28*L25+J27*L26+L28*J25+L27*J26</f>
        <v>0.232566092936301994</v>
      </c>
      <c r="I28" s="95" t="n">
        <v>3</v>
      </c>
      <c r="J28" s="88">
        <f>Y28+AA28+AC28+AE28+AG28+AI28+AK28+AM28+AO28+AQ28+AS28</f>
        <v>0.197582862353675992</v>
      </c>
      <c r="K28" s="95" t="n">
        <v>3</v>
      </c>
      <c r="L28" s="88">
        <f>V20</f>
        <v>0.00566178652934899951</v>
      </c>
      <c r="M28" s="87" t="n">
        <v>3</v>
      </c>
      <c r="N28" s="73">
        <f>(($B$24)^M28)*((1-($B$24))^($B$21-M28))*HLOOKUP($B$21,$AV$24:$BF$34,M28+1)</f>
        <v>0.000513441623719999996</v>
      </c>
      <c r="O28" s="74" t="n">
        <v>3</v>
      </c>
      <c r="P28" s="73">
        <f>N28</f>
        <v>0.000513441623719999996</v>
      </c>
      <c r="Q28" s="30" t="n">
        <v>3</v>
      </c>
      <c r="R28" s="39">
        <f>P25*N28+P26*N27+P27*N26+P28*N25</f>
        <v>0.00507251263162800026</v>
      </c>
      <c r="S28" s="74" t="n">
        <v>3</v>
      </c>
      <c r="T28" s="135">
        <f>(($B$33)^S28)*((1-($B$33))^(INT($C$23*2*(1-$C$31))-S28))*HLOOKUP(INT($C$23*2*(1-$C$31)),$AV$24:$BF$34,S28+1)</f>
        <v>0.293746590027450019</v>
      </c>
      <c r="U28" s="95" t="n">
        <v>3</v>
      </c>
      <c r="V28" s="88">
        <f>R28*T25+R27*T26+R26*T27+R25*T28</f>
        <v>0.266950320406423014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>
        <f>((($W$25)^M28)*((1-($W$25))^($U$28-M28))*HLOOKUP($U$28,$AV$24:$BF$34,M28+1))*V28</f>
        <v>0.0507022066727359899</v>
      </c>
      <c r="AF28" s="30" t="n">
        <v>3</v>
      </c>
      <c r="AG28" s="81">
        <f>((($W$25)^M28)*((1-($W$25))^($U$29-M28))*HLOOKUP($U$29,$AV$24:$BF$34,M28+1))*V29</f>
        <v>0.0778131348616569962</v>
      </c>
      <c r="AH28" s="30" t="n">
        <v>3</v>
      </c>
      <c r="AI28" s="81">
        <f>((($W$25)^M28)*((1-($W$25))^($U$30-M28))*HLOOKUP($U$30,$AV$24:$BF$34,M28+1))*V30</f>
        <v>0.0490516385984459991</v>
      </c>
      <c r="AJ28" s="30" t="n">
        <v>3</v>
      </c>
      <c r="AK28" s="81">
        <f>((($W$25)^M28)*((1-($W$25))^($U$31-M28))*HLOOKUP($U$31,$AV$24:$BF$34,M28+1))*V31</f>
        <v>0.0164262742581369992</v>
      </c>
      <c r="AL28" s="30" t="n">
        <v>3</v>
      </c>
      <c r="AM28" s="81">
        <f>((($W$25)^Q28)*((1-($W$25))^($U$32-Q28))*HLOOKUP($U$32,$AV$24:$BF$34,Q28+1))*V32</f>
        <v>0.00318582860676900026</v>
      </c>
      <c r="AN28" s="30" t="n">
        <v>3</v>
      </c>
      <c r="AO28" s="81">
        <f>((($W$25)^Q28)*((1-($W$25))^($U$33-Q28))*HLOOKUP($U$33,$AV$24:$BF$34,Q28+1))*V33</f>
        <v>0.00037425013678900001</v>
      </c>
      <c r="AP28" s="30" t="n">
        <v>3</v>
      </c>
      <c r="AQ28" s="81">
        <f>((($W$25)^Q28)*((1-($W$25))^($U$34-Q28))*HLOOKUP($U$34,$AV$24:$BF$34,Q28+1))*V34</f>
        <v>0.0000280421732769999998</v>
      </c>
      <c r="AR28" s="30" t="n">
        <v>3</v>
      </c>
      <c r="AS28" s="81">
        <f>((($W$25)^Q28)*((1-($W$25))^($U$35-Q28))*HLOOKUP($U$35,$AV$24:$BF$34,Q28+1))*V35</f>
        <v>1.487045865064496E-06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>
        <f>$H$27*H47</f>
        <v>0.000483110556883999998</v>
      </c>
      <c r="BP28">
        <f>BP22+1</f>
        <v>7</v>
      </c>
      <c r="BQ28" t="n">
        <v>4</v>
      </c>
      <c r="BR28" s="109">
        <f>$H$32*H43</f>
        <v>0.000555788399018999968</v>
      </c>
    </row>
    <row r="29" spans="1:70">
      <c r="A29" s="28" t="s">
        <v>121</v>
      </c>
      <c r="B29" s="121">
        <f>1/(1+EXP(-3.1416*4*((B14/(B14+C13))-(3.1416/6))))</f>
        <v>0.476546431954179006</v>
      </c>
      <c r="C29" s="120">
        <f>1/(1+EXP(-3.1416*4*((C14/(C14+B13))-(3.1416/6))))</f>
        <v>0.450190154329724024</v>
      </c>
      <c r="D29" s="153" t="n">
        <v>0.04</v>
      </c>
      <c r="E29" s="153" t="n">
        <v>0.04</v>
      </c>
      <c r="G29" s="89" t="n">
        <v>4</v>
      </c>
      <c r="H29" s="128">
        <f>J29*L25+J28*L26+J27*L27+J26*L28</f>
        <v>0.127209027116522</v>
      </c>
      <c r="I29" s="95" t="n">
        <v>4</v>
      </c>
      <c r="J29" s="88">
        <f>Y29+AA29+AC29+AE29+AG29+AI29+AK29+AM29+AO29+AQ29+AS29</f>
        <v>0.0811129216119869945</v>
      </c>
      <c r="K29" s="95" t="n">
        <v>4</v>
      </c>
      <c r="L29" s="88"/>
      <c r="M29" s="87" t="n">
        <v>4</v>
      </c>
      <c r="N29" s="73">
        <f>(($B$24)^M29)*((1-($B$24))^($B$21-M29))*HLOOKUP($B$21,$AV$24:$BF$34,M29+1)</f>
        <v>0.0000101806262960000016</v>
      </c>
      <c r="O29" s="74" t="n">
        <v>4</v>
      </c>
      <c r="P29" s="73">
        <f>N29</f>
        <v>0.0000101806262960000016</v>
      </c>
      <c r="Q29" s="30" t="n">
        <v>4</v>
      </c>
      <c r="R29" s="39">
        <f>P25*N29+P26*N28+P27*N27+P28*N26+P29*N25</f>
        <v>0.000352025889292000027</v>
      </c>
      <c r="S29" s="74" t="n">
        <v>4</v>
      </c>
      <c r="T29" s="135">
        <f>(($B$33)^S29)*((1-($B$33))^(INT($C$23*2*(1-$C$31))-S29))*HLOOKUP(INT($C$23*2*(1-$C$31)),$AV$24:$BF$34,S29+1)</f>
        <v>0.221598304757550002</v>
      </c>
      <c r="U29" s="95" t="n">
        <v>4</v>
      </c>
      <c r="V29" s="88">
        <f>T29*R25+T28*R26+T27*R27+T26*R28+T25*R29</f>
        <v>0.240892922570539003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>
        <f>((($W$25)^M29)*((1-($W$25))^($U$29-M29))*HLOOKUP($U$29,$AV$24:$BF$34,M29+1))*V29</f>
        <v>0.0262998089483280006</v>
      </c>
      <c r="AH29" s="30" t="n">
        <v>4</v>
      </c>
      <c r="AI29" s="81">
        <f>((($W$25)^M29)*((1-($W$25))^($U$30-M29))*HLOOKUP($U$30,$AV$24:$BF$34,M29+1))*V30</f>
        <v>0.0331576083147170042</v>
      </c>
      <c r="AJ29" s="30" t="n">
        <v>4</v>
      </c>
      <c r="AK29" s="81">
        <f>((($W$25)^M29)*((1-($W$25))^($U$31-M29))*HLOOKUP($U$31,$AV$24:$BF$34,M29+1))*V31</f>
        <v>0.0166555893997809985</v>
      </c>
      <c r="AL29" s="30" t="n">
        <v>4</v>
      </c>
      <c r="AM29" s="81">
        <f>((($W$25)^Q29)*((1-($W$25))^($U$32-Q29))*HLOOKUP($U$32,$AV$24:$BF$34,Q29+1))*V32</f>
        <v>0.0043070714911620005</v>
      </c>
      <c r="AN29" s="30" t="n">
        <v>4</v>
      </c>
      <c r="AO29" s="81">
        <f>((($W$25)^Q29)*((1-($W$25))^($U$33-Q29))*HLOOKUP($U$33,$AV$24:$BF$34,Q29+1))*V33</f>
        <v>0.000632457946459000109</v>
      </c>
      <c r="AP29" s="30" t="n">
        <v>4</v>
      </c>
      <c r="AQ29" s="81">
        <f>((($W$25)^Q29)*((1-($W$25))^($U$34-Q29))*HLOOKUP($U$34,$AV$24:$BF$34,Q29+1))*V34</f>
        <v>0.0000568672988949999958</v>
      </c>
      <c r="AR29" s="30" t="n">
        <v>4</v>
      </c>
      <c r="AS29" s="81">
        <f>((($W$25)^Q29)*((1-($W$25))^($U$35-Q29))*HLOOKUP($U$35,$AV$24:$BF$34,Q29+1))*V35</f>
        <v>3.518212645292671127E-06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>
        <f>$H$27*H48</f>
        <v>0.0000712647272139999988</v>
      </c>
      <c r="BP29">
        <f>BP23+1</f>
        <v>7</v>
      </c>
      <c r="BQ29" t="n">
        <v>5</v>
      </c>
      <c r="BR29" s="109">
        <f>$H$32*H44</f>
        <v>0.000273601024437000007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>
        <f>J30*L25+J29*L26+J28*L27+J27*L28</f>
        <v>0.0497635568715470011</v>
      </c>
      <c r="I30" s="95" t="n">
        <v>5</v>
      </c>
      <c r="J30" s="88">
        <f>Y30+AA30+AC30+AE30+AG30+AI30+AK30+AM30+AO30+AQ30+AS30</f>
        <v>0.0222328442215169986</v>
      </c>
      <c r="K30" s="95" t="n">
        <v>5</v>
      </c>
      <c r="L30" s="88"/>
      <c r="M30" s="87" t="n">
        <v>5</v>
      </c>
      <c r="N30" s="73">
        <f>(($B$24)^M30)*((1-($B$24))^($B$21-M30))*HLOOKUP($B$21,$AV$24:$BF$34,M30+1)</f>
        <v>8.074542225340324191E-08</v>
      </c>
      <c r="O30" s="74" t="n">
        <v>5</v>
      </c>
      <c r="P30" s="73">
        <f>N30</f>
        <v>8.074542225340324191E-08</v>
      </c>
      <c r="Q30" s="30" t="n">
        <v>5</v>
      </c>
      <c r="R30" s="39">
        <f>P25*N30+P26*N29+P27*N28+P28*N27+P29*N26+P30*N25</f>
        <v>0.0000167521004589999967</v>
      </c>
      <c r="S30" s="74" t="n">
        <v>5</v>
      </c>
      <c r="T30" s="135">
        <f>(($B$33)^S30)*((1-($B$33))^(INT($C$23*2*(1-$C$31))-S30))*HLOOKUP(INT($C$23*2*(1-$C$31)),$AV$24:$BF$34,S30+1)</f>
        <v>0.100302390574470013</v>
      </c>
      <c r="U30" s="95" t="n">
        <v>5</v>
      </c>
      <c r="V30" s="88">
        <f>T30*R25+T29*R26+T28*R27+T27*R28+T26*R29+T25*R30</f>
        <v>0.142860502782858001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>
        <f>((($W$25)^M30)*((1-($W$25))^($U$30-M30))*HLOOKUP($U$30,$AV$24:$BF$34,M30+1))*V30</f>
        <v>0.00896546595030199889</v>
      </c>
      <c r="AJ30" s="30" t="n">
        <v>5</v>
      </c>
      <c r="AK30" s="81">
        <f>((($W$25)^M30)*((1-($W$25))^($U$31-M30))*HLOOKUP($U$31,$AV$24:$BF$34,M30+1))*V31</f>
        <v>0.00900698978217200086</v>
      </c>
      <c r="AL30" s="30" t="n">
        <v>5</v>
      </c>
      <c r="AM30" s="81">
        <f>((($W$25)^Q30)*((1-($W$25))^($U$32-Q30))*HLOOKUP($U$32,$AV$24:$BF$34,Q30+1))*V32</f>
        <v>0.00349375948044999962</v>
      </c>
      <c r="AN30" s="30" t="n">
        <v>5</v>
      </c>
      <c r="AO30" s="81">
        <f>((($W$25)^Q30)*((1-($W$25))^($U$33-Q30))*HLOOKUP($U$33,$AV$24:$BF$34,Q30+1))*V33</f>
        <v>0.000684039708793999868</v>
      </c>
      <c r="AP30" s="30" t="n">
        <v>5</v>
      </c>
      <c r="AQ30" s="81">
        <f>((($W$25)^Q30)*((1-($W$25))^($U$34-Q30))*HLOOKUP($U$34,$AV$24:$BF$34,Q30+1))*V34</f>
        <v>0.000076881575276999996</v>
      </c>
      <c r="AR30" s="30" t="n">
        <v>5</v>
      </c>
      <c r="AS30" s="81">
        <f>((($W$25)^Q30)*((1-($W$25))^($U$35-Q30))*HLOOKUP($U$35,$AV$24:$BF$34,Q30+1))*V35</f>
        <v>5.707724521853508422E-06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>
        <f>$H$27*H49</f>
        <v>7.591715069087078389E-06</v>
      </c>
      <c r="BP30">
        <f>BL10+1</f>
        <v>7</v>
      </c>
      <c r="BQ30" t="n">
        <v>6</v>
      </c>
      <c r="BR30" s="109">
        <f>$H$32*H45</f>
        <v>0.0000987910297799999881</v>
      </c>
    </row>
    <row r="31" spans="1:70">
      <c r="A31" s="186" t="s">
        <v>123</v>
      </c>
      <c r="B31" s="62">
        <f>(B25*D25)+(B26*D26)+(B27*D27)+(B28*D28)+(B29*D29)+(B30*D30)/(B25+B26+B27+B28+B29+B30)</f>
        <v>0.574820354584900972</v>
      </c>
      <c r="C31" s="63">
        <f>(C25*E25)+(C26*E26)+(C27*E27)+(C28*E28)+(C29*E29)+(C30*E30)/(C25+C26+C27+C28+C29+C30)</f>
        <v>0.261454641361402995</v>
      </c>
      <c r="G31" s="89" t="n">
        <v>6</v>
      </c>
      <c r="H31" s="128">
        <f>J31*L25+J30*L26+J29*L27+J28*L28</f>
        <v>0.0144035719306690009</v>
      </c>
      <c r="I31" s="95" t="n">
        <v>6</v>
      </c>
      <c r="J31" s="88">
        <f>Y31+AA31+AC31+AE31+AG31+AI31+AK31+AM31+AO31+AQ31+AS31</f>
        <v>0.00414207112355999918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>
        <f>P26*N30+P27*N29+P28*N28+P29*N27+P30*N26</f>
        <v>5.536068320441646037E-07</v>
      </c>
      <c r="S31" s="72" t="n">
        <v>6</v>
      </c>
      <c r="T31" s="135">
        <f>(($B$33)^S31)*((1-($B$33))^(INT($C$23*2*(1-$C$31))-S31))*HLOOKUP(INT($C$23*2*(1-$C$31)),$AV$24:$BF$34,S31+1)</f>
        <v>0.0252222385655100023</v>
      </c>
      <c r="U31" s="95" t="n">
        <v>6</v>
      </c>
      <c r="V31" s="88">
        <f>T31*R25+T30*R26+T29*R27+T28*R28+T27*R29+T26*R30+T25*R31</f>
        <v>0.0562594216163270033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>
        <f>((($W$25)^Q31)*((1-($W$25))^($U$31-Q31))*HLOOKUP($U$31,$AV$24:$BF$34,Q31+1))*V31</f>
        <v>0.00202949549920099992</v>
      </c>
      <c r="AL31" s="30" t="n">
        <v>6</v>
      </c>
      <c r="AM31" s="81">
        <f>((($W$25)^Q31)*((1-($W$25))^($U$32-Q31))*HLOOKUP($U$32,$AV$24:$BF$34,Q31+1))*V32</f>
        <v>0.00157445923940099997</v>
      </c>
      <c r="AN31" s="30" t="n">
        <v>6</v>
      </c>
      <c r="AO31" s="81">
        <f>((($W$25)^Q31)*((1-($W$25))^($U$33-Q31))*HLOOKUP($U$33,$AV$24:$BF$34,Q31+1))*V33</f>
        <v>0.000462392722933999956</v>
      </c>
      <c r="AP31" s="30" t="n">
        <v>6</v>
      </c>
      <c r="AQ31" s="81">
        <f>((($W$25)^Q31)*((1-($W$25))^($U$34-Q31))*HLOOKUP($U$34,$AV$24:$BF$34,Q31+1))*V34</f>
        <v>0.0000692932110590000061</v>
      </c>
      <c r="AR31" s="30" t="n">
        <v>6</v>
      </c>
      <c r="AS31" s="81">
        <f>((($W$25)^Q31)*((1-($W$25))^($U$35-Q31))*HLOOKUP($U$35,$AV$24:$BF$34,Q31+1))*V35</f>
        <v>6.430450965260419849E-06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>
        <f>$H$28*H43</f>
        <v>0.0410967609398749989</v>
      </c>
      <c r="BP31">
        <f>BP24+1</f>
        <v>8</v>
      </c>
      <c r="BQ31" t="n">
        <v>0</v>
      </c>
      <c r="BR31" s="109">
        <f>$H$33*H39</f>
        <v>0.0000209847899379999969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>
        <f>J32*L25+J31*L26+J30*L27+J29*L28</f>
        <v>0.00314520009614100005</v>
      </c>
      <c r="I32" s="95" t="n">
        <v>7</v>
      </c>
      <c r="J32" s="88">
        <f>Y32+AA32+AC32+AE32+AG32+AI32+AK32+AM32+AO32+AQ32+AS32</f>
        <v>0.000527809024454000042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>
        <f>P27*N30+P28*N29+P29*N28+P30*N27</f>
        <v>1.254517751016304161E-08</v>
      </c>
      <c r="S32" s="74" t="n">
        <v>7</v>
      </c>
      <c r="T32" s="135">
        <f>(($B$33)^S32)*((1-($B$33))^(INT($C$23*2*(1-$C$31))-S32))*HLOOKUP(INT($C$23*2*(1-$C$31)),$AV$24:$BF$34,S32+1)</f>
        <v>0.00271818611107000008</v>
      </c>
      <c r="U32" s="95" t="n">
        <v>7</v>
      </c>
      <c r="V32" s="88">
        <f>T32*R25+T31*R26+T30*R27+T29*R28+T28*R29+T27*R30+T26*R31+T25*R32</f>
        <v>0.0146645279251659977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>
        <f>((($W$25)^Q32)*((1-($W$25))^($U$32-Q32))*HLOOKUP($U$32,$AV$24:$BF$34,Q32+1))*V32</f>
        <v>0.000304083639545999995</v>
      </c>
      <c r="AN32" s="30" t="n">
        <v>7</v>
      </c>
      <c r="AO32" s="81">
        <f>((($W$25)^Q32)*((1-($W$25))^($U$33-Q32))*HLOOKUP($U$33,$AV$24:$BF$34,Q32+1))*V33</f>
        <v>0.000178608703954999992</v>
      </c>
      <c r="AP32" s="30" t="n">
        <v>7</v>
      </c>
      <c r="AQ32" s="81">
        <f>((($W$25)^Q32)*((1-($W$25))^($U$34-Q32))*HLOOKUP($U$34,$AV$24:$BF$34,Q32+1))*V34</f>
        <v>0.0000401488929419999963</v>
      </c>
      <c r="AR32" s="30" t="n">
        <v>7</v>
      </c>
      <c r="AS32" s="81">
        <f>((($W$25)^Q32)*((1-($W$25))^($U$35-Q32))*HLOOKUP($U$35,$AV$24:$BF$34,Q32+1))*V35</f>
        <v>4.967788011293345219E-06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>
        <f>$H$28*H44</f>
        <v>0.0202309294580900012</v>
      </c>
      <c r="BP32">
        <f>BP25+1</f>
        <v>8</v>
      </c>
      <c r="BQ32" t="n">
        <v>1</v>
      </c>
      <c r="BR32" s="109">
        <f>$H$33*H40</f>
        <v>0.0000774421849770000037</v>
      </c>
    </row>
    <row r="33" spans="1:70">
      <c r="A33" s="28" t="s">
        <v>125</v>
      </c>
      <c r="B33" s="77">
        <f>IF(B17&lt;&gt;"CA",0.005,IF((B18-B16)&lt;0,0.1,0.1+0.055*(B18-B16)))</f>
        <v>0.429999999999999982</v>
      </c>
      <c r="C33" s="60">
        <f>IF(C17&lt;&gt;"CA",0.005,IF((C18-C16)&lt;0,0.1,0.1+0.055*(C18-C16)))</f>
        <v>0.005</v>
      </c>
      <c r="G33" s="89" t="n">
        <v>8</v>
      </c>
      <c r="H33" s="128">
        <f>J33*L25+J32*L26+J31*L27+J30*L28</f>
        <v>0.000522585266565000062</v>
      </c>
      <c r="I33" s="95" t="n">
        <v>8</v>
      </c>
      <c r="J33" s="88">
        <f>Y33+AA33+AC33+AE33+AG33+AI33+AK33+AM33+AO33+AQ33+AS33</f>
        <v>0.0000462720519979999967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>
        <f>P28*N30+P29*N29+P30*N28</f>
        <v>1.865612731982954891E-10</v>
      </c>
      <c r="S33" s="74" t="n">
        <v>8</v>
      </c>
      <c r="T33" s="135">
        <f>(($B$33)^S33)*((1-($B$33))^(INT($C$23*2*(1-$C$31))-S33))*HLOOKUP(INT($C$23*2*(1-$C$31)),$AV$24:$BF$34,S33+1)</f>
        <v>0</v>
      </c>
      <c r="U33" s="95" t="n">
        <v>8</v>
      </c>
      <c r="V33" s="88">
        <f>T33*R25+T32*R26+T31*R27+T30*R28+T29*R29+T28*R30+T27*R31+T26*R32+T25*R33</f>
        <v>0.00253230025627799993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>
        <f>((($W$25)^Q33)*((1-($W$25))^($U$33-Q33))*HLOOKUP($U$33,$AV$24:$BF$34,Q33+1))*V33</f>
        <v>0.0000301836881320000039</v>
      </c>
      <c r="AP33" s="30" t="n">
        <v>8</v>
      </c>
      <c r="AQ33" s="81">
        <f>((($W$25)^Q33)*((1-($W$25))^($U$34-Q33))*HLOOKUP($U$34,$AV$24:$BF$34,Q33+1))*V34</f>
        <v>0.0000135697940420000029</v>
      </c>
      <c r="AR33" s="30" t="n">
        <v>8</v>
      </c>
      <c r="AS33" s="81">
        <f>((($W$25)^Q33)*((1-($W$25))^($U$35-Q33))*HLOOKUP($U$35,$AV$24:$BF$34,Q33+1))*V35</f>
        <v>2.518569824202895867E-06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>
        <f>$H$28*H45</f>
        <v>0.00730492277467300077</v>
      </c>
      <c r="BP33">
        <f>BP26+1</f>
        <v>8</v>
      </c>
      <c r="BQ33" t="n">
        <v>2</v>
      </c>
      <c r="BR33" s="109">
        <f>$H$33*H41</f>
        <v>0.000130777063383999992</v>
      </c>
    </row>
    <row r="34" spans="1:70">
      <c r="A34" s="42" t="s">
        <v>126</v>
      </c>
      <c r="B34" s="58">
        <f>B23*2</f>
        <v>0.381437671002009981</v>
      </c>
      <c r="C34" s="59">
        <f>C23*2</f>
        <v>9.61856232899799934</v>
      </c>
      <c r="G34" s="89" t="n">
        <v>9</v>
      </c>
      <c r="H34" s="128">
        <f>J34*L25+J33*L26+J32*L27+J31*L28</f>
        <v>0.0000659858334960000015</v>
      </c>
      <c r="I34" s="95" t="n">
        <v>9</v>
      </c>
      <c r="J34" s="88">
        <f>Y34+AA34+AC34+AE34+AG34+AI34+AK34+AM34+AO34+AQ34+AS34</f>
        <v>2.795065394958155803E-06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>
        <f>P29*N30+P30*N29</f>
        <v>1.644077938149241077E-12</v>
      </c>
      <c r="S34" s="74" t="n">
        <v>9</v>
      </c>
      <c r="T34" s="135">
        <f>(($B$33)^S34)*((1-($B$33))^(INT($C$23*2*(1-$C$31))-S34))*HLOOKUP(INT($C$23*2*(1-$C$31)),$AV$24:$BF$34,S34+1)</f>
        <v>0</v>
      </c>
      <c r="U34" s="95" t="n">
        <v>9</v>
      </c>
      <c r="V34" s="88">
        <f>T34*R25+T33*R26+T32*R27+T31*R28+T30*R29+T29*R30+T28*R31+T27*R32+T26*R33+T25*R34</f>
        <v>0.000297509731007000013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>
        <f>((($W$25)^Q34)*((1-($W$25))^($U$34-Q34))*HLOOKUP($U$34,$AV$24:$BF$34,Q34+1))*V34</f>
        <v>2.038404735291305813E-06</v>
      </c>
      <c r="AR34" s="30" t="n">
        <v>9</v>
      </c>
      <c r="AS34" s="81">
        <f>((($W$25)^Q34)*((1-($W$25))^($U$35-Q34))*HLOOKUP($U$35,$AV$24:$BF$34,Q34+1))*V35</f>
        <v>7.566606596668505193E-07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>
        <f>$H$28*H46</f>
        <v>0.00196033552736499992</v>
      </c>
      <c r="BP34">
        <f>BP27+1</f>
        <v>8</v>
      </c>
      <c r="BQ34" t="n">
        <v>3</v>
      </c>
      <c r="BR34" s="109">
        <f>$H$33*H42</f>
        <v>0.000133731086950000022</v>
      </c>
    </row>
    <row r="35" spans="7:70">
      <c r="G35" s="90" t="n">
        <v>10</v>
      </c>
      <c r="H35" s="129">
        <f>J35*L25+J34*L26+J33*L27+J32*L28</f>
        <v>6.264033654016427333E-06</v>
      </c>
      <c r="I35" s="96" t="n">
        <v>10</v>
      </c>
      <c r="J35" s="91">
        <f>Y35+AA35+AC35+AE35+AG35+AI35+AK35+AM35+AO35+AQ35+AS35</f>
        <v>1.022965123990030053E-07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>
        <f>P30*N30</f>
        <v>6.519823214880387111E-15</v>
      </c>
      <c r="S35" s="74" t="n">
        <v>10</v>
      </c>
      <c r="T35" s="135">
        <f>(($B$33)^S35)*((1-($B$33))^(INT($C$23*2*(1-$C$31))-S35))*HLOOKUP(INT($C$23*2*(1-$C$31)),$AV$24:$BF$34,S35+1)</f>
        <v>0</v>
      </c>
      <c r="U35" s="96" t="n">
        <v>10</v>
      </c>
      <c r="V35" s="91">
        <f>IF(((T35*R25+T34*R26+T33*R27+T32*R28+T31*R29+T30*R30+T29*R31+T28*R32+T27*R33+T26*R34+T25*R35)+V23)&lt;&gt;1,1-V23,(T35*R25+T34*R26+T33*R27+T32*R28+T31*R29+T30*R30+T29*R31+T28*R32+T27*R33+T26*R34+T25*R35))</f>
        <v>0.0000259740364130000057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>
        <f>((($W$25)^Q35)*((1-($W$25))^($U$35-Q35))*HLOOKUP($U$35,$AV$24:$BF$34,Q35+1))*V35</f>
        <v>1.022965123990030053E-07</v>
      </c>
      <c r="BH35">
        <f>BH28+1</f>
        <v>3</v>
      </c>
      <c r="BI35" t="n">
        <v>8</v>
      </c>
      <c r="BJ35" s="109">
        <f>$H$28*H47</f>
        <v>0.000391730061812999963</v>
      </c>
      <c r="BP35">
        <f>BP28+1</f>
        <v>8</v>
      </c>
      <c r="BQ35" t="n">
        <v>4</v>
      </c>
      <c r="BR35" s="109">
        <f>$H$33*H43</f>
        <v>0.0000923460574130000111</v>
      </c>
    </row>
    <row r="36" spans="1:70">
      <c r="A36" s="3"/>
      <c r="B36" s="110">
        <f>SUM(B37:B39)</f>
        <v>0.999991238261532978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>
        <f>SUM(V39:V49)</f>
        <v>1</v>
      </c>
      <c r="W36" s="15"/>
      <c r="X36" s="15"/>
      <c r="AS36" s="84">
        <f>Y37+AA37+AC37+AE37+AG37+AI37+AK37+AM37+AO37+AQ37+AS37</f>
        <v>1.00000000000005995</v>
      </c>
      <c r="BH36">
        <f>BH29+1</f>
        <v>3</v>
      </c>
      <c r="BI36" t="n">
        <v>9</v>
      </c>
      <c r="BJ36" s="109">
        <f>$H$28*H48</f>
        <v>0.0000577849844079999997</v>
      </c>
      <c r="BP36">
        <f>BP29+1</f>
        <v>8</v>
      </c>
      <c r="BQ36" t="n">
        <v>5</v>
      </c>
      <c r="BR36" s="109">
        <f>$H$33*H44</f>
        <v>0.0000454597036489999962</v>
      </c>
    </row>
    <row r="37" spans="1:70">
      <c r="A37" s="111" t="s">
        <v>127</v>
      </c>
      <c r="B37" s="109">
        <f>SUM(BN4:BN14)</f>
        <v>0.193089702534157013</v>
      </c>
      <c r="G37" s="15"/>
      <c r="H37" s="61">
        <f>SUM(H39:H49)</f>
        <v>0.999997960685723086</v>
      </c>
      <c r="I37" s="15"/>
      <c r="J37" s="61">
        <f>SUM(J39:J49)</f>
        <v>1.00000000000005995</v>
      </c>
      <c r="K37" s="61"/>
      <c r="L37" s="61">
        <f>SUM(L39:L49)</f>
        <v>1</v>
      </c>
      <c r="M37" s="15"/>
      <c r="N37" s="76">
        <f>SUM(N39:N49)</f>
        <v>0.999999999999988987</v>
      </c>
      <c r="O37" s="15"/>
      <c r="P37" s="76">
        <f>SUM(P39:P49)</f>
        <v>0.999999999999988987</v>
      </c>
      <c r="Q37" s="15"/>
      <c r="R37" s="61">
        <f>SUM(R39:R49)</f>
        <v>0.999999999999977973</v>
      </c>
      <c r="S37" s="15"/>
      <c r="T37" s="61">
        <f>SUM(T39:T49)</f>
        <v>1.00507601265176993</v>
      </c>
      <c r="U37" s="15"/>
      <c r="V37" s="61">
        <f>SUM(V39:V48)</f>
        <v>0.322468548846634029</v>
      </c>
      <c r="W37" s="15"/>
      <c r="X37" s="15"/>
      <c r="Y37" s="82">
        <f>SUM(Y39:Y49)</f>
        <v>6.51982321487867765E-15</v>
      </c>
      <c r="Z37" s="83"/>
      <c r="AA37" s="82">
        <f>SUM(AA39:AA49)</f>
        <v>1.644110701079753982E-12</v>
      </c>
      <c r="AB37" s="83"/>
      <c r="AC37" s="82">
        <f>SUM(AC39:AC49)</f>
        <v>1.865695352257417815E-10</v>
      </c>
      <c r="AD37" s="83"/>
      <c r="AE37" s="82">
        <f>SUM(AE39:AE49)</f>
        <v>1.254611508703259951E-08</v>
      </c>
      <c r="AF37" s="83"/>
      <c r="AG37" s="82">
        <f>SUM(AG39:AG49)</f>
        <v>5.536698825598530996E-07</v>
      </c>
      <c r="AH37" s="83"/>
      <c r="AI37" s="82">
        <f>SUM(AI39:AI49)</f>
        <v>0.000016754883036999999</v>
      </c>
      <c r="AJ37" s="83"/>
      <c r="AK37" s="82">
        <f>SUM(AK39:AK49)</f>
        <v>0.000352110098667000049</v>
      </c>
      <c r="AL37" s="83"/>
      <c r="AM37" s="82">
        <f>SUM(AM39:AM49)</f>
        <v>0.0050742824521999994</v>
      </c>
      <c r="AN37" s="83"/>
      <c r="AO37" s="82">
        <f>SUM(AO39:AO49)</f>
        <v>0.0479923343152849924</v>
      </c>
      <c r="AP37" s="83"/>
      <c r="AQ37" s="82">
        <f>SUM(AQ39:AQ49)</f>
        <v>0.269032500693246046</v>
      </c>
      <c r="AR37" s="83"/>
      <c r="AS37" s="82">
        <f>SUM(AS39:AS49)</f>
        <v>0.677531451153409936</v>
      </c>
      <c r="BH37">
        <f>BH30+1</f>
        <v>3</v>
      </c>
      <c r="BI37" t="n">
        <v>10</v>
      </c>
      <c r="BJ37" s="109">
        <f>$H$28*H49</f>
        <v>6.155740070064974282E-06</v>
      </c>
      <c r="BP37">
        <f>BP30+1</f>
        <v>8</v>
      </c>
      <c r="BQ37" t="n">
        <v>6</v>
      </c>
      <c r="BR37" s="109">
        <f>$H$33*H45</f>
        <v>0.0000164144521980000002</v>
      </c>
    </row>
    <row r="38" spans="1:70">
      <c r="A38" s="112" t="s">
        <v>128</v>
      </c>
      <c r="B38" s="109">
        <f>SUM(BJ4:BJ59)</f>
        <v>0.493687264462777975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>
        <f>$H$29*H44</f>
        <v>0.0110659160221240005</v>
      </c>
      <c r="BP38">
        <f>BL11+1</f>
        <v>8</v>
      </c>
      <c r="BQ38" t="n">
        <v>7</v>
      </c>
      <c r="BR38" s="109">
        <f>$H$33*H46</f>
        <v>4.404951948026595074E-06</v>
      </c>
    </row>
    <row r="39" spans="1:70">
      <c r="A39" s="113" t="s">
        <v>129</v>
      </c>
      <c r="B39" s="109">
        <f>SUM(BR4:BR47)</f>
        <v>0.313214271264597999</v>
      </c>
      <c r="G39" s="130" t="n">
        <v>0</v>
      </c>
      <c r="H39" s="131">
        <f>L39*J39</f>
        <v>0.0401557243972569999</v>
      </c>
      <c r="I39" s="99" t="n">
        <v>0</v>
      </c>
      <c r="J39" s="100">
        <f>Y39+AA39+AC39+AE39+AG39+AI39+AK39+AM39+AO39+AQ39+AS39</f>
        <v>0.0552160544973309975</v>
      </c>
      <c r="K39" s="104" t="n">
        <v>0</v>
      </c>
      <c r="L39" s="100">
        <f>AC20</f>
        <v>0.727247261015322</v>
      </c>
      <c r="M39" s="86" t="n">
        <v>0</v>
      </c>
      <c r="N39" s="73">
        <f>(1-$C$24)^$B$21</f>
        <v>8.0745422253392654E-08</v>
      </c>
      <c r="O39" s="72" t="n">
        <v>0</v>
      </c>
      <c r="P39" s="73">
        <f>N39</f>
        <v>8.0745422253392654E-08</v>
      </c>
      <c r="Q39" s="14" t="n">
        <v>0</v>
      </c>
      <c r="R39" s="75">
        <f>P39*N39</f>
        <v>6.51982321487867765E-15</v>
      </c>
      <c r="S39" s="72" t="n">
        <v>0</v>
      </c>
      <c r="T39" s="135">
        <f>(1-$C$33)^(INT(B23*2*(1-B31)))</f>
        <v>1</v>
      </c>
      <c r="U39" s="140" t="n">
        <v>0</v>
      </c>
      <c r="V39" s="88">
        <f>R39*T39</f>
        <v>6.51982321487867765E-15</v>
      </c>
      <c r="W39" s="136">
        <f>C31</f>
        <v>0.261454641361402995</v>
      </c>
      <c r="X39" s="14" t="n">
        <v>0</v>
      </c>
      <c r="Y39" s="81">
        <f>V39</f>
        <v>6.51982321487867765E-15</v>
      </c>
      <c r="Z39" s="14" t="n">
        <v>0</v>
      </c>
      <c r="AA39" s="80">
        <f>((1-W39)^Z40)*V40</f>
        <v>1.214250327370501915E-12</v>
      </c>
      <c r="AB39" s="14" t="n">
        <v>0</v>
      </c>
      <c r="AC39" s="81">
        <f>(((1-$W$39)^AB41))*V41</f>
        <v>1.017642124584780968E-10</v>
      </c>
      <c r="AD39" s="14" t="n">
        <v>0</v>
      </c>
      <c r="AE39" s="81">
        <f>(((1-$W$39)^AB42))*V42</f>
        <v>5.05406457564156669E-09</v>
      </c>
      <c r="AF39" s="14" t="n">
        <v>0</v>
      </c>
      <c r="AG39" s="81">
        <f>(((1-$W$39)^AB43))*V43</f>
        <v>1.647250291113846873E-07</v>
      </c>
      <c r="AH39" s="14" t="n">
        <v>0</v>
      </c>
      <c r="AI39" s="81">
        <f>(((1-$W$39)^AB44))*V44</f>
        <v>3.681520866284431035E-06</v>
      </c>
      <c r="AJ39" s="14" t="n">
        <v>0</v>
      </c>
      <c r="AK39" s="81">
        <f>(((1-$W$39)^AB45))*V45</f>
        <v>0.0000571401689380000111</v>
      </c>
      <c r="AL39" s="14" t="n">
        <v>0</v>
      </c>
      <c r="AM39" s="81">
        <f>(((1-$W$39)^AB46))*V46</f>
        <v>0.000608155796027999962</v>
      </c>
      <c r="AN39" s="14" t="n">
        <v>0</v>
      </c>
      <c r="AO39" s="81">
        <f>(((1-$W$39)^AB47))*V47</f>
        <v>0.00424804647734499952</v>
      </c>
      <c r="AP39" s="14" t="n">
        <v>0</v>
      </c>
      <c r="AQ39" s="81">
        <f>(((1-$W$39)^AB48))*V48</f>
        <v>0.017587305480333999</v>
      </c>
      <c r="AR39" s="14" t="n">
        <v>0</v>
      </c>
      <c r="AS39" s="81">
        <f>(((1-$W$39)^AB49))*V49</f>
        <v>0.0327115551717410025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>
        <f>$H$29*H45</f>
        <v>0.00399564746345900002</v>
      </c>
      <c r="BP39">
        <f>BP31+1</f>
        <v>9</v>
      </c>
      <c r="BQ39" t="n">
        <v>0</v>
      </c>
      <c r="BR39" s="109">
        <f>$H$34*H39</f>
        <v>2.649708943988665067E-06</v>
      </c>
    </row>
    <row r="40" spans="7:70">
      <c r="G40" s="93" t="n">
        <v>1</v>
      </c>
      <c r="H40" s="132">
        <f>L39*J40+L40*J39</f>
        <v>0.148190524937322987</v>
      </c>
      <c r="I40" s="95" t="n">
        <v>1</v>
      </c>
      <c r="J40" s="88">
        <f>Y40+AA40+AC40+AE40+AG40+AI40+AK40+AM40+AO40+AQ40+AS40</f>
        <v>0.18550445917782298</v>
      </c>
      <c r="K40" s="97" t="n">
        <v>1</v>
      </c>
      <c r="L40" s="88">
        <f>AD20</f>
        <v>0.240562554044215027</v>
      </c>
      <c r="M40" s="87" t="n">
        <v>1</v>
      </c>
      <c r="N40" s="73">
        <f>(($C$24)^M26)*((1-($C$24))^($B$21-M26))*HLOOKUP($B$21,$AV$24:$BF$34,M26+1)</f>
        <v>0.0000101806262960000016</v>
      </c>
      <c r="O40" s="74" t="n">
        <v>1</v>
      </c>
      <c r="P40" s="73">
        <f>N40</f>
        <v>0.0000101806262960000016</v>
      </c>
      <c r="Q40" s="30" t="n">
        <v>1</v>
      </c>
      <c r="R40" s="39">
        <f>P40*N39+P39*N40</f>
        <v>1.644077938149026001E-12</v>
      </c>
      <c r="S40" s="74" t="n">
        <v>1</v>
      </c>
      <c r="T40" s="135">
        <f>(($C$33)^S40)*((1-($C$33))^(INT($B$23*2*(1-$B$31))-S40))*HLOOKUP(INT($B$23*2*(1-$B$31)),$AV$24:$BF$34,S40+1)</f>
        <v>0.00502512562814100061</v>
      </c>
      <c r="U40" s="95" t="n">
        <v>1</v>
      </c>
      <c r="V40" s="88">
        <f>R40*T39+T40*R39</f>
        <v>1.644110701079753982E-12</v>
      </c>
      <c r="W40" s="137"/>
      <c r="X40" s="30" t="n">
        <v>1</v>
      </c>
      <c r="Y40" s="75"/>
      <c r="Z40" s="30" t="n">
        <v>1</v>
      </c>
      <c r="AA40" s="81">
        <f>(1-((1-W39)^Z40))*V40</f>
        <v>4.298603737092519154E-13</v>
      </c>
      <c r="AB40" s="30" t="n">
        <v>1</v>
      </c>
      <c r="AC40" s="81">
        <f>((($W$39)^M40)*((1-($W$39))^($U$27-M40))*HLOOKUP($U$27,$AV$24:$BF$34,M40+1))*V41</f>
        <v>7.205170369170742121E-11</v>
      </c>
      <c r="AD40" s="30" t="n">
        <v>1</v>
      </c>
      <c r="AE40" s="81">
        <f>((($W$39)^M40)*((1-($W$39))^($U$28-M40))*HLOOKUP($U$28,$AV$24:$BF$34,M40+1))*V42</f>
        <v>5.367613345282824371E-09</v>
      </c>
      <c r="AF40" s="30" t="n">
        <v>1</v>
      </c>
      <c r="AG40" s="81">
        <f>((($W$39)^M40)*((1-($W$39))^($U$29-M40))*HLOOKUP($U$29,$AV$24:$BF$34,M40+1))*V43</f>
        <v>2.33259192036376008E-07</v>
      </c>
      <c r="AH40" s="30" t="n">
        <v>1</v>
      </c>
      <c r="AI40" s="81">
        <f>((($W$39)^M40)*((1-($W$39))^($U$30-M40))*HLOOKUP($U$30,$AV$24:$BF$34,M40+1))*V44</f>
        <v>6.51653081628756702E-06</v>
      </c>
      <c r="AJ40" s="30" t="n">
        <v>1</v>
      </c>
      <c r="AK40" s="81">
        <f>((($W$39)^M40)*((1-($W$39))^($U$31-M40))*HLOOKUP($U$31,$AV$24:$BF$34,M40+1))*V45</f>
        <v>0.000121370168011000001</v>
      </c>
      <c r="AL40" s="30" t="n">
        <v>1</v>
      </c>
      <c r="AM40" s="81">
        <f>((($W$39)^Q40)*((1-($W$39))^($U$32-Q40))*HLOOKUP($U$32,$AV$24:$BF$34,Q40+1))*V46</f>
        <v>0.00150706530855299992</v>
      </c>
      <c r="AN40" s="30" t="n">
        <v>1</v>
      </c>
      <c r="AO40" s="81">
        <f>((($W$39)^Q40)*((1-($W$39))^($U$33-Q40))*HLOOKUP($U$33,$AV$24:$BF$34,Q40+1))*V47</f>
        <v>0.0120309086528500009</v>
      </c>
      <c r="AP40" s="30" t="n">
        <v>1</v>
      </c>
      <c r="AQ40" s="81">
        <f>((($W$39)^Q40)*((1-($W$39))^($U$34-Q40))*HLOOKUP($U$34,$AV$24:$BF$34,Q40+1))*V48</f>
        <v>0.056035209398855006</v>
      </c>
      <c r="AR40" s="30" t="n">
        <v>1</v>
      </c>
      <c r="AS40" s="81">
        <f>((($W$39)^Q40)*((1-($W$39))^($U$35-Q40))*HLOOKUP($U$35,$AV$24:$BF$34,Q40+1))*V49</f>
        <v>0.115803150419450995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>
        <f>$H$29*H46</f>
        <v>0.00107226454256299997</v>
      </c>
      <c r="BP40">
        <f>BP32+1</f>
        <v>9</v>
      </c>
      <c r="BQ40" t="n">
        <v>1</v>
      </c>
      <c r="BR40" s="109">
        <f>$H$34*H40</f>
        <v>9.778475304199031403E-06</v>
      </c>
    </row>
    <row r="41" spans="7:70">
      <c r="G41" s="93" t="n">
        <v>2</v>
      </c>
      <c r="H41" s="132">
        <f>L39*J41+J40*L40+J39*L41</f>
        <v>0.250250192171005015</v>
      </c>
      <c r="I41" s="95" t="n">
        <v>2</v>
      </c>
      <c r="J41" s="88">
        <f>Y41+AA41+AC41+AE41+AG41+AI41+AK41+AM41+AO41+AQ41+AS41</f>
        <v>0.280449507098621975</v>
      </c>
      <c r="K41" s="97" t="n">
        <v>2</v>
      </c>
      <c r="L41" s="88">
        <f>AE20</f>
        <v>0.0302200113575189988</v>
      </c>
      <c r="M41" s="87" t="n">
        <v>2</v>
      </c>
      <c r="N41" s="73">
        <f>(($C$24)^M27)*((1-($C$24))^($B$21-M27))*HLOOKUP($B$21,$AV$24:$BF$34,M27+1)</f>
        <v>0.000513441623719999996</v>
      </c>
      <c r="O41" s="74" t="n">
        <v>2</v>
      </c>
      <c r="P41" s="73">
        <f>N41</f>
        <v>0.000513441623719999996</v>
      </c>
      <c r="Q41" s="30" t="n">
        <v>2</v>
      </c>
      <c r="R41" s="39">
        <f>P41*N39+P40*N40+P39*N41</f>
        <v>1.865612731982844773E-10</v>
      </c>
      <c r="S41" s="74" t="n">
        <v>2</v>
      </c>
      <c r="T41" s="135">
        <f>(($C$33)^S41)*((1-($C$33))^(INT($B$23*2*(1-$B$31))-S41))*HLOOKUP(INT($B$23*2*(1-$B$31)),$AV$24:$BF$34,S41+1)</f>
        <v>0.0000505037751579999927</v>
      </c>
      <c r="U41" s="95" t="n">
        <v>2</v>
      </c>
      <c r="V41" s="88">
        <f>R41*T39+T40*R40+R39*T41</f>
        <v>1.865695352257417815E-10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>
        <f>((($W$39)^M41)*((1-($W$39))^($U$27-M41))*HLOOKUP($U$27,$AV$24:$BF$34,M41+1))*V41</f>
        <v>1.275361907555624888E-11</v>
      </c>
      <c r="AD41" s="30" t="n">
        <v>2</v>
      </c>
      <c r="AE41" s="81">
        <f>((($W$39)^M41)*((1-($W$39))^($U$28-M41))*HLOOKUP($U$28,$AV$24:$BF$34,M41+1))*V42</f>
        <v>1.900204781930454166E-09</v>
      </c>
      <c r="AF41" s="30" t="n">
        <v>2</v>
      </c>
      <c r="AG41" s="81">
        <f>((($W$39)^M41)*((1-($W$39))^($U$29-M41))*HLOOKUP($U$29,$AV$24:$BF$34,M41+1))*V43</f>
        <v>1.238651716203509057E-07</v>
      </c>
      <c r="AH41" s="30" t="n">
        <v>2</v>
      </c>
      <c r="AI41" s="81">
        <f>((($W$39)^M41)*((1-($W$39))^($U$30-M41))*HLOOKUP($U$30,$AV$24:$BF$34,M41+1))*V44</f>
        <v>4.613872953270446211E-06</v>
      </c>
      <c r="AJ41" s="30" t="n">
        <v>2</v>
      </c>
      <c r="AK41" s="81">
        <f>((($W$39)^M41)*((1-($W$39))^($U$31-M41))*HLOOKUP($U$31,$AV$24:$BF$34,M41+1))*V45</f>
        <v>0.000107416536365000015</v>
      </c>
      <c r="AL41" s="30" t="n">
        <v>2</v>
      </c>
      <c r="AM41" s="81">
        <f>((($W$39)^Q41)*((1-($W$39))^($U$32-Q41))*HLOOKUP($U$32,$AV$24:$BF$34,Q41+1))*V46</f>
        <v>0.00160056203108100004</v>
      </c>
      <c r="AN41" s="30" t="n">
        <v>2</v>
      </c>
      <c r="AO41" s="81">
        <f>((($W$39)^Q41)*((1-($W$39))^($U$33-Q41))*HLOOKUP($U$33,$AV$24:$BF$34,Q41+1))*V47</f>
        <v>0.0149068422758539976</v>
      </c>
      <c r="AP41" s="30" t="n">
        <v>2</v>
      </c>
      <c r="AQ41" s="81">
        <f>((($W$39)^Q41)*((1-($W$39))^($U$34-Q41))*HLOOKUP($U$34,$AV$24:$BF$34,Q41+1))*V48</f>
        <v>0.0793487652755440109</v>
      </c>
      <c r="AR41" s="30" t="n">
        <v>2</v>
      </c>
      <c r="AS41" s="81">
        <f>((($W$39)^Q41)*((1-($W$39))^($U$35-Q41))*HLOOKUP($U$35,$AV$24:$BF$34,Q41+1))*V49</f>
        <v>0.18448118132869503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>
        <f>$H$29*H47</f>
        <v>0.000214268552334999995</v>
      </c>
      <c r="BP41">
        <f>BP33+1</f>
        <v>9</v>
      </c>
      <c r="BQ41" t="n">
        <v>2</v>
      </c>
      <c r="BR41" s="109">
        <f>$H$34*H41</f>
        <v>0.0000165129675129999987</v>
      </c>
    </row>
    <row r="42" spans="7:70" ht="15" customHeight="1">
      <c r="G42" s="93" t="n">
        <v>3</v>
      </c>
      <c r="H42" s="132">
        <f>J42*L39+J41*L40+L42*J39+L41*J40</f>
        <v>0.255902903327509978</v>
      </c>
      <c r="I42" s="95" t="n">
        <v>3</v>
      </c>
      <c r="J42" s="88">
        <f>Y42+AA42+AC42+AE42+AG42+AI42+AK42+AM42+AO42+AQ42+AS42</f>
        <v>0.251252264998802977</v>
      </c>
      <c r="K42" s="97" t="n">
        <v>3</v>
      </c>
      <c r="L42" s="88">
        <f>AF20</f>
        <v>0.00197017358294400005</v>
      </c>
      <c r="M42" s="87" t="n">
        <v>3</v>
      </c>
      <c r="N42" s="73">
        <f>(($C$24)^M28)*((1-($C$24))^($B$21-M28))*HLOOKUP($B$21,$AV$24:$BF$34,M28+1)</f>
        <v>0.0129472536027600004</v>
      </c>
      <c r="O42" s="74" t="n">
        <v>3</v>
      </c>
      <c r="P42" s="73">
        <f>N42</f>
        <v>0.0129472536027600004</v>
      </c>
      <c r="Q42" s="30" t="n">
        <v>3</v>
      </c>
      <c r="R42" s="39">
        <f>P42*N39+P41*N40+P40*N41+P39*N42</f>
        <v>1.254517751016277029E-08</v>
      </c>
      <c r="S42" s="74" t="n">
        <v>3</v>
      </c>
      <c r="T42" s="135">
        <f>(($C$33)^S42)*((1-($C$33))^(INT($B$23*2*(1-$B$31))-S42))*HLOOKUP(INT($B$23*2*(1-$B$31)),$AV$24:$BF$34,S42+1)</f>
        <v>3.806817222904014255E-07</v>
      </c>
      <c r="U42" s="95" t="n">
        <v>3</v>
      </c>
      <c r="V42" s="88">
        <f>R42*T39+R41*T40+R40*T41+R39*T42</f>
        <v>1.254611508703256146E-08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>
        <f>((($W$39)^M42)*((1-($W$39))^($U$28-M42))*HLOOKUP($U$28,$AV$24:$BF$34,M42+1))*V42</f>
        <v>2.242323841777545904E-10</v>
      </c>
      <c r="AF42" s="30" t="n">
        <v>3</v>
      </c>
      <c r="AG42" s="81">
        <f>((($W$39)^M42)*((1-($W$39))^($U$29-M42))*HLOOKUP($U$29,$AV$24:$BF$34,M42+1))*V43</f>
        <v>2.923325213485750061E-08</v>
      </c>
      <c r="AH42" s="30" t="n">
        <v>3</v>
      </c>
      <c r="AI42" s="81">
        <f>((($W$39)^M42)*((1-($W$39))^($U$30-M42))*HLOOKUP($U$30,$AV$24:$BF$34,M42+1))*V44</f>
        <v>1.633370901562630948E-06</v>
      </c>
      <c r="AJ42" s="30" t="n">
        <v>3</v>
      </c>
      <c r="AK42" s="81">
        <f>((($W$39)^M42)*((1-($W$39))^($U$31-M42))*HLOOKUP($U$31,$AV$24:$BF$34,M42+1))*V45</f>
        <v>0.0000507024638149999962</v>
      </c>
      <c r="AL42" s="30" t="n">
        <v>3</v>
      </c>
      <c r="AM42" s="81">
        <f>((($W$39)^Q42)*((1-($W$39))^($U$32-Q42))*HLOOKUP($U$32,$AV$24:$BF$34,Q42+1))*V46</f>
        <v>0.000944366216911000045</v>
      </c>
      <c r="AN42" s="30" t="n">
        <v>3</v>
      </c>
      <c r="AO42" s="81">
        <f>((($W$39)^Q42)*((1-($W$39))^($U$33-Q42))*HLOOKUP($U$33,$AV$24:$BF$34,Q42+1))*V47</f>
        <v>0.0105544312356090009</v>
      </c>
      <c r="AP42" s="30" t="n">
        <v>3</v>
      </c>
      <c r="AQ42" s="81">
        <f>((($W$39)^Q42)*((1-($W$39))^($U$34-Q42))*HLOOKUP($U$34,$AV$24:$BF$34,Q42+1))*V48</f>
        <v>0.0655444828470300056</v>
      </c>
      <c r="AR42" s="30" t="n">
        <v>3</v>
      </c>
      <c r="AS42" s="81">
        <f>((($W$39)^Q42)*((1-($W$39))^($U$35-Q42))*HLOOKUP($U$35,$AV$24:$BF$34,Q42+1))*V49</f>
        <v>0.174156619407051982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>
        <f>$H$29*H48</f>
        <v>0.000031607237132999999</v>
      </c>
      <c r="BP42">
        <f>BP34+1</f>
        <v>9</v>
      </c>
      <c r="BQ42" t="n">
        <v>3</v>
      </c>
      <c r="BR42" s="109">
        <f>$H$34*H42</f>
        <v>0.0000168859663700000029</v>
      </c>
    </row>
    <row r="43" spans="7:70" ht="15" customHeight="1">
      <c r="G43" s="93" t="n">
        <v>4</v>
      </c>
      <c r="H43" s="132">
        <f>J43*L39+J42*L40+J41*L41+J40*L42</f>
        <v>0.176710028624557003</v>
      </c>
      <c r="I43" s="95" t="n">
        <v>4</v>
      </c>
      <c r="J43" s="88">
        <f>Y43+AA43+AC43+AE43+AG43+AI43+AK43+AM43+AO43+AQ43+AS43</f>
        <v>0.147717955819247981</v>
      </c>
      <c r="K43" s="97" t="n">
        <v>4</v>
      </c>
      <c r="L43" s="88"/>
      <c r="M43" s="87" t="n">
        <v>4</v>
      </c>
      <c r="N43" s="73">
        <f>(($C$24)^M29)*((1-($C$24))^($B$21-M29))*HLOOKUP($B$21,$AV$24:$BF$34,M29+1)</f>
        <v>0.163242877191995017</v>
      </c>
      <c r="O43" s="74" t="n">
        <v>4</v>
      </c>
      <c r="P43" s="73">
        <f>N43</f>
        <v>0.163242877191995017</v>
      </c>
      <c r="Q43" s="30" t="n">
        <v>4</v>
      </c>
      <c r="R43" s="39">
        <f>P43*N39+P42*N40+P41*N41+P40*N42+P39*N43</f>
        <v>5.536068320441612156E-07</v>
      </c>
      <c r="S43" s="74" t="n">
        <v>4</v>
      </c>
      <c r="T43" s="135">
        <f>(($C$33)^S43)*((1-($C$33))^(INT($B$23*2*(1-$B$31))-S43))*HLOOKUP(INT($B$23*2*(1-$B$31)),$AV$24:$BF$34,S43+1)</f>
        <v>2.55063130512830009E-09</v>
      </c>
      <c r="U43" s="95" t="n">
        <v>4</v>
      </c>
      <c r="V43" s="88">
        <f>T43*R39+T42*R40+T41*R41+T40*R42+T39*R43</f>
        <v>5.536698825598516173E-07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>
        <f>((($W$39)^M43)*((1-($W$39))^($U$29-M43))*HLOOKUP($U$29,$AV$24:$BF$34,M43+1))*V43</f>
        <v>2.58723765688409394E-09</v>
      </c>
      <c r="AH43" s="30" t="n">
        <v>4</v>
      </c>
      <c r="AI43" s="81">
        <f>((($W$39)^M43)*((1-($W$39))^($U$30-M43))*HLOOKUP($U$30,$AV$24:$BF$34,M43+1))*V44</f>
        <v>2.891172480356955106E-07</v>
      </c>
      <c r="AJ43" s="30" t="n">
        <v>4</v>
      </c>
      <c r="AK43" s="81">
        <f>((($W$39)^M43)*((1-($W$39))^($U$31-M43))*HLOOKUP($U$31,$AV$24:$BF$34,M43+1))*V45</f>
        <v>0.0000134619976330000002</v>
      </c>
      <c r="AL43" s="30" t="n">
        <v>4</v>
      </c>
      <c r="AM43" s="81">
        <f>((($W$39)^Q43)*((1-($W$39))^($U$32-Q43))*HLOOKUP($U$32,$AV$24:$BF$34,Q43+1))*V46</f>
        <v>0.000334317896210999965</v>
      </c>
      <c r="AN43" s="30" t="n">
        <v>4</v>
      </c>
      <c r="AO43" s="81">
        <f>((($W$39)^Q43)*((1-($W$39))^($U$33-Q43))*HLOOKUP($U$33,$AV$24:$BF$34,Q43+1))*V47</f>
        <v>0.00467050703318799965</v>
      </c>
      <c r="AP43" s="30" t="n">
        <v>4</v>
      </c>
      <c r="AQ43" s="81">
        <f>((($W$39)^Q43)*((1-($W$39))^($U$34-Q43))*HLOOKUP($U$34,$AV$24:$BF$34,Q43+1))*V48</f>
        <v>0.0348053962878709999</v>
      </c>
      <c r="AR43" s="30" t="n">
        <v>4</v>
      </c>
      <c r="AS43" s="81">
        <f>((($W$39)^Q43)*((1-($W$39))^($U$35-Q43))*HLOOKUP($U$35,$AV$24:$BF$34,Q43+1))*V49</f>
        <v>0.107893980899858999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>
        <f>$H$29*H49</f>
        <v>3.36706738118368594E-06</v>
      </c>
      <c r="BP43">
        <f>BP35+1</f>
        <v>9</v>
      </c>
      <c r="BQ43" t="n">
        <v>4</v>
      </c>
      <c r="BR43" s="109">
        <f>$H$34*H43</f>
        <v>0.0000116603585260000009</v>
      </c>
    </row>
    <row r="44" spans="7:70" ht="15" customHeight="1">
      <c r="G44" s="93" t="n">
        <v>5</v>
      </c>
      <c r="H44" s="132">
        <f>J44*L39+J43*L40+J42*L41+J41*L42</f>
        <v>0.0869900216435719997</v>
      </c>
      <c r="I44" s="95" t="n">
        <v>5</v>
      </c>
      <c r="J44" s="88">
        <f>Y44+AA44+AC44+AE44+AG44+AI44+AK44+AM44+AO44+AQ44+AS44</f>
        <v>0.0595522798407480014</v>
      </c>
      <c r="K44" s="97" t="n">
        <v>5</v>
      </c>
      <c r="L44" s="88"/>
      <c r="M44" s="87" t="n">
        <v>5</v>
      </c>
      <c r="N44" s="73">
        <f>(($C$24)^M30)*((1-($C$24))^($B$21-M30))*HLOOKUP($B$21,$AV$24:$BF$34,M30+1)</f>
        <v>0.823286166209796022</v>
      </c>
      <c r="O44" s="74" t="n">
        <v>5</v>
      </c>
      <c r="P44" s="73">
        <f>N44</f>
        <v>0.823286166209796022</v>
      </c>
      <c r="Q44" s="30" t="n">
        <v>5</v>
      </c>
      <c r="R44" s="39">
        <f>P44*N39+P43*N40+P42*N41+P41*N42+P40*N43+P39*N44</f>
        <v>0.0000167521004589999967</v>
      </c>
      <c r="S44" s="74" t="n">
        <v>5</v>
      </c>
      <c r="T44" s="135">
        <f>(($C$33)^S44)*((1-($C$33))^(INT($B$23*2*(1-$B$31))-S44))*HLOOKUP(INT($B$23*2*(1-$B$31)),$AV$24:$BF$34,S44+1)</f>
        <v>1.602155342417281059E-11</v>
      </c>
      <c r="U44" s="95" t="n">
        <v>5</v>
      </c>
      <c r="V44" s="88">
        <f>T44*R39+T43*R40+T42*R41+T41*R42+T40*R43+T39*R44</f>
        <v>0.000016754883036999999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>
        <f>((($W$39)^M44)*((1-($W$39))^($U$30-M44))*HLOOKUP($U$30,$AV$24:$BF$34,M44+1))*V44</f>
        <v>2.047025155932975088E-08</v>
      </c>
      <c r="AJ44" s="30" t="n">
        <v>5</v>
      </c>
      <c r="AK44" s="81">
        <f>((($W$39)^M44)*((1-($W$39))^($U$31-M44))*HLOOKUP($U$31,$AV$24:$BF$34,M44+1))*V45</f>
        <v>1.906288745515417013E-06</v>
      </c>
      <c r="AL44" s="30" t="n">
        <v>5</v>
      </c>
      <c r="AM44" s="81">
        <f>((($W$39)^Q44)*((1-($W$39))^($U$32-Q44))*HLOOKUP($U$32,$AV$24:$BF$34,Q44+1))*V46</f>
        <v>0.0000710117243030000012</v>
      </c>
      <c r="AN44" s="30" t="n">
        <v>5</v>
      </c>
      <c r="AO44" s="81">
        <f>((($W$39)^Q44)*((1-($W$39))^($U$33-Q44))*HLOOKUP($U$33,$AV$24:$BF$34,Q44+1))*V47</f>
        <v>0.00132273608065299997</v>
      </c>
      <c r="AP44" s="30" t="n">
        <v>5</v>
      </c>
      <c r="AQ44" s="81">
        <f>((($W$39)^Q44)*((1-($W$39))^($U$34-Q44))*HLOOKUP($U$34,$AV$24:$BF$34,Q44+1))*V48</f>
        <v>0.0123215619696840006</v>
      </c>
      <c r="AR44" s="30" t="n">
        <v>5</v>
      </c>
      <c r="AS44" s="81">
        <f>((($W$39)^Q44)*((1-($W$39))^($U$35-Q44))*HLOOKUP($U$35,$AV$24:$BF$34,Q44+1))*V49</f>
        <v>0.0458350433071109986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>
        <f>$H$30*H45</f>
        <v>0.00156307798505800015</v>
      </c>
      <c r="BP44">
        <f>BP36+1</f>
        <v>9</v>
      </c>
      <c r="BQ44" t="n">
        <v>5</v>
      </c>
      <c r="BR44" s="109">
        <f>$H$34*H44</f>
        <v>5.740109083986178777E-06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>
        <f>J45*L39+J44*L40+J43*L41+J42*L42</f>
        <v>0.0314100937176320016</v>
      </c>
      <c r="I45" s="95" t="n">
        <v>6</v>
      </c>
      <c r="J45" s="88">
        <f>Y45+AA45+AC45+AE45+AG45+AI45+AK45+AM45+AO45+AQ45+AS45</f>
        <v>0.0166724537199849987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>
        <f>P44*N40+P43*N41+P42*N42+P41*N43+P40*N44</f>
        <v>0.000352025889292000027</v>
      </c>
      <c r="S45" s="72" t="n">
        <v>6</v>
      </c>
      <c r="T45" s="135">
        <f>(($C$33)^S45)*((1-($C$33))^(INT($B$23*2*(1-$B$31))-S45))*HLOOKUP(INT($B$23*2*(1-$B$31)),$AV$24:$BF$34,S45+1)</f>
        <v>9.661238245732316916E-14</v>
      </c>
      <c r="U45" s="95" t="n">
        <v>6</v>
      </c>
      <c r="V45" s="88">
        <f>T45*R39+T44*R40+T43*R41+T42*R42+T41*R43+T40*R44+T39*R45</f>
        <v>0.00035211009866499996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>
        <f>((($W$39)^Q45)*((1-($W$39))^($U$31-Q45))*HLOOKUP($U$31,$AV$24:$BF$34,Q45+1))*V45</f>
        <v>1.12475159099271296E-07</v>
      </c>
      <c r="AL45" s="30" t="n">
        <v>6</v>
      </c>
      <c r="AM45" s="81">
        <f>((($W$39)^Q45)*((1-($W$39))^($U$32-Q45))*HLOOKUP($U$32,$AV$24:$BF$34,Q45+1))*V46</f>
        <v>8.379690650387414412E-06</v>
      </c>
      <c r="AN45" s="30" t="n">
        <v>6</v>
      </c>
      <c r="AO45" s="81">
        <f>((($W$39)^Q45)*((1-($W$39))^($U$33-Q45))*HLOOKUP($U$33,$AV$24:$BF$34,Q45+1))*V47</f>
        <v>0.00023413286911800002</v>
      </c>
      <c r="AP45" s="30" t="n">
        <v>6</v>
      </c>
      <c r="AQ45" s="81">
        <f>((($W$39)^Q45)*((1-($W$39))^($U$34-Q45))*HLOOKUP($U$34,$AV$24:$BF$34,Q45+1))*V48</f>
        <v>0.00290799522612100034</v>
      </c>
      <c r="AR45" s="30" t="n">
        <v>6</v>
      </c>
      <c r="AS45" s="81">
        <f>((($W$39)^Q45)*((1-($W$39))^($U$35-Q45))*HLOOKUP($U$35,$AV$24:$BF$34,Q45+1))*V49</f>
        <v>0.0135218334589370004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>
        <f>$H$30*H46</f>
        <v>0.000419464709028000016</v>
      </c>
      <c r="BP45">
        <f>BP37+1</f>
        <v>9</v>
      </c>
      <c r="BQ45" t="n">
        <v>6</v>
      </c>
      <c r="BR45" s="109">
        <f>$H$34*H45</f>
        <v>2.072621214145421101E-06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>
        <f>J46*L39+J45*L40+J44*L41+J43*L42</f>
        <v>0.00842915449373600012</v>
      </c>
      <c r="I46" s="95" t="n">
        <v>7</v>
      </c>
      <c r="J46" s="88">
        <f>Y46+AA46+AC46+AE46+AG46+AI46+AK46+AM46+AO46+AQ46+AS46</f>
        <v>0.00320068012904800003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>
        <f>P44*N41+P43*N42+P42*N43+P41*N44</f>
        <v>0.00507251263162800026</v>
      </c>
      <c r="S46" s="74" t="n">
        <v>7</v>
      </c>
      <c r="T46" s="135">
        <f>(($C$33)^S46)*((1-($C$33))^(INT($B$23*2*(1-$B$31))-S46))*HLOOKUP(INT($B$23*2*(1-$B$31)),$AV$24:$BF$34,S46+1)</f>
        <v>5.664042522623625718E-16</v>
      </c>
      <c r="U46" s="95" t="n">
        <v>7</v>
      </c>
      <c r="V46" s="88">
        <f>T46*R39+T45*R40+T44*R41+T43*R42+T42*R43+T41*R44+T40*R45+T39*R46</f>
        <v>0.00507428245220100038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>
        <f>((($W$39)^Q46)*((1-($W$39))^($U$32-Q46))*HLOOKUP($U$32,$AV$24:$BF$34,Q46+1))*V46</f>
        <v>4.237884624122842256E-07</v>
      </c>
      <c r="AN46" s="30" t="n">
        <v>7</v>
      </c>
      <c r="AO46" s="81">
        <f>((($W$39)^Q46)*((1-($W$39))^($U$33-Q46))*HLOOKUP($U$33,$AV$24:$BF$34,Q46+1))*V47</f>
        <v>0.0000236817354580000039</v>
      </c>
      <c r="AP46" s="30" t="n">
        <v>7</v>
      </c>
      <c r="AQ46" s="81">
        <f>((($W$39)^Q46)*((1-($W$39))^($U$34-Q46))*HLOOKUP($U$34,$AV$24:$BF$34,Q46+1))*V48</f>
        <v>0.000441200592126000135</v>
      </c>
      <c r="AR46" s="30" t="n">
        <v>7</v>
      </c>
      <c r="AS46" s="81">
        <f>((($W$39)^Q46)*((1-($W$39))^($U$35-Q46))*HLOOKUP($U$35,$AV$24:$BF$34,Q46+1))*V49</f>
        <v>0.00273537401300200056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>
        <f>$H$30*H47</f>
        <v>0.0000838208225590000033</v>
      </c>
      <c r="BP46">
        <f>BP38+1</f>
        <v>9</v>
      </c>
      <c r="BQ46" t="n">
        <v>7</v>
      </c>
      <c r="BR46" s="109">
        <f>$H$34*H46</f>
        <v>5.562047849357238155E-07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>
        <f>J47*L39+J46*L40+J45*L41+J44*L42</f>
        <v>0.00168438166057500016</v>
      </c>
      <c r="I47" s="95" t="n">
        <v>8</v>
      </c>
      <c r="J47" s="88">
        <f>Y47+AA47+AC47+AE47+AG47+AI47+AK47+AM47+AO47+AQ47+AS47</f>
        <v>0.000403229851043999954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>
        <f>P44*N42+P43*N43+P42*N44</f>
        <v>0.047966826517045007</v>
      </c>
      <c r="S47" s="74" t="n">
        <v>8</v>
      </c>
      <c r="T47" s="135">
        <f>(($C$33)^S47)*((1-($C$33))^(INT($B$23*2*(1-$B$31))-S47))*HLOOKUP(INT($B$23*2*(1-$B$31)),$AV$24:$BF$34,S47+1)</f>
        <v>3.252860027350250664E-18</v>
      </c>
      <c r="U47" s="95" t="n">
        <v>8</v>
      </c>
      <c r="V47" s="88">
        <f>T47*R39+T46*R40+T45*R41+T44*R42+T43*R43+T42*R44+T41*R45+T40*R46+T39*R47</f>
        <v>0.0479923343152839976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>
        <f>((($W$39)^Q47)*((1-($W$39))^($U$33-Q47))*HLOOKUP($U$33,$AV$24:$BF$34,Q47+1))*V47</f>
        <v>1.047955209995406021E-06</v>
      </c>
      <c r="AP47" s="30" t="n">
        <v>8</v>
      </c>
      <c r="AQ47" s="81">
        <f>((($W$39)^Q47)*((1-($W$39))^($U$34-Q47))*HLOOKUP($U$34,$AV$24:$BF$34,Q47+1))*V48</f>
        <v>0.0000390476838130000026</v>
      </c>
      <c r="AR47" s="30" t="n">
        <v>8</v>
      </c>
      <c r="AS47" s="81">
        <f>((($W$39)^Q47)*((1-($W$39))^($U$35-Q47))*HLOOKUP($U$35,$AV$24:$BF$34,Q47+1))*V49</f>
        <v>0.000363134212021000025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>
        <f>$H$30*H48</f>
        <v>0.000012364598473999997</v>
      </c>
      <c r="BP47">
        <f>BL12+1</f>
        <v>9</v>
      </c>
      <c r="BQ47" t="n">
        <v>8</v>
      </c>
      <c r="BR47" s="109">
        <f>$H$34*H47</f>
        <v>1.111453277984179035E-07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>
        <f>J48*L39+J47*L40+J46*L41+J45*L42</f>
        <v>0.000248466935476999984</v>
      </c>
      <c r="I48" s="95" t="n">
        <v>9</v>
      </c>
      <c r="J48" s="88">
        <f>Y48+AA48+AC48+AE48+AG48+AI48+AK48+AM48+AO48+AQ48+AS48</f>
        <v>0.0000301035371089999959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>
        <f>P44*N43+P43*N44</f>
        <v>0.268791205048908033</v>
      </c>
      <c r="S48" s="74" t="n">
        <v>9</v>
      </c>
      <c r="T48" s="135">
        <f>(($C$33)^S48)*((1-($C$33))^(INT($B$23*2*(1-$B$31))-S48))*HLOOKUP(INT($B$23*2*(1-$B$31)),$AV$24:$BF$34,S48+1)</f>
        <v>1.838928407421638982E-20</v>
      </c>
      <c r="U48" s="95" t="n">
        <v>9</v>
      </c>
      <c r="V48" s="88">
        <f>T48*R39+T47*R40+T46*R41+T45*R42+T44*R43+T43*R44+T42*R45+T41*R46+T40*R47+T39*R48</f>
        <v>0.269032500693228993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>
        <f>((($W$39)^Q48)*((1-($W$39))^($U$34-Q48))*HLOOKUP($U$34,$AV$24:$BF$34,Q48+1))*V48</f>
        <v>1.535931867481762971E-06</v>
      </c>
      <c r="AR48" s="30" t="n">
        <v>9</v>
      </c>
      <c r="AS48" s="81">
        <f>((($W$39)^Q48)*((1-($W$39))^($U$35-Q48))*HLOOKUP($U$35,$AV$24:$BF$34,Q48+1))*V49</f>
        <v>0.0000285676052419999991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>
        <f>$H$30*H49</f>
        <v>1.317180493491115984E-06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>
        <f>J49*L39+J48*L40+J47*L41+J46*L42</f>
        <v>0.0000264687770789999943</v>
      </c>
      <c r="I49" s="96" t="n">
        <v>10</v>
      </c>
      <c r="J49" s="91">
        <f>Y49+AA49+AC49+AE49+AG49+AI49+AK49+AM49+AO49+AQ49+AS49</f>
        <v>1.011330298907425933E-06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>
        <f>P44*N44</f>
        <v>0.677800111472424049</v>
      </c>
      <c r="S49" s="74" t="n">
        <v>10</v>
      </c>
      <c r="T49" s="135">
        <f>(($C$33)^S49)*((1-($C$33))^(INT($B$23*2*(1-$B$31))-S49))*HLOOKUP(INT($B$23*2*(1-$B$31)),$AV$24:$BF$34,S49+1)</f>
        <v>1.026760696494491936E-22</v>
      </c>
      <c r="U49" s="96" t="n">
        <v>10</v>
      </c>
      <c r="V49" s="91">
        <f>IF(((T49*R39+T48*R40+T47*R41+T46*R42+T45*R43+T44*R44+T43*R45+T42*R46+T41*R47+T40*R48+T39*R49)+V37)&lt;&gt;1,1-V37,(T49*R39+T48*R40+T47*R41+T46*R42+T45*R43+T44*R44+T43*R45+T42*R46+T41*R47+T40*R48+T39*R49))</f>
        <v>0.677531451153365971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>
        <f>((($W$39)^Q49)*((1-($W$39))^($U$35-Q49))*HLOOKUP($U$35,$AV$24:$BF$34,Q49+1))*V49</f>
        <v>1.011330298907425933E-06</v>
      </c>
      <c r="BH49">
        <f>BP14+1</f>
        <v>6</v>
      </c>
      <c r="BI49" t="n">
        <v>0</v>
      </c>
      <c r="BJ49" s="109">
        <f>$H$31*H39</f>
        <v>0.000578385864783999981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>
        <f>$H$31*H46</f>
        <v>0.000121409933065000009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>
        <f>$H$31*H47</f>
        <v>0.0000242611124069999962</v>
      </c>
    </row>
    <row r="52" spans="8:62">
      <c r="H52" s="109"/>
      <c r="BH52">
        <f>BH47+1</f>
        <v>6</v>
      </c>
      <c r="BI52" t="n">
        <v>9</v>
      </c>
      <c r="BJ52" s="109">
        <f>$H$31*H48</f>
        <v>3.578811377535863134E-06</v>
      </c>
    </row>
    <row r="53" spans="60:62">
      <c r="BH53">
        <f>BH48+1</f>
        <v>6</v>
      </c>
      <c r="BI53" t="n">
        <v>10</v>
      </c>
      <c r="BJ53" s="109">
        <f>$H$31*H49</f>
        <v>3.812449345742194067E-07</v>
      </c>
    </row>
    <row r="54" spans="60:62">
      <c r="BH54">
        <f>BH51+1</f>
        <v>7</v>
      </c>
      <c r="BI54" t="n">
        <v>8</v>
      </c>
      <c r="BJ54" s="109">
        <f>$H$32*H47</f>
        <v>5.297717360778627823E-06</v>
      </c>
    </row>
    <row r="55" spans="60:62">
      <c r="BH55">
        <f>BH52+1</f>
        <v>7</v>
      </c>
      <c r="BI55" t="n">
        <v>9</v>
      </c>
      <c r="BJ55" s="109">
        <f>$H$32*H48</f>
        <v>7.81478229350119972E-07</v>
      </c>
    </row>
    <row r="56" spans="60:62">
      <c r="BH56">
        <f>BH53+1</f>
        <v>7</v>
      </c>
      <c r="BI56" t="n">
        <v>10</v>
      </c>
      <c r="BJ56" s="109">
        <f>$H$32*H49</f>
        <v>8.324960021360549578E-08</v>
      </c>
    </row>
    <row r="57" spans="60:62">
      <c r="BH57">
        <f>BH55+1</f>
        <v>8</v>
      </c>
      <c r="BI57" t="n">
        <v>9</v>
      </c>
      <c r="BJ57" s="109">
        <f>$H$33*H48</f>
        <v>1.29845159708836693E-07</v>
      </c>
    </row>
    <row r="58" spans="60:62">
      <c r="BH58">
        <f>BH56+1</f>
        <v>8</v>
      </c>
      <c r="BI58" t="n">
        <v>10</v>
      </c>
      <c r="BJ58" s="109">
        <f>$H$33*H49</f>
        <v>1.38321929254787805E-08</v>
      </c>
    </row>
    <row r="59" spans="60:62">
      <c r="BH59">
        <f>BH58+1</f>
        <v>9</v>
      </c>
      <c r="BI59" t="n">
        <v>10</v>
      </c>
      <c r="BJ59" s="109">
        <f>$H$34*H49</f>
        <v>1.746564317177634962E-09</v>
      </c>
    </row>
  </sheetData>
  <mergeCells count="2">
    <mergeCell ref="P1:Q1"/>
    <mergeCell ref="B3:C3"/>
  </mergeCells>
  <conditionalFormatting sqref="H49">
    <cfRule type="cellIs" dxfId="14" priority="1" operator="greaterThan">
      <formula>0.15</formula>
    </cfRule>
  </conditionalFormatting>
  <conditionalFormatting sqref="H39:H49">
    <cfRule type="cellIs" dxfId="15" priority="2" operator="greaterThan">
      <formula>0.15</formula>
    </cfRule>
  </conditionalFormatting>
  <conditionalFormatting sqref="H49">
    <cfRule type="cellIs" dxfId="16" priority="3" operator="greaterThan">
      <formula>0.15</formula>
    </cfRule>
  </conditionalFormatting>
  <conditionalFormatting sqref="H39:H49">
    <cfRule type="cellIs" dxfId="17" priority="4" operator="greaterThan">
      <formula>0.15</formula>
    </cfRule>
  </conditionalFormatting>
  <conditionalFormatting sqref="H35">
    <cfRule type="cellIs" dxfId="18" priority="5" operator="greaterThan">
      <formula>0.15</formula>
    </cfRule>
  </conditionalFormatting>
  <conditionalFormatting sqref="H25:H35">
    <cfRule type="cellIs" dxfId="19" priority="6" operator="greaterThan">
      <formula>0.15</formula>
    </cfRule>
  </conditionalFormatting>
  <conditionalFormatting sqref="H35">
    <cfRule type="cellIs" dxfId="20" priority="7" operator="greaterThan">
      <formula>0.15</formula>
    </cfRule>
  </conditionalFormatting>
  <conditionalFormatting sqref="H25:H35">
    <cfRule type="cellIs" dxfId="21" priority="8" operator="greaterThan">
      <formula>0.15</formula>
    </cfRule>
  </conditionalFormatting>
  <conditionalFormatting sqref="V49">
    <cfRule type="cellIs" dxfId="22" priority="9" operator="greaterThan">
      <formula>0.15</formula>
    </cfRule>
  </conditionalFormatting>
  <conditionalFormatting sqref="V35">
    <cfRule type="cellIs" dxfId="23" priority="10" operator="greaterThan">
      <formula>0.15</formula>
    </cfRule>
  </conditionalFormatting>
  <conditionalFormatting sqref="V25:V35 V39:V49">
    <cfRule type="cellIs" dxfId="24" priority="11" operator="greaterThan">
      <formula>0.15</formula>
    </cfRule>
  </conditionalFormatting>
  <conditionalFormatting sqref="V49">
    <cfRule type="cellIs" dxfId="25" priority="12" operator="greaterThan">
      <formula>0.15</formula>
    </cfRule>
  </conditionalFormatting>
  <conditionalFormatting sqref="V35">
    <cfRule type="cellIs" dxfId="26" priority="13" operator="greaterThan">
      <formula>0.15</formula>
    </cfRule>
  </conditionalFormatting>
  <conditionalFormatting sqref="V25:V35 V39:V49">
    <cfRule type="cellIs" dxfId="27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"/>
  </sheetPr>
  <dimension ref="A1:BR59"/>
  <sheetViews>
    <sheetView tabSelected="1" view="normal" zoomScale="80" workbookViewId="0">
      <selection activeCell="H10" sqref="H10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5">
      <c r="A1" s="155" t="s">
        <v>146</v>
      </c>
      <c r="B1" t="s">
        <v>1</v>
      </c>
      <c r="F1" s="196" t="s">
        <v>2</v>
      </c>
      <c r="G1" s="194">
        <f>IF(D3="SI",COUNTIF($F$6:$F$18,"RAP"),0)</f>
        <v>3</v>
      </c>
      <c r="H1" s="15"/>
      <c r="J1" s="197" t="s">
        <v>2</v>
      </c>
      <c r="K1" s="194">
        <f>IF(D3="SI",COUNTIF($J$6:$J$18,"RAP"),0)</f>
        <v>2</v>
      </c>
      <c r="L1" s="15"/>
      <c r="P1" s="155"/>
      <c r="Q1" s="155"/>
      <c r="R1" s="153"/>
      <c r="S1" s="153"/>
      <c r="U1" t="n">
        <v>1.5</v>
      </c>
      <c r="V1" t="n">
        <v>2.5</v>
      </c>
      <c r="W1" t="n">
        <v>3.5</v>
      </c>
      <c r="AI1" s="158"/>
    </row>
    <row r="2" spans="1:35">
      <c r="A2" s="155" t="s">
        <v>151</v>
      </c>
      <c r="B2" t="s">
        <v>1</v>
      </c>
      <c r="F2" s="196" t="s">
        <v>5</v>
      </c>
      <c r="G2" s="194">
        <f>IF(D3="SI",COUNTIF($F$6:$F$18,"TEC"),0)</f>
        <v>0</v>
      </c>
      <c r="H2" s="15"/>
      <c r="J2" s="197" t="s">
        <v>5</v>
      </c>
      <c r="K2" s="194">
        <f>IF(D3="SI",COUNTIF($J$6:$J$18,"TEC"),0)</f>
        <v>1</v>
      </c>
      <c r="L2" s="15"/>
      <c r="M2" s="160"/>
      <c r="O2" t="s">
        <v>6</v>
      </c>
      <c r="P2" s="203" t="n">
        <v>0.45</v>
      </c>
      <c r="R2" s="153"/>
      <c r="S2" s="153"/>
      <c r="Y2" t="s">
        <v>6</v>
      </c>
      <c r="Z2" s="204" t="n">
        <v>0.45</v>
      </c>
      <c r="AI2" s="15"/>
    </row>
    <row r="3" spans="1:40">
      <c r="A3" s="159" t="s">
        <v>7</v>
      </c>
      <c r="B3" s="206" t="s">
        <v>8</v>
      </c>
      <c r="C3" s="206"/>
      <c r="D3" t="str">
        <f>IF(B3="Sol","SI",IF(B3="Lluvia","SI","NO"))</f>
        <v>SI</v>
      </c>
      <c r="F3" s="196" t="s">
        <v>9</v>
      </c>
      <c r="G3" s="194">
        <f>IF(D3="SI",COUNTIF($F$6:$F$18,"POT"),0)</f>
        <v>0</v>
      </c>
      <c r="H3" s="15"/>
      <c r="J3" s="197" t="s">
        <v>9</v>
      </c>
      <c r="K3" s="194">
        <f>IF(D3="SI",COUNTIF($J$6:$J$18,"POT"),0)</f>
        <v>1</v>
      </c>
      <c r="L3" s="15"/>
      <c r="O3" t="s">
        <v>10</v>
      </c>
      <c r="P3" s="203" t="n">
        <v>0.569999999999999929</v>
      </c>
      <c r="Q3" t="s">
        <v>11</v>
      </c>
      <c r="R3" s="203" t="n">
        <v>0.7</v>
      </c>
      <c r="Y3" t="s">
        <v>10</v>
      </c>
      <c r="Z3" s="204" t="n">
        <v>0.569999999999999929</v>
      </c>
      <c r="AA3" t="s">
        <v>11</v>
      </c>
      <c r="AB3" s="204" t="n">
        <v>0.7</v>
      </c>
      <c r="AI3" s="199">
        <f>SUM(AI5:AI19)</f>
        <v>3.68369999999999997</v>
      </c>
      <c r="AM3" s="199">
        <f>SUM(AM5:AM19)</f>
        <v>3.68369999999999997</v>
      </c>
      <c r="AN3" s="199">
        <f>SUM(AN5:AN19)</f>
        <v>3.68369999999999997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G4" s="10" t="s">
        <v>28</v>
      </c>
      <c r="AH4" s="10" t="s">
        <v>29</v>
      </c>
      <c r="AI4" s="155" t="s">
        <v>30</v>
      </c>
      <c r="AK4" s="11" t="s">
        <v>28</v>
      </c>
      <c r="AL4" s="11" t="s">
        <v>29</v>
      </c>
      <c r="AM4" s="15" t="s">
        <v>31</v>
      </c>
      <c r="AO4" t="s">
        <v>32</v>
      </c>
      <c r="BH4" t="n">
        <v>0</v>
      </c>
      <c r="BI4" t="n">
        <v>1</v>
      </c>
      <c r="BJ4" s="109">
        <f>$H$25*H40</f>
        <v>0.0289032782818980003</v>
      </c>
      <c r="BL4" t="n">
        <v>0</v>
      </c>
      <c r="BM4" t="n">
        <v>0</v>
      </c>
      <c r="BN4" s="109">
        <f>H25*H39</f>
        <v>0.00725804973888000049</v>
      </c>
      <c r="BP4" t="n">
        <v>1</v>
      </c>
      <c r="BQ4" t="n">
        <v>0</v>
      </c>
      <c r="BR4" s="109">
        <f>$H$26*H39</f>
        <v>0.011418128029118999</v>
      </c>
    </row>
    <row r="5" spans="1:70">
      <c r="A5" s="42" t="s">
        <v>33</v>
      </c>
      <c r="B5" s="156" t="n">
        <v>352</v>
      </c>
      <c r="C5" s="156" t="n">
        <v>352</v>
      </c>
      <c r="E5" s="189" t="s">
        <v>34</v>
      </c>
      <c r="F5" s="164" t="s">
        <v>35</v>
      </c>
      <c r="G5" s="164" t="n">
        <v>12</v>
      </c>
      <c r="H5" s="12"/>
      <c r="I5" s="12"/>
      <c r="J5" s="163" t="s">
        <v>35</v>
      </c>
      <c r="K5" s="163" t="n">
        <v>12</v>
      </c>
      <c r="L5" s="12"/>
      <c r="M5" s="12"/>
      <c r="O5" s="69">
        <f>AG5*AI5*AO5*AH5</f>
        <v>0.0788499999999999979</v>
      </c>
      <c r="P5" s="201">
        <f>P3</f>
        <v>0.569999999999999929</v>
      </c>
      <c r="Q5" s="205">
        <f>P5*O5</f>
        <v>0.0449444999999999961</v>
      </c>
      <c r="R5" s="157">
        <f>IF($B$17="JC",IF($C$17="JC",$W$1,$V$1*1.1),IF($C$17="JC",$V$1/0.9,$U$1))*Q5/1.5</f>
        <v>0.0449444999999999961</v>
      </c>
      <c r="S5" s="173">
        <f>(1-R5)</f>
        <v>0.955055499999999924</v>
      </c>
      <c r="T5" s="174">
        <f>R5*PRODUCT(S6:S19)</f>
        <v>0.0347435394555120025</v>
      </c>
      <c r="U5" s="174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0.00912611517266100059</v>
      </c>
      <c r="V5" s="20"/>
      <c r="W5" s="183" t="s">
        <v>36</v>
      </c>
      <c r="X5" s="17" t="s">
        <v>37</v>
      </c>
      <c r="Y5" s="71">
        <f>AK5*AI5*AL5*AO5</f>
        <v>0</v>
      </c>
      <c r="Z5" s="71">
        <f>Z3</f>
        <v>0.569999999999999929</v>
      </c>
      <c r="AA5" s="71">
        <f>Z5*Y5</f>
        <v>0</v>
      </c>
      <c r="AB5" s="157">
        <f>IF($B$17="JC",IF($C$17="JC",$W$1,$V$1/0.9),IF($C$17="JC",$V$1*1.1,$U$1))*AA5/1.5</f>
        <v>0</v>
      </c>
      <c r="AC5" s="173">
        <f>(1-AB5)</f>
        <v>1</v>
      </c>
      <c r="AD5" s="174">
        <f>AB5*PRODUCT(AC6:AC19)</f>
        <v>0</v>
      </c>
      <c r="AE5" s="174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20"/>
      <c r="AG5" s="195">
        <f>IF(COUNTIF(F5:F10,"IMP")+COUNTIF(J5:J10,"IMP")=0,0,COUNTIF(F5:F10,"IMP")/(COUNTIF(F5:F10,"IMP")+COUNTIF(J5:J10,"IMP")))</f>
        <v>1</v>
      </c>
      <c r="AH5">
        <f>COUNTIF(F5:F10,"IMP")</f>
        <v>1</v>
      </c>
      <c r="AI5" s="198">
        <f>AN5*$AM$3/$AN$3</f>
        <v>0.473099999999999987</v>
      </c>
      <c r="AK5" s="195">
        <f>IF(COUNTIF(F5:F10,"IMP")+COUNTIF(J5:J10,"IMP")=0,0,COUNTIF(J5:J10,"IMP")/(COUNTIF(F5:F10,"IMP")+COUNTIF(J5:J10,"IMP")))</f>
        <v>0</v>
      </c>
      <c r="AL5">
        <f>COUNTIF(J5:J10,"IMP")</f>
        <v>0</v>
      </c>
      <c r="AM5" s="199" t="n">
        <v>0.473099999999999987</v>
      </c>
      <c r="AN5" s="200">
        <f>IF(AG5=0,IF(AK5=0,0,AM5),AM5)</f>
        <v>0.473099999999999987</v>
      </c>
      <c r="AO5">
        <f>1/6</f>
        <v>0.16666666666666698</v>
      </c>
      <c r="BH5" t="n">
        <v>0</v>
      </c>
      <c r="BI5" t="n">
        <v>2</v>
      </c>
      <c r="BJ5" s="109">
        <f>$H$25*H41</f>
        <v>0.0528799158294349958</v>
      </c>
      <c r="BL5" t="n">
        <v>1</v>
      </c>
      <c r="BM5" t="n">
        <v>1</v>
      </c>
      <c r="BN5" s="109">
        <f>$H$26*H40</f>
        <v>0.045469698301478001</v>
      </c>
      <c r="BP5">
        <f>BP4+1</f>
        <v>2</v>
      </c>
      <c r="BQ5" t="n">
        <v>0</v>
      </c>
      <c r="BR5" s="109">
        <f>$H$27*H39</f>
        <v>0.00813114271919099885</v>
      </c>
    </row>
    <row r="6" spans="1:70">
      <c r="A6" s="4" t="s">
        <v>38</v>
      </c>
      <c r="B6" s="165" t="n">
        <v>4.5</v>
      </c>
      <c r="C6" s="166">
        <f>16.5/1.2</f>
        <v>13.75</v>
      </c>
      <c r="E6" s="189" t="s">
        <v>39</v>
      </c>
      <c r="F6" s="164" t="s">
        <v>40</v>
      </c>
      <c r="G6" s="164"/>
      <c r="H6" s="12"/>
      <c r="I6" s="12"/>
      <c r="J6" s="163" t="s">
        <v>148</v>
      </c>
      <c r="K6" s="163"/>
      <c r="L6" s="12"/>
      <c r="M6" s="12"/>
      <c r="O6" s="69">
        <f>AG6*AI6*AO6*AH6</f>
        <v>0.103825000000000012</v>
      </c>
      <c r="P6" s="201">
        <f>P3</f>
        <v>0.569999999999999929</v>
      </c>
      <c r="Q6" s="205">
        <f>P6*O6</f>
        <v>0.0591802500000000009</v>
      </c>
      <c r="R6" s="157">
        <f>IF($B$17="JC",IF($C$17="JC",$W$1,$V$1*1.1),IF($C$17="JC",$V$1/0.9,$U$1))*Q6/1.5</f>
        <v>0.0591802500000000009</v>
      </c>
      <c r="S6" s="173">
        <f>(1-R6)</f>
        <v>0.940819749999999999</v>
      </c>
      <c r="T6" s="174">
        <f>R6*S5*PRODUCT(S7:S19)</f>
        <v>0.0464404571267040023</v>
      </c>
      <c r="U6" s="174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0.00927731710019999944</v>
      </c>
      <c r="V6" s="20"/>
      <c r="W6" s="183" t="s">
        <v>41</v>
      </c>
      <c r="X6" s="17" t="s">
        <v>42</v>
      </c>
      <c r="Y6" s="71">
        <f>AK6*AI6*AL6*AO6</f>
        <v>0</v>
      </c>
      <c r="Z6" s="71">
        <f>Z3</f>
        <v>0.569999999999999929</v>
      </c>
      <c r="AA6" s="71">
        <f>Z6*Y6</f>
        <v>0</v>
      </c>
      <c r="AB6" s="157">
        <f>IF($B$17="JC",IF($C$17="JC",$W$1,$V$1/0.9),IF($C$17="JC",$V$1*1.1,$U$1))*AA6/1.5</f>
        <v>0</v>
      </c>
      <c r="AC6" s="173">
        <f>(1-AB6)</f>
        <v>1</v>
      </c>
      <c r="AD6" s="174">
        <f>AB6*AC5*PRODUCT(AC7:AC19)</f>
        <v>0</v>
      </c>
      <c r="AE6" s="174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</v>
      </c>
      <c r="AF6" s="20"/>
      <c r="AG6" s="195">
        <f>IF(COUNTIF(F11:F18,"IMP")+COUNTIF(J11:J18,"IMP")=0,0,COUNTIF(F11:F18,"IMP")/(COUNTIF(F11:F18,"IMP")+COUNTIF(J11:J18,"IMP")))</f>
        <v>1</v>
      </c>
      <c r="AH6">
        <f>COUNTIF(F11:F18,"IMP")</f>
        <v>2</v>
      </c>
      <c r="AI6" s="198">
        <f>AN6*$AM$3/$AN$3</f>
        <v>0.415300000000000047</v>
      </c>
      <c r="AK6" s="195">
        <f>IF(COUNTIF(F11:F18,"IMP")+COUNTIF(J11:J18,"IMP")=0,0,COUNTIF(J11:J18,"IMP")/(COUNTIF(F11:F18,"IMP")+COUNTIF(J11:J18,"IMP")))</f>
        <v>0</v>
      </c>
      <c r="AL6">
        <f>COUNTIF(J11:J18,"IMP")</f>
        <v>0</v>
      </c>
      <c r="AM6" s="199" t="n">
        <v>0.415300000000000047</v>
      </c>
      <c r="AN6" s="200">
        <f>IF(AG6=0,IF(AK6=0,0,AM6),AM6)</f>
        <v>0.415300000000000047</v>
      </c>
      <c r="AO6">
        <f>1/8</f>
        <v>0.125</v>
      </c>
      <c r="BH6" t="n">
        <v>0</v>
      </c>
      <c r="BI6" t="n">
        <v>3</v>
      </c>
      <c r="BJ6" s="109">
        <f>$H$25*H42</f>
        <v>0.0588812481484569972</v>
      </c>
      <c r="BL6">
        <f>BH14+1</f>
        <v>2</v>
      </c>
      <c r="BM6" t="n">
        <v>2</v>
      </c>
      <c r="BN6" s="109">
        <f>$H$27*H41</f>
        <v>0.0592410024809689961</v>
      </c>
      <c r="BP6">
        <f>BL5+1</f>
        <v>2</v>
      </c>
      <c r="BQ6" t="n">
        <v>1</v>
      </c>
      <c r="BR6" s="109">
        <f>$H$27*H40</f>
        <v>0.0323801419413939984</v>
      </c>
    </row>
    <row r="7" spans="1:70">
      <c r="A7" s="7" t="s">
        <v>43</v>
      </c>
      <c r="B7" s="165" t="n">
        <v>21</v>
      </c>
      <c r="C7" s="166" t="n">
        <v>14.25</v>
      </c>
      <c r="E7" s="189" t="s">
        <v>44</v>
      </c>
      <c r="F7" s="164" t="s">
        <v>35</v>
      </c>
      <c r="G7" s="164"/>
      <c r="H7" s="12"/>
      <c r="I7" s="12"/>
      <c r="J7" s="163"/>
      <c r="K7" s="163"/>
      <c r="L7" s="12"/>
      <c r="M7" s="12"/>
      <c r="O7" s="69">
        <f>AG7*AI7*AO7*AH7</f>
        <v>0</v>
      </c>
      <c r="P7" s="201">
        <f>P2</f>
        <v>0.45</v>
      </c>
      <c r="Q7" s="205">
        <f>P7*O7</f>
        <v>0</v>
      </c>
      <c r="R7" s="157">
        <f>IF($B$17="JC",IF($C$17="JC",$W$1,$V$1*1.1),IF($C$17="JC",$V$1/0.9,$U$1))*Q7/1.5</f>
        <v>0</v>
      </c>
      <c r="S7" s="173">
        <f>(1-R7)</f>
        <v>1</v>
      </c>
      <c r="T7" s="174">
        <f>R7*PRODUCT(S5:S6)*PRODUCT(S8:S19)</f>
        <v>0</v>
      </c>
      <c r="U7" s="174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4" t="s">
        <v>45</v>
      </c>
      <c r="X7" s="17" t="s">
        <v>46</v>
      </c>
      <c r="Y7" s="71">
        <f>AK7*AI7*AL7*AO7</f>
        <v>0.00780000000000000071</v>
      </c>
      <c r="Z7" s="71">
        <f>Z2</f>
        <v>0.45</v>
      </c>
      <c r="AA7" s="71">
        <f>Z7*Y7</f>
        <v>0.00350999999999999979</v>
      </c>
      <c r="AB7" s="157">
        <f>IF($B$17="JC",IF($C$17="JC",$W$1,$V$1/0.9),IF($C$17="JC",$V$1*1.1,$U$1))*AA7/1.5</f>
        <v>0.00350999999999999979</v>
      </c>
      <c r="AC7" s="173">
        <f>(1-AB7)</f>
        <v>0.996490000000000009</v>
      </c>
      <c r="AD7" s="174">
        <f>AB7*PRODUCT(AC5:AC6)*PRODUCT(AC8:AC19)</f>
        <v>0.00229871023796800023</v>
      </c>
      <c r="AE7" s="174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0.00100936445918100004</v>
      </c>
      <c r="AG7" s="195">
        <f>IF(COUNTIF(F14:F18,"IMP")+COUNTIF(J14:J18,"IMP")=0,0,COUNTIF(J14:J18,"IMP")/(COUNTIF(F14:F18,"IMP")+COUNTIF(J14:J18,"IMP")))</f>
        <v>0</v>
      </c>
      <c r="AH7">
        <f>COUNTIF(J14:J18,"IMP")</f>
        <v>0</v>
      </c>
      <c r="AI7" s="198">
        <f>AN7*$AM$3/$AN$3</f>
        <v>0.00390000000000000036</v>
      </c>
      <c r="AK7" s="195">
        <f>IF(COUNTIF(F14:F18,"IMP")+COUNTIF(J14:J18,"IMP")=0,0,COUNTIF(F14:F18,"IMP")/(COUNTIF(F14:F18,"IMP")+COUNTIF(J14:J18,"IMP")))</f>
        <v>1</v>
      </c>
      <c r="AL7">
        <f>COUNTIF(F14:F18,"IMP")</f>
        <v>2</v>
      </c>
      <c r="AM7" s="199" t="n">
        <v>0.00390000000000000036</v>
      </c>
      <c r="AN7" s="200">
        <f>IF(AG7=0,IF(AK7=0,0,AM7),AM7)</f>
        <v>0.00390000000000000036</v>
      </c>
      <c r="AO7" t="n">
        <v>1</v>
      </c>
      <c r="BH7" t="n">
        <v>0</v>
      </c>
      <c r="BI7" t="n">
        <v>4</v>
      </c>
      <c r="BJ7" s="109">
        <f>$H$25*H43</f>
        <v>0.0445593659242289952</v>
      </c>
      <c r="BL7">
        <f>BH23+1</f>
        <v>3</v>
      </c>
      <c r="BM7" t="n">
        <v>3</v>
      </c>
      <c r="BN7" s="109">
        <f>$H$28*H42</f>
        <v>0.0282054790033289962</v>
      </c>
      <c r="BP7">
        <f>BP5+1</f>
        <v>3</v>
      </c>
      <c r="BQ7" t="n">
        <v>0</v>
      </c>
      <c r="BR7" s="109">
        <f>$H$28*H39</f>
        <v>0.00347677360709000016</v>
      </c>
    </row>
    <row r="8" spans="1:70">
      <c r="A8" s="7" t="s">
        <v>47</v>
      </c>
      <c r="B8" s="165" t="n">
        <v>18.5</v>
      </c>
      <c r="C8" s="166" t="n">
        <v>15</v>
      </c>
      <c r="E8" s="189" t="s">
        <v>44</v>
      </c>
      <c r="F8" s="164" t="s">
        <v>35</v>
      </c>
      <c r="G8" s="164"/>
      <c r="H8" s="12"/>
      <c r="I8" s="12"/>
      <c r="J8" s="163" t="s">
        <v>9</v>
      </c>
      <c r="K8" s="163"/>
      <c r="L8" s="12"/>
      <c r="M8" s="12"/>
      <c r="O8" s="69">
        <f>AG8*AI8*AO8*AH8</f>
        <v>0.106153846153845</v>
      </c>
      <c r="P8" s="201">
        <f>P2</f>
        <v>0.45</v>
      </c>
      <c r="Q8" s="205">
        <f>P8*O8</f>
        <v>0.0477692307692300044</v>
      </c>
      <c r="R8" s="157">
        <f>IF($B$17="JC",IF($C$17="JC",$W$1,$V$1*1.1),IF($C$17="JC",$V$1/0.9,$U$1))*Q8/1.5</f>
        <v>0.0477692307692300044</v>
      </c>
      <c r="S8" s="173">
        <f>(1-R8)</f>
        <v>0.952230769230770058</v>
      </c>
      <c r="T8" s="174">
        <f>R8*PRODUCT(S5:S7)*PRODUCT(S9:S19)</f>
        <v>0.037036688887594007</v>
      </c>
      <c r="U8" s="174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0.00554077732222200048</v>
      </c>
      <c r="W8" s="183" t="s">
        <v>48</v>
      </c>
      <c r="X8" s="17" t="s">
        <v>49</v>
      </c>
      <c r="Y8" s="71">
        <f>AK8*AI8*AL8*AO8</f>
        <v>0</v>
      </c>
      <c r="Z8" s="71">
        <f>Z2</f>
        <v>0.45</v>
      </c>
      <c r="AA8" s="71">
        <f>Z8*Y8</f>
        <v>0</v>
      </c>
      <c r="AB8" s="157">
        <f>IF($B$17="JC",IF($C$17="JC",$W$1,$V$1/0.9),IF($C$17="JC",$V$1*1.1,$U$1))*AA8/1.5</f>
        <v>0</v>
      </c>
      <c r="AC8" s="173">
        <f>(1-AB8)</f>
        <v>1</v>
      </c>
      <c r="AD8" s="174">
        <f>AB8*PRODUCT(AC5:AC7)*PRODUCT(AC9:AC19)</f>
        <v>0</v>
      </c>
      <c r="AE8" s="174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</v>
      </c>
      <c r="AG8" s="195">
        <f>IF(COUNTIF(F6:F18,"IMP")+COUNTIF(J6:J18,"IMP")=0,0,COUNTIF(F6:F18,"IMP")/(COUNTIF(F6:F18,"IMP")+COUNTIF(J6:J18,"IMP")))</f>
        <v>1</v>
      </c>
      <c r="AH8">
        <f>COUNTIF(F6:F18,"IMP")</f>
        <v>3</v>
      </c>
      <c r="AI8" s="198">
        <f>AN8*$AM$3/$AN$3</f>
        <v>0.460000000000000053</v>
      </c>
      <c r="AK8" s="195">
        <f>IF(COUNTIF(F6:F18,"IMP")+COUNTIF(J6:J18,"IMP")=0,0,COUNTIF(J6:J18,"IMP")/(COUNTIF(F6:F18,"IMP")+COUNTIF(J6:J18,"IMP")))</f>
        <v>0</v>
      </c>
      <c r="AL8">
        <f>COUNTIF(J6:J18,"IMP")</f>
        <v>0</v>
      </c>
      <c r="AM8" s="199" t="n">
        <v>0.460000000000000053</v>
      </c>
      <c r="AN8" s="200">
        <f>IF(AG8=0,IF(AK8=0,0,AM8),AM8)</f>
        <v>0.460000000000000053</v>
      </c>
      <c r="AO8">
        <f>1/13</f>
        <v>0.0769230769230769962</v>
      </c>
      <c r="BH8" t="n">
        <v>0</v>
      </c>
      <c r="BI8" t="n">
        <v>5</v>
      </c>
      <c r="BJ8" s="109">
        <f>$H$25*H44</f>
        <v>0.0242364416142809969</v>
      </c>
      <c r="BL8">
        <f>BH31+1</f>
        <v>4</v>
      </c>
      <c r="BM8" t="n">
        <v>4</v>
      </c>
      <c r="BN8" s="109">
        <f>$H$29*H43</f>
        <v>0.0061294127686159996</v>
      </c>
      <c r="BP8">
        <f>BP6+1</f>
        <v>3</v>
      </c>
      <c r="BQ8" t="n">
        <v>1</v>
      </c>
      <c r="BR8" s="109">
        <f>$H$28*H40</f>
        <v>0.0138453384454759988</v>
      </c>
    </row>
    <row r="9" spans="1:70">
      <c r="A9" s="7" t="s">
        <v>50</v>
      </c>
      <c r="B9" s="165" t="n">
        <v>20.5</v>
      </c>
      <c r="C9" s="166" t="n">
        <v>14.25</v>
      </c>
      <c r="E9" s="189" t="s">
        <v>44</v>
      </c>
      <c r="F9" s="164" t="s">
        <v>35</v>
      </c>
      <c r="G9" s="164"/>
      <c r="H9" s="12"/>
      <c r="I9" s="12"/>
      <c r="J9" s="163"/>
      <c r="K9" s="163"/>
      <c r="L9" s="12"/>
      <c r="M9" s="12"/>
      <c r="O9" s="69">
        <f>AG9*AI9*AO9*AH9</f>
        <v>0</v>
      </c>
      <c r="P9" s="201">
        <f>P2</f>
        <v>0.45</v>
      </c>
      <c r="Q9" s="205">
        <f>P9*O9</f>
        <v>0</v>
      </c>
      <c r="R9" s="157">
        <f>IF($B$17="JC",IF($C$17="JC",$W$1,$V$1*1.1),IF($C$17="JC",$V$1/0.9,$U$1))*Q9/1.5</f>
        <v>0</v>
      </c>
      <c r="S9" s="173">
        <f>(1-R9)</f>
        <v>1</v>
      </c>
      <c r="T9" s="174">
        <f>R9*PRODUCT(S5:S8)*PRODUCT(S10:S19)</f>
        <v>0</v>
      </c>
      <c r="U9" s="174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4" t="s">
        <v>51</v>
      </c>
      <c r="X9" s="17" t="s">
        <v>52</v>
      </c>
      <c r="Y9" s="71">
        <f>AK9*AI9*AL9*AO9</f>
        <v>0.0114999999999999991</v>
      </c>
      <c r="Z9" s="71">
        <f>Z2</f>
        <v>0.45</v>
      </c>
      <c r="AA9" s="71">
        <f>Z9*Y9</f>
        <v>0.00517499999999999982</v>
      </c>
      <c r="AB9" s="157">
        <f>IF($B$17="JC",IF($C$17="JC",$W$1,$V$1/0.9),IF($C$17="JC",$V$1*1.1,$U$1))*AA9/1.5</f>
        <v>0.00517499999999999982</v>
      </c>
      <c r="AC9" s="173">
        <f>(1-AB9)</f>
        <v>0.994824999999999982</v>
      </c>
      <c r="AD9" s="174">
        <f>AB9*PRODUCT(AC5:AC8)*PRODUCT(AC10:AC19)</f>
        <v>0.00339479631424400008</v>
      </c>
      <c r="AE9" s="174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0.00147299677510200011</v>
      </c>
      <c r="AG9" s="195">
        <f>IF(COUNTIF(J6:J13,"IMP")+COUNTIF(F6:F13,"IMP")=0,0,COUNTIF(J6:J13,"IMP")/(COUNTIF(J6:J13,"IMP")+COUNTIF(F6:F13,"IMP")))</f>
        <v>0</v>
      </c>
      <c r="AH9">
        <f>COUNTIF(J6:J13,"IMP")</f>
        <v>0</v>
      </c>
      <c r="AI9" s="198">
        <f>AN9*$AM$3/$AN$3</f>
        <v>0.0114999999999999991</v>
      </c>
      <c r="AK9" s="195">
        <f>IF(COUNTIF(J6:J13,"IMP")+COUNTIF(F6:F13,"IMP")=0,0,COUNTIF(F6:F13,"IMP")/(COUNTIF(J6:J13,"IMP")+COUNTIF(F6:F13,"IMP")))</f>
        <v>1</v>
      </c>
      <c r="AL9">
        <f>COUNTIF(F6:F13,"IMP")</f>
        <v>1</v>
      </c>
      <c r="AM9" s="199" t="n">
        <v>0.0114999999999999991</v>
      </c>
      <c r="AN9" s="200">
        <f>IF(AG9=0,IF(AK9=0,0,AM9),AM9)</f>
        <v>0.0114999999999999991</v>
      </c>
      <c r="AO9" t="n">
        <v>1</v>
      </c>
      <c r="BH9" t="n">
        <v>0</v>
      </c>
      <c r="BI9" t="n">
        <v>6</v>
      </c>
      <c r="BJ9" s="109">
        <f>$H$25*H45</f>
        <v>0.0097692567448840002</v>
      </c>
      <c r="BL9">
        <f>BH38+1</f>
        <v>5</v>
      </c>
      <c r="BM9" t="n">
        <v>5</v>
      </c>
      <c r="BN9" s="109">
        <f>$H$30*H44</f>
        <v>0.000680597565130000071</v>
      </c>
      <c r="BP9">
        <f>BL6+1</f>
        <v>3</v>
      </c>
      <c r="BQ9" t="n">
        <v>2</v>
      </c>
      <c r="BR9" s="109">
        <f>$H$28*H41</f>
        <v>0.0253307020915109993</v>
      </c>
    </row>
    <row r="10" spans="1:70">
      <c r="A10" s="8" t="s">
        <v>53</v>
      </c>
      <c r="B10" s="165" t="n">
        <v>12</v>
      </c>
      <c r="C10" s="166" t="n">
        <v>14.75</v>
      </c>
      <c r="E10" s="189" t="s">
        <v>39</v>
      </c>
      <c r="F10" s="164" t="s">
        <v>2</v>
      </c>
      <c r="G10" s="164"/>
      <c r="H10" s="12"/>
      <c r="I10" s="12"/>
      <c r="J10" s="163" t="s">
        <v>35</v>
      </c>
      <c r="K10" s="163"/>
      <c r="L10" s="12"/>
      <c r="M10" s="12"/>
      <c r="O10" s="69">
        <f>AG10*AI10*AO10*AH10</f>
        <v>0.0625</v>
      </c>
      <c r="P10" s="201">
        <f>P3</f>
        <v>0.569999999999999929</v>
      </c>
      <c r="Q10" s="205">
        <f>P10*O10</f>
        <v>0.0356249999999999956</v>
      </c>
      <c r="R10" s="157">
        <f>IF($B$17="JC",IF($C$17="JC",$W$1,$V$1*1.1),IF($C$17="JC",$V$1/0.9,$U$1))*Q10/1.5</f>
        <v>0.0356249999999999956</v>
      </c>
      <c r="S10" s="173">
        <f>(1-R10)</f>
        <v>0.964375000000000071</v>
      </c>
      <c r="T10" s="174">
        <f>R10*PRODUCT(S5:S9)*PRODUCT(S11:S19)</f>
        <v>0.0272731339696849995</v>
      </c>
      <c r="U10" s="174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0.00307262863690400012</v>
      </c>
      <c r="W10" s="183" t="s">
        <v>54</v>
      </c>
      <c r="X10" s="17" t="s">
        <v>55</v>
      </c>
      <c r="Y10" s="71">
        <f>AK10*AI10*AL10*AO10</f>
        <v>0.0625</v>
      </c>
      <c r="Z10" s="71">
        <f>Z3</f>
        <v>0.569999999999999929</v>
      </c>
      <c r="AA10" s="71">
        <f>Z10*Y10</f>
        <v>0.0356249999999999956</v>
      </c>
      <c r="AB10" s="157">
        <f>IF($B$17="JC",IF($C$17="JC",$W$1,$V$1/0.9),IF($C$17="JC",$V$1*1.1,$U$1))*AA10/1.5</f>
        <v>0.0356249999999999956</v>
      </c>
      <c r="AC10" s="173">
        <f>(1-AB10)</f>
        <v>0.964375000000000071</v>
      </c>
      <c r="AD10" s="174">
        <f>AB10*PRODUCT(AC5:AC9)*PRODUCT(AC11:AC19)</f>
        <v>0.0241078781680830012</v>
      </c>
      <c r="AE10" s="174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0.00956980066992899836</v>
      </c>
      <c r="AG10" s="195">
        <f>IF(COUNTIF(F11:F18,"RAP")+COUNTIF(J11:J18,"RAP")=0,0,COUNTIF(F11:F18,"RAP")/(COUNTIF(F11:F18,"RAP")+COUNTIF(J11:J18,"RAP")))</f>
        <v>0.5</v>
      </c>
      <c r="AH10">
        <f>COUNTIF(F11:F18,"RAP")</f>
        <v>2</v>
      </c>
      <c r="AI10" s="198">
        <f>AN10*$AM$3/$AN$3</f>
        <v>0.5</v>
      </c>
      <c r="AK10" s="195">
        <f>IF(COUNTIF(F11:F18,"RAP")+COUNTIF(J11:J18,"RAP")=0,0,COUNTIF(J11:J18,"RAP")/(COUNTIF(F11:F18,"RAP")+COUNTIF(J11:J18,"RAP")))</f>
        <v>0.5</v>
      </c>
      <c r="AL10">
        <f>COUNTIF(J11:J18,"RAP")</f>
        <v>2</v>
      </c>
      <c r="AM10" s="199" t="n">
        <v>0.5</v>
      </c>
      <c r="AN10" s="200">
        <f>IF(AG10=0,IF(AK10=0,0,AM10),AM10)</f>
        <v>0.5</v>
      </c>
      <c r="AO10">
        <f>1/8</f>
        <v>0.125</v>
      </c>
      <c r="BH10" t="n">
        <v>0</v>
      </c>
      <c r="BI10" t="n">
        <v>7</v>
      </c>
      <c r="BJ10" s="109">
        <f>$H$25*H46</f>
        <v>0.00296416601147299996</v>
      </c>
      <c r="BL10">
        <f>BH44+1</f>
        <v>6</v>
      </c>
      <c r="BM10" t="n">
        <v>6</v>
      </c>
      <c r="BN10" s="109">
        <f>$H$31*H45</f>
        <v>0.0000410004794639999925</v>
      </c>
      <c r="BP10">
        <f>BP7+1</f>
        <v>4</v>
      </c>
      <c r="BQ10" t="n">
        <v>0</v>
      </c>
      <c r="BR10" s="109">
        <f>$H$29*H39</f>
        <v>0.000998389043963999789</v>
      </c>
    </row>
    <row r="11" spans="1:70">
      <c r="A11" s="8" t="s">
        <v>56</v>
      </c>
      <c r="B11" s="165" t="n">
        <v>6.25</v>
      </c>
      <c r="C11" s="166" t="n">
        <v>14</v>
      </c>
      <c r="E11" s="189" t="s">
        <v>57</v>
      </c>
      <c r="F11" s="164"/>
      <c r="G11" s="164"/>
      <c r="H11" s="12"/>
      <c r="I11" s="12"/>
      <c r="J11" s="163" t="s">
        <v>148</v>
      </c>
      <c r="K11" s="163"/>
      <c r="L11" s="12"/>
      <c r="M11" s="12"/>
      <c r="O11" s="69">
        <f>AG11*AI11*AO11*AH11</f>
        <v>0.0625</v>
      </c>
      <c r="P11" s="201">
        <f>P3</f>
        <v>0.569999999999999929</v>
      </c>
      <c r="Q11" s="205">
        <f>P11*O11</f>
        <v>0.0356249999999999956</v>
      </c>
      <c r="R11" s="157">
        <f>IF($B$17="JC",IF($C$17="JC",$W$1,$V$1*1.1),IF($C$17="JC",$V$1/0.9,$U$1))*Q11/1.5</f>
        <v>0.0356249999999999956</v>
      </c>
      <c r="S11" s="173">
        <f>(1-R11)</f>
        <v>0.964375000000000071</v>
      </c>
      <c r="T11" s="174">
        <f>R11*PRODUCT(S5:S10)*PRODUCT(S12:S19)</f>
        <v>0.0272731339696849995</v>
      </c>
      <c r="U11" s="174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0.00206513114094100025</v>
      </c>
      <c r="W11" s="183" t="s">
        <v>58</v>
      </c>
      <c r="X11" s="17" t="s">
        <v>59</v>
      </c>
      <c r="Y11" s="71">
        <f>AK11*AI11*AL11*AO11</f>
        <v>0.0625</v>
      </c>
      <c r="Z11" s="71">
        <f>Z3</f>
        <v>0.569999999999999929</v>
      </c>
      <c r="AA11" s="71">
        <f>Z11*Y11</f>
        <v>0.0356249999999999956</v>
      </c>
      <c r="AB11" s="157">
        <f>IF($B$17="JC",IF($C$17="JC",$W$1,$V$1/0.9),IF($C$17="JC",$V$1*1.1,$U$1))*AA11/1.5</f>
        <v>0.0356249999999999956</v>
      </c>
      <c r="AC11" s="173">
        <f>(1-AB11)</f>
        <v>0.964375000000000071</v>
      </c>
      <c r="AD11" s="174">
        <f>AB11*PRODUCT(AC5:AC10)*PRODUCT(AC12:AC19)</f>
        <v>0.0241078781680840004</v>
      </c>
      <c r="AE11" s="174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0.00867923096443399977</v>
      </c>
      <c r="AG11" s="195">
        <f>IF(COUNTIF(F11:F18,"RAP")+COUNTIF(J11:J18,"RAP")=0,0,COUNTIF(F11:F18,"RAP")/(COUNTIF(F11:F18,"RAP")+COUNTIF(J11:J18,"RAP")))</f>
        <v>0.5</v>
      </c>
      <c r="AH11">
        <f>COUNTIF(F11:F18,"RAP")</f>
        <v>2</v>
      </c>
      <c r="AI11" s="198">
        <f>AN11*$AM$3/$AN$3</f>
        <v>0.5</v>
      </c>
      <c r="AK11" s="195">
        <f>IF(COUNTIF(F11:F18,"RAP")+COUNTIF(J11:J18,"RAP")=0,0,COUNTIF(J11:J18,"RAP")/(COUNTIF(F11:F18,"RAP")+COUNTIF(J11:J18,"RAP")))</f>
        <v>0.5</v>
      </c>
      <c r="AL11">
        <f>COUNTIF(J11:J18,"RAP")</f>
        <v>2</v>
      </c>
      <c r="AM11" s="199" t="n">
        <v>0.5</v>
      </c>
      <c r="AN11" s="200">
        <f>IF(AG11=0,IF(AK11=0,0,AM11),AM11)</f>
        <v>0.5</v>
      </c>
      <c r="AO11">
        <f>1/8</f>
        <v>0.125</v>
      </c>
      <c r="BH11" t="n">
        <v>0</v>
      </c>
      <c r="BI11" t="n">
        <v>8</v>
      </c>
      <c r="BJ11" s="109">
        <f>$H$25*H47</f>
        <v>0.000679964203678000167</v>
      </c>
      <c r="BL11">
        <f>BH50+1</f>
        <v>7</v>
      </c>
      <c r="BM11" t="n">
        <v>7</v>
      </c>
      <c r="BN11" s="109">
        <f>$H$32*H46</f>
        <v>1.375386009903096957E-06</v>
      </c>
      <c r="BP11">
        <f>BP8+1</f>
        <v>4</v>
      </c>
      <c r="BQ11" t="n">
        <v>1</v>
      </c>
      <c r="BR11" s="109">
        <f>$H$29*H40</f>
        <v>0.00397582235028199982</v>
      </c>
    </row>
    <row r="12" spans="1:70">
      <c r="A12" s="8" t="s">
        <v>60</v>
      </c>
      <c r="B12" s="165" t="n">
        <v>12.5</v>
      </c>
      <c r="C12" s="166" t="n">
        <v>14</v>
      </c>
      <c r="E12" s="189" t="s">
        <v>57</v>
      </c>
      <c r="F12" s="164" t="s">
        <v>148</v>
      </c>
      <c r="G12" s="164"/>
      <c r="H12" s="12"/>
      <c r="I12" s="12"/>
      <c r="J12" s="163" t="s">
        <v>2</v>
      </c>
      <c r="K12" s="163"/>
      <c r="L12" s="12"/>
      <c r="M12" s="12"/>
      <c r="O12" s="69">
        <f>AG12*AI12*AO12*AH12</f>
        <v>0.00359375000000099964</v>
      </c>
      <c r="P12" s="201">
        <f>P2</f>
        <v>0.45</v>
      </c>
      <c r="Q12" s="205">
        <f>P12*O12</f>
        <v>0.0016171875</v>
      </c>
      <c r="R12" s="157">
        <f>IF($B$17="JC",IF($C$17="JC",$W$1,$V$1*1.1),IF($C$17="JC",$V$1/0.9,$U$1))*Q12/1.5</f>
        <v>0.0016171875</v>
      </c>
      <c r="S12" s="173">
        <f>(1-R12)</f>
        <v>0.99838281250000005</v>
      </c>
      <c r="T12" s="174">
        <f>R12*PRODUCT(S5:S11)*PRODUCT(S13:S19)</f>
        <v>0.00119588493824599995</v>
      </c>
      <c r="U12" s="174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0.0000886157184810000054</v>
      </c>
      <c r="W12" s="184" t="s">
        <v>61</v>
      </c>
      <c r="X12" s="17" t="s">
        <v>62</v>
      </c>
      <c r="Y12" s="71">
        <f>AK12*AI12*AL12*AO12</f>
        <v>0.00359375000000000044</v>
      </c>
      <c r="Z12" s="71">
        <f>Z2</f>
        <v>0.45</v>
      </c>
      <c r="AA12" s="71">
        <f>Z12*Y12</f>
        <v>0.0016171875</v>
      </c>
      <c r="AB12" s="157">
        <f>IF($B$17="JC",IF($C$17="JC",$W$1,$V$1/0.9),IF($C$17="JC",$V$1*1.1,$U$1))*AA12/1.5</f>
        <v>0.0016171875</v>
      </c>
      <c r="AC12" s="173">
        <f>(1-AB12)</f>
        <v>0.99838281250000005</v>
      </c>
      <c r="AD12" s="174">
        <f>AB12*PRODUCT(AC5:AC11)*PRODUCT(AC13:AC19)</f>
        <v>0.00105709334417900003</v>
      </c>
      <c r="AE12" s="174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0.000378858629093000054</v>
      </c>
      <c r="AG12" s="195">
        <f>IF(COUNTA(F6:F10)+COUNTA(J6:J10)=0,0,COUNTA(F6:F10)/(COUNTA(F6:F10)+COUNTA(J6:J10)))</f>
        <v>0.625</v>
      </c>
      <c r="AH12">
        <f>COUNTA(J6:J10)</f>
        <v>3</v>
      </c>
      <c r="AI12" s="198">
        <f>AN12*$AM$3/$AN$3</f>
        <v>0.0114999999999999991</v>
      </c>
      <c r="AK12" s="195">
        <f>IF(COUNTA(J6:J10)+COUNTA(F6:F10)=0,0,COUNTA(J6:J10)/(COUNTA(J6:J10)+COUNTA(F6:F10)))</f>
        <v>0.375</v>
      </c>
      <c r="AL12">
        <f>COUNTA(F6:F10)</f>
        <v>5</v>
      </c>
      <c r="AM12" s="199" t="n">
        <v>0.0114999999999999991</v>
      </c>
      <c r="AN12" s="200">
        <f>IF(AG12=0,IF(AK12=0,0,AM12),AM12)</f>
        <v>0.0114999999999999991</v>
      </c>
      <c r="AO12">
        <f>1/6</f>
        <v>0.16666666666666698</v>
      </c>
      <c r="BH12" t="n">
        <v>0</v>
      </c>
      <c r="BI12" t="n">
        <v>9</v>
      </c>
      <c r="BJ12" s="109">
        <f>$H$25*H48</f>
        <v>0.000117114902216999983</v>
      </c>
      <c r="BL12">
        <f>BH54+1</f>
        <v>8</v>
      </c>
      <c r="BM12" t="n">
        <v>8</v>
      </c>
      <c r="BN12" s="109">
        <f>$H$33*H47</f>
        <v>2.568289607129229058E-08</v>
      </c>
      <c r="BP12">
        <f>BP9+1</f>
        <v>4</v>
      </c>
      <c r="BQ12" t="n">
        <v>2</v>
      </c>
      <c r="BR12" s="109">
        <f>$H$29*H41</f>
        <v>0.00727395519584900008</v>
      </c>
    </row>
    <row r="13" spans="1:70">
      <c r="A13" s="9" t="s">
        <v>63</v>
      </c>
      <c r="B13" s="165" t="n">
        <v>12</v>
      </c>
      <c r="C13" s="166" t="n">
        <v>12</v>
      </c>
      <c r="E13" s="189" t="s">
        <v>57</v>
      </c>
      <c r="F13" s="164"/>
      <c r="G13" s="164"/>
      <c r="H13" s="12"/>
      <c r="I13" s="12"/>
      <c r="J13" s="163" t="s">
        <v>148</v>
      </c>
      <c r="K13" s="163"/>
      <c r="L13" s="12"/>
      <c r="M13" s="12"/>
      <c r="O13" s="69">
        <f>AG13*AI13*AO13*AH13</f>
        <v>0.0363205479452050017</v>
      </c>
      <c r="P13" s="201">
        <f>P3</f>
        <v>0.569999999999999929</v>
      </c>
      <c r="Q13" s="205">
        <f>P13*O13</f>
        <v>0.0207027123287670012</v>
      </c>
      <c r="R13" s="157">
        <f>IF($B$17="JC",IF($C$17="JC",$W$1,$V$1*1.1),IF($C$17="JC",$V$1/0.9,$U$1))*Q13/1.5</f>
        <v>0.0207027123287670012</v>
      </c>
      <c r="S13" s="173">
        <f>(1-R13)</f>
        <v>0.979297287671233008</v>
      </c>
      <c r="T13" s="174">
        <f>R13*PRODUCT(S5:S12)*PRODUCT(S14:S19)</f>
        <v>0.0156076965237590004</v>
      </c>
      <c r="U13" s="174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0.000826586160341000031</v>
      </c>
      <c r="W13" s="183" t="s">
        <v>64</v>
      </c>
      <c r="X13" s="17" t="s">
        <v>65</v>
      </c>
      <c r="Y13" s="71">
        <f>AK13*AI13*AL13*AO13</f>
        <v>0.110979452054795003</v>
      </c>
      <c r="Z13" s="71">
        <f>Z3</f>
        <v>0.569999999999999929</v>
      </c>
      <c r="AA13" s="71">
        <f>Z13*Y13</f>
        <v>0.0632582876712329956</v>
      </c>
      <c r="AB13" s="157">
        <f>IF($B$17="JC",IF($C$17="JC",$W$1,$V$1/0.9),IF($C$17="JC",$V$1*1.1,$U$1))*AA13/1.5</f>
        <v>0.0632582876712329956</v>
      </c>
      <c r="AC13" s="173">
        <f>(1-AB13)</f>
        <v>0.936741712328766951</v>
      </c>
      <c r="AD13" s="174">
        <f>AB13*PRODUCT(AC5:AC12)*PRODUCT(AC14:AC19)</f>
        <v>0.0440704647963550045</v>
      </c>
      <c r="AE13" s="174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0.0128186193111040003</v>
      </c>
      <c r="AG13" s="195">
        <f>B22</f>
        <v>0.246575342465752989</v>
      </c>
      <c r="AH13" t="n">
        <v>1</v>
      </c>
      <c r="AI13" s="198">
        <f>AN13*$AM$3/$AN$3</f>
        <v>0.147299999999999986</v>
      </c>
      <c r="AK13" s="195">
        <f>C22</f>
        <v>0.753424657534247011</v>
      </c>
      <c r="AL13" t="n">
        <v>1</v>
      </c>
      <c r="AM13" s="199" t="n">
        <v>0.147299999999999986</v>
      </c>
      <c r="AN13" s="200">
        <f>IF(AG13=0,IF(AK13=0,0,AM13),AM13)</f>
        <v>0.147299999999999986</v>
      </c>
      <c r="AO13" t="n">
        <v>1</v>
      </c>
      <c r="BH13" t="n">
        <v>0</v>
      </c>
      <c r="BI13" t="n">
        <v>10</v>
      </c>
      <c r="BJ13" s="109">
        <f>$H$25*H49</f>
        <v>0.0000148144210350000005</v>
      </c>
      <c r="BL13">
        <f>BH57+1</f>
        <v>9</v>
      </c>
      <c r="BM13" t="n">
        <v>9</v>
      </c>
      <c r="BN13" s="109">
        <f>$H$34*H48</f>
        <v>2.612021768309517833E-10</v>
      </c>
      <c r="BP13">
        <f>BL7+1</f>
        <v>4</v>
      </c>
      <c r="BQ13" t="n">
        <v>3</v>
      </c>
      <c r="BR13" s="109">
        <f>$H$29*H42</f>
        <v>0.00809947508784000014</v>
      </c>
    </row>
    <row r="14" spans="1:70">
      <c r="A14" s="9" t="s">
        <v>66</v>
      </c>
      <c r="B14" s="165" t="n">
        <v>10</v>
      </c>
      <c r="C14" s="166" t="n">
        <v>10</v>
      </c>
      <c r="E14" s="189" t="s">
        <v>67</v>
      </c>
      <c r="F14" s="164" t="s">
        <v>2</v>
      </c>
      <c r="G14" s="164"/>
      <c r="H14" s="12"/>
      <c r="I14" s="12"/>
      <c r="J14" s="163" t="s">
        <v>2</v>
      </c>
      <c r="K14" s="163"/>
      <c r="L14" s="12"/>
      <c r="M14" s="12"/>
      <c r="O14" s="69">
        <f>AG14*AI14*AO14*AH14</f>
        <v>0.0516082191780819954</v>
      </c>
      <c r="P14" s="201">
        <f>IF(COUNTIF(F6:F18,"CAB")-COUNTIF(J6:J18,"CAB")&gt;2,0.8,IF(COUNTIF(F6:F18,"CAB")-COUNTIF(J6:J18,"CAB")&gt;0,0.6,IF(COUNTIF(F6:F18,"CAB")-COUNTIF(J6:J18,"CAB")=0,0.5,0.15)))</f>
        <v>0.15</v>
      </c>
      <c r="Q14" s="205">
        <f>P14*O14</f>
        <v>0.007741232876712</v>
      </c>
      <c r="R14" s="157">
        <f>IF($B$17="JC",IF($C$17="JC",$W$1,$V$1*1.1),IF($C$17="JC",$V$1/0.9,$U$1))*Q14/1.5</f>
        <v>0.007741232876712</v>
      </c>
      <c r="S14" s="173">
        <f>(1-R14)</f>
        <v>0.99225876712328791</v>
      </c>
      <c r="T14" s="174">
        <f>R14*PRODUCT(S5:S13)*PRODUCT(S15:S19)</f>
        <v>0.00575985172729600059</v>
      </c>
      <c r="U14" s="174">
        <f>R14*R15*PRODUCT(S5:S13)*PRODUCT(S16:S19)+R14*R16*PRODUCT(S5:S13)*S15*PRODUCT(S17:S19)+R14*R17*PRODUCT(S5:S13)*PRODUCT(S15:S16)*PRODUCT(S18:S19)+R14*R18*PRODUCT(S5:S13)*PRODUCT(S15:S17)*PRODUCT(S19)+R14*R19*PRODUCT(S5:S13)*PRODUCT(S15:S18)</f>
        <v>0.000260106474167000012</v>
      </c>
      <c r="W14" s="183" t="s">
        <v>68</v>
      </c>
      <c r="X14" s="17" t="s">
        <v>69</v>
      </c>
      <c r="Y14" s="71">
        <f>AK14*AI14*AL14*AO14</f>
        <v>0.157691780821918019</v>
      </c>
      <c r="Z14" s="202">
        <f>IF(COUNTIF(J6:J18,"CAB")-COUNTIF(F6:F18,"CAB")&gt;2,0.8,IF(COUNTIF(J6:J18,"CAB")-COUNTIF(F6:F18,"CAB")&gt;0,0.6,IF(COUNTIF(J6:J18,"CAB")-COUNTIF(F6:F18,"CAB")=0,0.5,0.15)))</f>
        <v>0.8</v>
      </c>
      <c r="AA14" s="71">
        <f>Z14*Y14</f>
        <v>0.126153424657534008</v>
      </c>
      <c r="AB14" s="157">
        <f>IF($B$17="JC",IF($C$17="JC",$W$1,$V$1/0.9),IF($C$17="JC",$V$1*1.1,$U$1))*AA14/1.5</f>
        <v>0.126153424657534008</v>
      </c>
      <c r="AC14" s="173">
        <f>(1-AB14)</f>
        <v>0.873846575342465925</v>
      </c>
      <c r="AD14" s="174">
        <f>AB14*PRODUCT(AC5:AC13)*PRODUCT(AC15:AC19)</f>
        <v>0.0942136684721749873</v>
      </c>
      <c r="AE14" s="174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0.0138023775399189997</v>
      </c>
      <c r="AG14" s="195">
        <f>IF(AL14=0,1,B22)</f>
        <v>0.246575342465752989</v>
      </c>
      <c r="AH14">
        <f>IF(COUNTIF(F6:F18,"CAB")&gt;0,1,0)</f>
        <v>1</v>
      </c>
      <c r="AI14" s="198">
        <f>AN14*$AM$3/$AN$3</f>
        <v>0.209299999999999997</v>
      </c>
      <c r="AK14" s="195">
        <f>IF(AH14=0,1,C22)</f>
        <v>0.753424657534247011</v>
      </c>
      <c r="AL14">
        <f>IF(COUNTIF(J6:J18,"CAB")&gt;0,1,0)</f>
        <v>1</v>
      </c>
      <c r="AM14" s="199" t="n">
        <v>0.209299999999999997</v>
      </c>
      <c r="AN14" s="200">
        <f>IF(AG14=0,IF(AK14=0,0,AM14),AM14)</f>
        <v>0.209299999999999997</v>
      </c>
      <c r="AO14" t="n">
        <v>1</v>
      </c>
      <c r="BH14" t="n">
        <v>1</v>
      </c>
      <c r="BI14" t="n">
        <v>2</v>
      </c>
      <c r="BJ14" s="109">
        <f>$H$26*H41</f>
        <v>0.0831889654703219961</v>
      </c>
      <c r="BL14">
        <f>BP39+1</f>
        <v>10</v>
      </c>
      <c r="BM14" t="n">
        <v>10</v>
      </c>
      <c r="BN14" s="109">
        <f>$H$35*H49</f>
        <v>1.393022014080211033E-12</v>
      </c>
      <c r="BP14">
        <f>BP10+1</f>
        <v>5</v>
      </c>
      <c r="BQ14" t="n">
        <v>0</v>
      </c>
      <c r="BR14" s="109">
        <f>$H$30*H39</f>
        <v>0.000203817501697999992</v>
      </c>
    </row>
    <row r="15" spans="1:70">
      <c r="A15" s="186" t="s">
        <v>70</v>
      </c>
      <c r="B15" s="167" t="n">
        <v>9</v>
      </c>
      <c r="C15" s="168" t="n">
        <v>9.25</v>
      </c>
      <c r="E15" s="189" t="s">
        <v>67</v>
      </c>
      <c r="F15" s="164" t="s">
        <v>40</v>
      </c>
      <c r="G15" s="164"/>
      <c r="H15" s="12"/>
      <c r="I15" s="12"/>
      <c r="J15" s="163" t="s">
        <v>148</v>
      </c>
      <c r="K15" s="163"/>
      <c r="L15" s="12"/>
      <c r="M15" s="12"/>
      <c r="O15" s="69">
        <f>AG15*AI15*AO15*AH15</f>
        <v>0.00961643835616400011</v>
      </c>
      <c r="P15" s="201">
        <f>R3</f>
        <v>0.7</v>
      </c>
      <c r="Q15" s="205">
        <f>P15*O15</f>
        <v>0.0067315068493150001</v>
      </c>
      <c r="R15" s="157">
        <f>IF($B$17="JC",IF($C$17="JC",$W$1,$V$1*1.1),IF($C$17="JC",$V$1/0.9,$U$1))*Q15/1.5</f>
        <v>0.0067315068493150001</v>
      </c>
      <c r="S15" s="173">
        <f>(1-R15)</f>
        <v>0.993268493150685039</v>
      </c>
      <c r="T15" s="174">
        <f>R15*PRODUCT(S5:S14)*PRODUCT(S16:S19)</f>
        <v>0.00500347516538000026</v>
      </c>
      <c r="U15" s="174">
        <f>R15*R16*PRODUCT(S5:S14)*PRODUCT(S17:S19)+R15*R17*PRODUCT(S5:S14)*S16*PRODUCT(S18:S19)+R15*R18*PRODUCT(S5:S14)*S16*S17*S19+R15*R19*PRODUCT(S5:S14)*S16*S17*S18</f>
        <v>0.000192040428352999992</v>
      </c>
      <c r="W15" s="183" t="s">
        <v>71</v>
      </c>
      <c r="X15" s="17" t="s">
        <v>72</v>
      </c>
      <c r="Y15" s="71">
        <f>AK15*AI15*AL15*AO15</f>
        <v>0.0293835616438359981</v>
      </c>
      <c r="Z15" s="71">
        <f>AB3</f>
        <v>0.7</v>
      </c>
      <c r="AA15" s="71">
        <f>Z15*Y15</f>
        <v>0.0205684931506849988</v>
      </c>
      <c r="AB15" s="157">
        <f>IF($B$17="JC",IF($C$17="JC",$W$1,$V$1/0.9),IF($C$17="JC",$V$1*1.1,$U$1))*AA15/1.5</f>
        <v>0.0205684931506849988</v>
      </c>
      <c r="AC15" s="173">
        <f>(1-AB15)</f>
        <v>0.979431506849314992</v>
      </c>
      <c r="AD15" s="174">
        <f>AB15*PRODUCT(AC5:AC14)*PRODUCT(AC16:AC19)</f>
        <v>0.0137049818378109967</v>
      </c>
      <c r="AE15" s="174">
        <f>AB15*AB16*PRODUCT(AC5:AC14)*PRODUCT(AC17:AC19)+AB15*AB17*PRODUCT(AC5:AC14)*AC16*PRODUCT(AC18:AC19)+AB15*AB18*PRODUCT(AC5:AC14)*AC16*AC17*AC19+AB15*AB19*PRODUCT(AC5:AC14)*AC16*AC17*AC18</f>
        <v>0.00171998010850400007</v>
      </c>
      <c r="AG15" s="195">
        <f>IF(AL15=0,1,B22)</f>
        <v>0.246575342465752989</v>
      </c>
      <c r="AH15" t="n">
        <v>1</v>
      </c>
      <c r="AI15" s="198">
        <f>AN15*$AM$3/$AN$3</f>
        <v>0.0390000000000000036</v>
      </c>
      <c r="AK15" s="195">
        <f>IF(AH15=0,1,C22)</f>
        <v>0.753424657534247011</v>
      </c>
      <c r="AL15" t="n">
        <v>1</v>
      </c>
      <c r="AM15" s="199" t="n">
        <v>0.0390000000000000036</v>
      </c>
      <c r="AN15" s="200">
        <f>IF(AG15=0,IF(AK15=0,0,AM15),AM15)</f>
        <v>0.0390000000000000036</v>
      </c>
      <c r="AO15" t="n">
        <v>1</v>
      </c>
      <c r="BH15" t="n">
        <v>1</v>
      </c>
      <c r="BI15" t="n">
        <v>3</v>
      </c>
      <c r="BJ15" s="109">
        <f>$H$26*H42</f>
        <v>0.0926300664863179968</v>
      </c>
      <c r="BP15">
        <f>BP11+1</f>
        <v>5</v>
      </c>
      <c r="BQ15" t="n">
        <v>1</v>
      </c>
      <c r="BR15" s="109">
        <f>$H$30*H40</f>
        <v>0.000811649710630000065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 t="s">
        <v>2</v>
      </c>
      <c r="G16" s="164"/>
      <c r="H16" s="12"/>
      <c r="I16" s="12"/>
      <c r="J16" s="163" t="s">
        <v>5</v>
      </c>
      <c r="K16" s="163"/>
      <c r="L16" s="12"/>
      <c r="M16" s="12"/>
      <c r="O16" s="69">
        <f>AG16*AI16*AO16*AH16</f>
        <v>0.0235068493150689983</v>
      </c>
      <c r="P16" s="201" t="n">
        <v>0.15</v>
      </c>
      <c r="Q16" s="205">
        <f>P16*O16</f>
        <v>0.00352602739726000003</v>
      </c>
      <c r="R16" s="157">
        <f>IF($B$17="JC",IF($C$17="JC",$W$1,$V$1*1.1),IF($C$17="JC",$V$1/0.9,$U$1))*Q16/1.5</f>
        <v>0.00352602739726000003</v>
      </c>
      <c r="S16" s="173">
        <f>(1-R16)</f>
        <v>0.996473972602739977</v>
      </c>
      <c r="T16" s="174">
        <f>R16*PRODUCT(S5:S15)*PRODUCT(S17:S19)</f>
        <v>0.00261243707796599978</v>
      </c>
      <c r="U16" s="174">
        <f>R16*R17*PRODUCT(S5:S15)*PRODUCT(S18:S19)+R16*R18*PRODUCT(S5:S15)*S17*S19+R16*R19*PRODUCT(S5:S15)*S17*S18</f>
        <v>0.0000910248970860000028</v>
      </c>
      <c r="W16" s="184" t="s">
        <v>75</v>
      </c>
      <c r="X16" s="17" t="s">
        <v>76</v>
      </c>
      <c r="Y16" s="71">
        <f>AK16*AI16*AL16*AO16</f>
        <v>0.00769315068493099918</v>
      </c>
      <c r="Z16" s="71" t="n">
        <v>0.15</v>
      </c>
      <c r="AA16" s="71">
        <f>Z16*Y16</f>
        <v>0.00115397260273999991</v>
      </c>
      <c r="AB16" s="157">
        <f>IF($B$17="JC",IF($C$17="JC",$W$1,$V$1/0.9),IF($C$17="JC",$V$1*1.1,$U$1))*AA16/1.5</f>
        <v>0.00115397260273999991</v>
      </c>
      <c r="AC16" s="173">
        <f>(1-AB16)</f>
        <v>0.998846027397260094</v>
      </c>
      <c r="AD16" s="174">
        <f>AB16*PRODUCT(AC5:AC15)*PRODUCT(AC17:AC19)</f>
        <v>0.000753957750160000106</v>
      </c>
      <c r="AE16" s="174">
        <f>AB16*AB17*PRODUCT(AC5:AC15)*PRODUCT(AC18:AC19)+AB16*AB18*PRODUCT(AC5:AC15)*AC17*AC19+AB16*AB19*PRODUCT(AC5:AC15)*AC17*AC18</f>
        <v>0.000093750914787000017</v>
      </c>
      <c r="AG16" s="195">
        <f>C22</f>
        <v>0.753424657534247011</v>
      </c>
      <c r="AH16" t="n">
        <v>1</v>
      </c>
      <c r="AI16" s="198">
        <f>AN16*$AM$3/$AN$3</f>
        <v>0.0312000000000000011</v>
      </c>
      <c r="AK16" s="195">
        <f>B22</f>
        <v>0.246575342465752989</v>
      </c>
      <c r="AL16" t="n">
        <v>1</v>
      </c>
      <c r="AM16" s="199" t="n">
        <v>0.0312000000000000011</v>
      </c>
      <c r="AN16" s="200">
        <f>IF(AG16=0,IF(AK16=0,0,AM16),AM16)</f>
        <v>0.0312000000000000011</v>
      </c>
      <c r="AO16" t="n">
        <v>1</v>
      </c>
      <c r="BH16" t="n">
        <v>1</v>
      </c>
      <c r="BI16" t="n">
        <v>4</v>
      </c>
      <c r="BJ16" s="109">
        <f>$H$26*H43</f>
        <v>0.0700993467010539995</v>
      </c>
      <c r="BP16">
        <f>BP12+1</f>
        <v>5</v>
      </c>
      <c r="BQ16" t="n">
        <v>2</v>
      </c>
      <c r="BR16" s="109">
        <f>$H$30*H41</f>
        <v>0.00148495156717200016</v>
      </c>
    </row>
    <row r="17" spans="1:70">
      <c r="A17" s="185" t="s">
        <v>77</v>
      </c>
      <c r="B17" s="169" t="s">
        <v>149</v>
      </c>
      <c r="C17" s="170" t="s">
        <v>78</v>
      </c>
      <c r="E17" s="189" t="s">
        <v>74</v>
      </c>
      <c r="F17" s="164"/>
      <c r="G17" s="164"/>
      <c r="H17" s="12"/>
      <c r="I17" s="12"/>
      <c r="J17" s="163"/>
      <c r="K17" s="163"/>
      <c r="L17" s="12"/>
      <c r="M17" s="12"/>
      <c r="O17" s="69">
        <f>AG17*AI17*AO17*AH17</f>
        <v>0.0544500000000000028</v>
      </c>
      <c r="P17" s="201">
        <f>P3</f>
        <v>0.569999999999999929</v>
      </c>
      <c r="Q17" s="205">
        <f>P17*O17</f>
        <v>0.0310365000000000002</v>
      </c>
      <c r="R17" s="157">
        <f>IF($B$17="JC",IF($C$17="JC",$W$1,$V$1*1.1),IF($C$17="JC",$V$1/0.9,$U$1))*Q17/1.5</f>
        <v>0.0310365000000000002</v>
      </c>
      <c r="S17" s="173">
        <f>(1-R17)</f>
        <v>0.968963499999999911</v>
      </c>
      <c r="T17" s="174">
        <f>R17*PRODUCT(S5:S16)*PRODUCT(S18:S19)</f>
        <v>0.0236478378101329989</v>
      </c>
      <c r="U17" s="174">
        <f>R17*R18*PRODUCT(S5:S16)*S19+R17*R19*PRODUCT(S5:S16)*S18</f>
        <v>0.0000665045015789999994</v>
      </c>
      <c r="W17" s="183" t="s">
        <v>79</v>
      </c>
      <c r="X17" s="17" t="s">
        <v>80</v>
      </c>
      <c r="Y17" s="71">
        <f>AK17*AI17*AL17*AO17</f>
        <v>0.0544500000000000028</v>
      </c>
      <c r="Z17" s="71">
        <f>Z3</f>
        <v>0.569999999999999929</v>
      </c>
      <c r="AA17" s="71">
        <f>Z17*Y17</f>
        <v>0.0310365000000000002</v>
      </c>
      <c r="AB17" s="157">
        <f>IF($B$17="JC",IF($C$17="JC",$W$1,$V$1/0.9),IF($C$17="JC",$V$1*1.1,$U$1))*AA17/1.5</f>
        <v>0.0310365000000000002</v>
      </c>
      <c r="AC17" s="173">
        <f>(1-AB17)</f>
        <v>0.968963499999999911</v>
      </c>
      <c r="AD17" s="174">
        <f>AB17*PRODUCT(AC5:AC16)*PRODUCT(AC18:AC19)</f>
        <v>0.0209033253567040012</v>
      </c>
      <c r="AE17" s="174">
        <f>AB17*AB18*PRODUCT(AC5:AC16)*AC19+AB17*AB19*PRODUCT(AC5:AC16)*AC18</f>
        <v>0.00192967861913200007</v>
      </c>
      <c r="AG17" s="195">
        <f>COUNTA(F14:F15)/(COUNTA(F14:F15)+COUNTA(J14:J15))</f>
        <v>0.5</v>
      </c>
      <c r="AH17">
        <f>COUNTA(F14:F15)</f>
        <v>2</v>
      </c>
      <c r="AI17" s="198">
        <f>AN17*$AM$3/$AN$3</f>
        <v>0.108899999999999997</v>
      </c>
      <c r="AK17" s="195">
        <f>COUNTA(J14:J15)/(COUNTA(F14:F15)+COUNTA(J14:J15))</f>
        <v>0.5</v>
      </c>
      <c r="AL17">
        <f>COUNTA(J14:J15)</f>
        <v>2</v>
      </c>
      <c r="AM17" s="199" t="n">
        <v>0.108899999999999997</v>
      </c>
      <c r="AN17" s="200">
        <f>IF(AG17=0,IF(AK17=0,0,AM17),AM17)</f>
        <v>0.108899999999999997</v>
      </c>
      <c r="AO17">
        <f>1/2</f>
        <v>0.5</v>
      </c>
      <c r="BH17" t="n">
        <v>1</v>
      </c>
      <c r="BI17" t="n">
        <v>5</v>
      </c>
      <c r="BJ17" s="109">
        <f>$H$26*H44</f>
        <v>0.038127982485395</v>
      </c>
      <c r="BP17">
        <f>BP13+1</f>
        <v>5</v>
      </c>
      <c r="BQ17" t="n">
        <v>3</v>
      </c>
      <c r="BR17" s="109">
        <f>$H$30*H42</f>
        <v>0.00165347845857199989</v>
      </c>
    </row>
    <row r="18" spans="1:70">
      <c r="A18" s="185" t="s">
        <v>81</v>
      </c>
      <c r="B18" s="169" t="n">
        <v>21</v>
      </c>
      <c r="C18" s="170" t="n">
        <v>20</v>
      </c>
      <c r="E18" s="189" t="s">
        <v>74</v>
      </c>
      <c r="F18" s="164" t="s">
        <v>40</v>
      </c>
      <c r="G18" s="164"/>
      <c r="H18" s="12"/>
      <c r="I18" s="12"/>
      <c r="J18" s="163" t="s">
        <v>148</v>
      </c>
      <c r="K18" s="163"/>
      <c r="L18" s="12"/>
      <c r="M18" s="12"/>
      <c r="O18" s="69">
        <f>AG18*AI18*AO18*AH18</f>
        <v>0.00410000000000000053</v>
      </c>
      <c r="P18" s="201">
        <f>P17*1.2</f>
        <v>0.684000000000000075</v>
      </c>
      <c r="Q18" s="205">
        <f>P18*O18</f>
        <v>0.00280440000000000023</v>
      </c>
      <c r="R18" s="157">
        <f>IF($B$17="JC",IF($C$17="JC",$W$1,$V$1*1.1),IF($C$17="JC",$V$1/0.9,$U$1))*Q18/1.5</f>
        <v>0.00280440000000000023</v>
      </c>
      <c r="S18" s="173">
        <f>(1-R18)</f>
        <v>0.997195599999999871</v>
      </c>
      <c r="T18" s="174">
        <f>R18*PRODUCT(S5:S17)*PRODUCT(S19)</f>
        <v>0.00207627904614600034</v>
      </c>
      <c r="U18" s="174">
        <f>R18*R19*PRODUCT(S5:S17)</f>
        <v>0</v>
      </c>
      <c r="W18" s="183" t="s">
        <v>82</v>
      </c>
      <c r="X18" s="17" t="s">
        <v>83</v>
      </c>
      <c r="Y18" s="71">
        <f>AK18*AI18*AL18*AO18</f>
        <v>0.065600000000000005</v>
      </c>
      <c r="Z18" s="71">
        <f>Z17*1.2</f>
        <v>0.684000000000000075</v>
      </c>
      <c r="AA18" s="71">
        <f>Z18*Y18</f>
        <v>0.0448704000000000036</v>
      </c>
      <c r="AB18" s="157">
        <f>IF($B$17="JC",IF($C$17="JC",$W$1,$V$1/0.9),IF($C$17="JC",$V$1*1.1,$U$1))*AA18/1.5</f>
        <v>0.0448704000000000036</v>
      </c>
      <c r="AC18" s="173">
        <f>(1-AB18)</f>
        <v>0.955129600000000067</v>
      </c>
      <c r="AD18" s="174">
        <f>AB18*PRODUCT(AC5:AC17)*PRODUCT(AC19)</f>
        <v>0.0306582735722060029</v>
      </c>
      <c r="AE18" s="174">
        <f>AB18*AB19*PRODUCT(AC5:AC17)</f>
        <v>0.00138992642798300015</v>
      </c>
      <c r="AG18" s="195">
        <f>IF(COUNTA(F14:F15)&gt;0,IF(COUNTIF(F11:F18,"CAB")+COUNTIF(J11:J18,"CAB")=0,0,COUNTIF(F11:F18,"CAB")/(COUNTIF(F11:F18,"CAB")+COUNTIF(J11:J18,"CAB"))),0)</f>
        <v>0.2</v>
      </c>
      <c r="AH18">
        <f>COUNTIF(F11:F18,"CAB")</f>
        <v>1</v>
      </c>
      <c r="AI18" s="198">
        <f>AN18*$AM$3/$AN$3</f>
        <v>0.164000000000000012</v>
      </c>
      <c r="AK18" s="195">
        <f>IF(COUNTA(J14:J15)&gt;0,IF(COUNTIF(J11:J18,"CAB")+COUNTIF(F11:F18,"CAB")=0,0,COUNTIF(J11:J18,"CAB")/(COUNTIF(J11:J18,"CAB")+COUNTIF(F11:F18,"CAB"))),0)</f>
        <v>0.8</v>
      </c>
      <c r="AL18">
        <f>COUNTIF(J11:J18,"CAB")</f>
        <v>4</v>
      </c>
      <c r="AM18" s="199" t="n">
        <v>0.164000000000000012</v>
      </c>
      <c r="AN18" s="200">
        <f>IF(AG18=0,IF(AK18=0,0,AM18),AM18)</f>
        <v>0.164000000000000012</v>
      </c>
      <c r="AO18">
        <f>1/8</f>
        <v>0.125</v>
      </c>
      <c r="BH18" t="n">
        <v>1</v>
      </c>
      <c r="BI18" t="n">
        <v>6</v>
      </c>
      <c r="BJ18" s="109">
        <f>$H$26*H45</f>
        <v>0.0153686772997569987</v>
      </c>
      <c r="BP18">
        <f>BL8+1</f>
        <v>5</v>
      </c>
      <c r="BQ18" t="n">
        <v>4</v>
      </c>
      <c r="BR18" s="109">
        <f>$H$30*H43</f>
        <v>0.00125129738244599986</v>
      </c>
    </row>
    <row r="19" spans="8:70">
      <c r="H19" s="15" t="s">
        <v>84</v>
      </c>
      <c r="L19" s="15" t="s">
        <v>84</v>
      </c>
      <c r="O19" s="69">
        <f>AG19*AI19*AO19*AH19</f>
        <v>0</v>
      </c>
      <c r="P19" s="201">
        <f>P3</f>
        <v>0.569999999999999929</v>
      </c>
      <c r="Q19" s="205">
        <f>P19*O19</f>
        <v>0</v>
      </c>
      <c r="R19" s="157">
        <f>IF($B$17="JC",IF($C$17="JC",$W$1,$V$1*1.1),IF($C$17="JC",$V$1/0.9,$U$1))*Q19/1.5</f>
        <v>0</v>
      </c>
      <c r="S19" s="175">
        <f>(1-R19)</f>
        <v>1</v>
      </c>
      <c r="T19" s="176">
        <f>R19*PRODUCT(S5:S18)</f>
        <v>0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AK19*AI19*AL19*AO19</f>
        <v>0.0760874999999999968</v>
      </c>
      <c r="Z19" s="71">
        <f>Z3</f>
        <v>0.569999999999999929</v>
      </c>
      <c r="AA19" s="71">
        <f>Z19*Y19</f>
        <v>0.0433698750000000022</v>
      </c>
      <c r="AB19" s="157">
        <f>IF($B$17="JC",IF($C$17="JC",$W$1,$V$1/0.9),IF($C$17="JC",$V$1*1.1,$U$1))*AA19/1.5</f>
        <v>0.0433698750000000022</v>
      </c>
      <c r="AC19" s="175">
        <f>(1-AB19)</f>
        <v>0.956630125000000042</v>
      </c>
      <c r="AD19" s="176">
        <f>AB19*PRODUCT(AC5:AC18)</f>
        <v>0.0295865397497909974</v>
      </c>
      <c r="AE19" s="176" t="n">
        <v>0</v>
      </c>
      <c r="AF19" s="3" t="s">
        <v>85</v>
      </c>
      <c r="AG19" s="195">
        <f>IF(COUNTIF(F11:F18,"TEC")&gt;0,IF(COUNTIF(J6:J13,"CAB")&gt;0,IF(COUNTIF(F11:F18,"TEC")+COUNTIF(J11:J18,"TEC")&gt;0,COUNTIF(F11:F18,"TEC")/(COUNTIF(F11:F18,"TEC")+COUNTIF(J11:J18,"TEC")),0),0),0)</f>
        <v>0</v>
      </c>
      <c r="AH19">
        <f>COUNTIF(F11:F18,"TEC")</f>
        <v>0</v>
      </c>
      <c r="AI19" s="198">
        <f>AN19*$AM$3/$AN$3</f>
        <v>0.608699999999999974</v>
      </c>
      <c r="AK19" s="195">
        <f>IF(COUNTIF(J11:J18,"TEC")&gt;0,IF(COUNTIF(F6:F13,"CAB")&gt;0,IF(COUNTIF(F11:F18,"TEC")+COUNTIF(J11:J18,"TEC")&gt;0,COUNTIF(J11:J18,"TEC")/(COUNTIF(F11:F18,"TEC")+COUNTIF(J11:J18,"TEC")),0),0),0)</f>
        <v>1</v>
      </c>
      <c r="AL19">
        <f>COUNTIF(J11:J18,"TEC")</f>
        <v>1</v>
      </c>
      <c r="AM19" s="199" t="n">
        <v>0.608699999999999974</v>
      </c>
      <c r="AN19" s="200">
        <f>IF(AG19=0,IF(AK19=0,0,AM19),AM19)</f>
        <v>0.608699999999999974</v>
      </c>
      <c r="AO19">
        <f>1/8</f>
        <v>0.125</v>
      </c>
      <c r="BH19" t="n">
        <v>1</v>
      </c>
      <c r="BI19" t="n">
        <v>7</v>
      </c>
      <c r="BJ19" s="109">
        <f>$H$26*H46</f>
        <v>0.00466312966102400051</v>
      </c>
      <c r="BP19">
        <f>BP15+1</f>
        <v>6</v>
      </c>
      <c r="BQ19" t="n">
        <v>1</v>
      </c>
      <c r="BR19" s="109">
        <f>$H$31*H40</f>
        <v>0.000121303830841000004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>
        <f>PRODUCT(S5:S19)</f>
        <v>0.738288521319715052</v>
      </c>
      <c r="T20" s="178">
        <f>SUM(T5:T19)</f>
        <v>0.228670415698106</v>
      </c>
      <c r="U20" s="178">
        <f>SUM(U5:U19)</f>
        <v>0.0306068475529349993</v>
      </c>
      <c r="V20" s="178">
        <f>1-S20-T20-U20</f>
        <v>0.00243421542924399992</v>
      </c>
      <c r="W20" s="23"/>
      <c r="X20" s="24"/>
      <c r="Y20" s="24"/>
      <c r="Z20" s="24"/>
      <c r="AA20" s="24"/>
      <c r="AB20" s="25"/>
      <c r="AC20" s="181">
        <f>PRODUCT(AC5:AC19)</f>
        <v>0.652604491462327996</v>
      </c>
      <c r="AD20" s="178">
        <f>SUM(AD5:AD19)</f>
        <v>0.288857567767760024</v>
      </c>
      <c r="AE20" s="178">
        <f>SUM(AE5:AE19)</f>
        <v>0.052864584419167997</v>
      </c>
      <c r="AF20" s="178">
        <f>1-AC20-AD20-AE20</f>
        <v>0.00567335635074400013</v>
      </c>
      <c r="BH20" t="n">
        <v>1</v>
      </c>
      <c r="BI20" t="n">
        <v>8</v>
      </c>
      <c r="BJ20" s="109">
        <f>$H$26*H47</f>
        <v>0.00106969759262200004</v>
      </c>
      <c r="BP20">
        <f>BP16+1</f>
        <v>6</v>
      </c>
      <c r="BQ20" t="n">
        <v>2</v>
      </c>
      <c r="BR20" s="109">
        <f>$H$31*H41</f>
        <v>0.00022193110076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BH21" s="20" t="n">
        <v>1</v>
      </c>
      <c r="BI21" t="n">
        <v>9</v>
      </c>
      <c r="BJ21" s="109">
        <f>$H$26*H48</f>
        <v>0.000184241359007999996</v>
      </c>
      <c r="BP21">
        <f>BP17+1</f>
        <v>6</v>
      </c>
      <c r="BQ21" t="n">
        <v>3</v>
      </c>
      <c r="BR21" s="109">
        <f>$H$31*H42</f>
        <v>0.000247118022234999968</v>
      </c>
    </row>
    <row r="22" spans="1:70">
      <c r="A22" s="28" t="s">
        <v>90</v>
      </c>
      <c r="B22" s="64">
        <f>(B6)/((B6)+(C6))</f>
        <v>0.246575342465752989</v>
      </c>
      <c r="C22" s="65">
        <f>1-B22</f>
        <v>0.753424657534247011</v>
      </c>
      <c r="D22" s="26"/>
      <c r="E22" s="26"/>
      <c r="V22" s="61">
        <f>SUM(V25:V35)</f>
        <v>1</v>
      </c>
      <c r="AS22" s="84">
        <f>Y23+AA23+AC23+AE23+AG23+AI23+AK23+AM23+AO23+AQ23+AS23</f>
        <v>1</v>
      </c>
      <c r="BH22" t="n">
        <v>1</v>
      </c>
      <c r="BI22" t="n">
        <v>10</v>
      </c>
      <c r="BJ22" s="109">
        <f>$H$26*H49</f>
        <v>0.0000233055658389999953</v>
      </c>
      <c r="BP22">
        <f>BP18+1</f>
        <v>6</v>
      </c>
      <c r="BQ22" t="n">
        <v>4</v>
      </c>
      <c r="BR22" s="109">
        <f>$H$31*H43</f>
        <v>0.000187010682102000008</v>
      </c>
    </row>
    <row r="23" spans="1:70">
      <c r="A23" s="42" t="s">
        <v>91</v>
      </c>
      <c r="B23" s="58">
        <f>((B22^2.8)/((B22^2.8)+(C22^2.8)))*B21</f>
        <v>0.209936871376129996</v>
      </c>
      <c r="C23" s="59">
        <f>B21-B23</f>
        <v>4.79006312862386974</v>
      </c>
      <c r="D23" s="151">
        <f>SUM(D25:D30)</f>
        <v>1</v>
      </c>
      <c r="E23" s="151">
        <f>SUM(E25:E30)</f>
        <v>1</v>
      </c>
      <c r="H23" s="61">
        <f>SUM(H25:H35)</f>
        <v>0.999999999341640944</v>
      </c>
      <c r="J23" s="61">
        <f>SUM(J25:J35)</f>
        <v>1</v>
      </c>
      <c r="K23" s="61"/>
      <c r="L23" s="61">
        <f>SUM(L25:L35)</f>
        <v>1</v>
      </c>
      <c r="N23" s="61">
        <f>SUM(N25:N35)</f>
        <v>0.999999999999998934</v>
      </c>
      <c r="O23" s="36"/>
      <c r="P23" s="61">
        <f>SUM(P25:P35)</f>
        <v>0.999999999999998934</v>
      </c>
      <c r="R23" s="61">
        <f>SUM(R25:R35)</f>
        <v>0.999999999999998046</v>
      </c>
      <c r="T23" s="61">
        <f>SUM(T25:T35)</f>
        <v>1</v>
      </c>
      <c r="V23" s="61">
        <f>SUM(V25:V34)</f>
        <v>0.99997108760678497</v>
      </c>
      <c r="Y23" s="82">
        <f>SUM(Y25:Y35)</f>
        <v>0.00287370687161899951</v>
      </c>
      <c r="Z23" s="83"/>
      <c r="AA23" s="82">
        <f>SUM(AA25:AA35)</f>
        <v>0.0265906700619150005</v>
      </c>
      <c r="AB23" s="83"/>
      <c r="AC23" s="82">
        <f>SUM(AC25:AC35)</f>
        <v>0.104387857857520006</v>
      </c>
      <c r="AD23" s="83"/>
      <c r="AE23" s="82">
        <f>SUM(AE25:AE35)</f>
        <v>0.225240786904373991</v>
      </c>
      <c r="AF23" s="83"/>
      <c r="AG23" s="82">
        <f>SUM(AG25:AG35)</f>
        <v>0.28898243755950098</v>
      </c>
      <c r="AH23" s="83"/>
      <c r="AI23" s="82">
        <f>SUM(AI25:AI35)</f>
        <v>0.222727938704041994</v>
      </c>
      <c r="AJ23" s="83"/>
      <c r="AK23" s="82">
        <f>SUM(AK25:AK35)</f>
        <v>0.0998853406742919958</v>
      </c>
      <c r="AL23" s="83"/>
      <c r="AM23" s="82">
        <f>SUM(AM25:AM35)</f>
        <v>0.0250376619522559984</v>
      </c>
      <c r="AN23" s="83"/>
      <c r="AO23" s="82">
        <f>SUM(AO25:AO35)</f>
        <v>0.00385289161948299963</v>
      </c>
      <c r="AP23" s="83"/>
      <c r="AQ23" s="82">
        <f>SUM(AQ25:AQ35)</f>
        <v>0.000391795401785999928</v>
      </c>
      <c r="AR23" s="83"/>
      <c r="AS23" s="82">
        <f>SUM(AS25:AS35)</f>
        <v>0.0000289123932150000051</v>
      </c>
      <c r="BH23">
        <f>BH15+1</f>
        <v>2</v>
      </c>
      <c r="BI23" t="n">
        <v>3</v>
      </c>
      <c r="BJ23" s="109">
        <f>$H$27*H42</f>
        <v>0.0659642534019249993</v>
      </c>
      <c r="BP23">
        <f>BL9+1</f>
        <v>6</v>
      </c>
      <c r="BQ23" t="n">
        <v>5</v>
      </c>
      <c r="BR23" s="109">
        <f>$H$31*H44</f>
        <v>0.000101717638570000002</v>
      </c>
    </row>
    <row r="24" spans="1:70">
      <c r="A24" s="28" t="s">
        <v>92</v>
      </c>
      <c r="B24" s="66">
        <f>B23/B21</f>
        <v>0.0419873742752259993</v>
      </c>
      <c r="C24" s="67">
        <f>C23/B21</f>
        <v>0.958012625724773947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>
        <f>$H$27*H43</f>
        <v>0.0499195482039380067</v>
      </c>
      <c r="BP24">
        <f>BH49+1</f>
        <v>7</v>
      </c>
      <c r="BQ24" t="n">
        <v>0</v>
      </c>
      <c r="BR24" s="109">
        <f>$H$32*H39</f>
        <v>3.367766863056281888E-06</v>
      </c>
    </row>
    <row r="25" spans="1:70">
      <c r="A25" s="28" t="s">
        <v>117</v>
      </c>
      <c r="B25" s="119">
        <f>1/(1+EXP(-3.1416*4*((B11/(B11+C8))-(3.1416/6))))</f>
        <v>0.052961874799716</v>
      </c>
      <c r="C25" s="120">
        <f>1/(1+EXP(-3.1416*4*((C11/(C11+B8))-(3.1416/6))))</f>
        <v>0.237479411440421995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>
        <f>L25*J25</f>
        <v>0.230265002359838</v>
      </c>
      <c r="I25" s="99" t="n">
        <v>0</v>
      </c>
      <c r="J25" s="100">
        <f>Y25+AA25+AC25+AE25+AG25+AI25+AK25+AM25+AO25+AQ25+AS25</f>
        <v>0.311890264727712996</v>
      </c>
      <c r="K25" s="99" t="n">
        <v>0</v>
      </c>
      <c r="L25" s="100">
        <f>S20</f>
        <v>0.738288521319715052</v>
      </c>
      <c r="M25" s="86" t="n">
        <v>0</v>
      </c>
      <c r="N25" s="73">
        <f>(1-$B$24)^$B$21</f>
        <v>0.806967721846896069</v>
      </c>
      <c r="O25" s="72" t="n">
        <v>0</v>
      </c>
      <c r="P25" s="73">
        <f>N25</f>
        <v>0.806967721846896069</v>
      </c>
      <c r="Q25" s="14" t="n">
        <v>0</v>
      </c>
      <c r="R25" s="75">
        <f>P25*N25</f>
        <v>0.651196904102769025</v>
      </c>
      <c r="S25" s="72" t="n">
        <v>0</v>
      </c>
      <c r="T25" s="135">
        <f>(1-$B$33)^(INT(C23*2*(1-C31)))</f>
        <v>0.00441296150751600003</v>
      </c>
      <c r="U25" s="140" t="n">
        <v>0</v>
      </c>
      <c r="V25" s="88">
        <f>R25*T25</f>
        <v>0.00287370687161899951</v>
      </c>
      <c r="W25" s="136">
        <f>B31</f>
        <v>0.270069589348234018</v>
      </c>
      <c r="X25" s="14" t="n">
        <v>0</v>
      </c>
      <c r="Y25" s="81">
        <f>V25</f>
        <v>0.00287370687161899951</v>
      </c>
      <c r="Z25" s="14" t="n">
        <v>0</v>
      </c>
      <c r="AA25" s="80">
        <f>((1-W25)^Z26)*V26</f>
        <v>0.0194093387177989989</v>
      </c>
      <c r="AB25" s="14" t="n">
        <v>0</v>
      </c>
      <c r="AC25" s="81">
        <f>(((1-$W$25)^AB27))*V27</f>
        <v>0.0556176841046210058</v>
      </c>
      <c r="AD25" s="14" t="n">
        <v>0</v>
      </c>
      <c r="AE25" s="81">
        <f>(((1-$W$25)^AB28))*V28</f>
        <v>0.0875974389892629901</v>
      </c>
      <c r="AF25" s="14" t="n">
        <v>0</v>
      </c>
      <c r="AG25" s="81">
        <f>(((1-$W$25)^AB29))*V29</f>
        <v>0.0820346408578559938</v>
      </c>
      <c r="AH25" s="14" t="n">
        <v>0</v>
      </c>
      <c r="AI25" s="81">
        <f>(((1-$W$25)^AB30))*V30</f>
        <v>0.0461510925494309987</v>
      </c>
      <c r="AJ25" s="14" t="n">
        <v>0</v>
      </c>
      <c r="AK25" s="81">
        <f>(((1-$W$25)^AB31))*V31</f>
        <v>0.0151074269114300002</v>
      </c>
      <c r="AL25" s="14" t="n">
        <v>0</v>
      </c>
      <c r="AM25" s="81">
        <f>(((1-$W$25)^AB32))*V32</f>
        <v>0.0027641650783270002</v>
      </c>
      <c r="AN25" s="14" t="n">
        <v>0</v>
      </c>
      <c r="AO25" s="81">
        <f>(((1-$W$25)^AB33))*V33</f>
        <v>0.000310483449527000044</v>
      </c>
      <c r="AP25" s="14" t="n">
        <v>0</v>
      </c>
      <c r="AQ25" s="81">
        <f>(((1-$W$25)^AB34))*V34</f>
        <v>0.0000230458353459999987</v>
      </c>
      <c r="AR25" s="14" t="n">
        <v>0</v>
      </c>
      <c r="AS25" s="81">
        <f>(((1-$W$25)^AB35))*V35</f>
        <v>1.241362493637285021E-06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>
        <f>$H$27*H44</f>
        <v>0.0271519172313479995</v>
      </c>
      <c r="BP25">
        <f>BP19+1</f>
        <v>7</v>
      </c>
      <c r="BQ25" t="n">
        <v>1</v>
      </c>
      <c r="BR25" s="109">
        <f>$H$32*H40</f>
        <v>0.0000134112476949999948</v>
      </c>
    </row>
    <row r="26" spans="1:70">
      <c r="A26" s="42" t="s">
        <v>118</v>
      </c>
      <c r="B26" s="121">
        <f>1/(1+EXP(-3.1416*4*((B10/(B10+C9))-(3.1416/6))))</f>
        <v>0.302562077171137966</v>
      </c>
      <c r="C26" s="120">
        <f>1/(1+EXP(-3.1416*4*((C10/(C10+B9))-(3.1416/6))))</f>
        <v>0.210571136636168976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>
        <f>L25*J26+L26*J25</f>
        <v>0.362245420210626001</v>
      </c>
      <c r="I26" s="95" t="n">
        <v>1</v>
      </c>
      <c r="J26" s="88">
        <f>Y26+AA26+AC26+AE26+AG26+AI26+AK26+AM26+AO26+AQ26+AS26</f>
        <v>0.394053727400649976</v>
      </c>
      <c r="K26" s="95" t="n">
        <v>1</v>
      </c>
      <c r="L26" s="88">
        <f>T20</f>
        <v>0.228670415698106</v>
      </c>
      <c r="M26" s="87" t="n">
        <v>1</v>
      </c>
      <c r="N26" s="73">
        <f>(($B$24)^M26)*((1-($B$24))^($B$21-M26))*HLOOKUP($B$21,$AV$24:$BF$34,M26+1)</f>
        <v>0.176837208902014975</v>
      </c>
      <c r="O26" s="74" t="n">
        <v>1</v>
      </c>
      <c r="P26" s="73">
        <f>N26</f>
        <v>0.176837208902014975</v>
      </c>
      <c r="Q26" s="30" t="n">
        <v>1</v>
      </c>
      <c r="R26" s="39">
        <f>N26*P25+P26*N25</f>
        <v>0.285403839210846009</v>
      </c>
      <c r="S26" s="74" t="n">
        <v>1</v>
      </c>
      <c r="T26" s="135">
        <f>(($B$33)^S26)*((1-($B$33))^(INT($C$23*2*(1-$C$31))-S26))*HLOOKUP(INT($C$23*2*(1-$C$31)),$AV$24:$BF$34,S26+1)</f>
        <v>0.0388994384736540013</v>
      </c>
      <c r="U26" s="95" t="n">
        <v>1</v>
      </c>
      <c r="V26" s="88">
        <f>R26*T25+T26*R25</f>
        <v>0.0265906700619150005</v>
      </c>
      <c r="W26" s="137"/>
      <c r="X26" s="30" t="n">
        <v>1</v>
      </c>
      <c r="Y26" s="75"/>
      <c r="Z26" s="30" t="n">
        <v>1</v>
      </c>
      <c r="AA26" s="81">
        <f>(1-((1-W25)^Z26))*V26</f>
        <v>0.00718133134411599983</v>
      </c>
      <c r="AB26" s="30" t="n">
        <v>1</v>
      </c>
      <c r="AC26" s="81">
        <f>((($W$25)^M26)*((1-($W$25))^($U$27-M26))*HLOOKUP($U$27,$AV$24:$BF$34,M26+1))*V27</f>
        <v>0.0411563756967530026</v>
      </c>
      <c r="AD26" s="30" t="n">
        <v>1</v>
      </c>
      <c r="AE26" s="81">
        <f>((($W$25)^M26)*((1-($W$25))^($U$28-M26))*HLOOKUP($U$28,$AV$24:$BF$34,M26+1))*V28</f>
        <v>0.0972314786336820092</v>
      </c>
      <c r="AF26" s="30" t="n">
        <v>1</v>
      </c>
      <c r="AG26" s="81">
        <f>((($W$25)^M26)*((1-($W$25))^($U$29-M26))*HLOOKUP($U$29,$AV$24:$BF$34,M26+1))*V29</f>
        <v>0.121409172411535993</v>
      </c>
      <c r="AH26" s="30" t="n">
        <v>1</v>
      </c>
      <c r="AI26" s="81">
        <f>((($W$25)^M26)*((1-($W$25))^($U$30-M26))*HLOOKUP($U$30,$AV$24:$BF$34,M26+1))*V30</f>
        <v>0.0853780472145819935</v>
      </c>
      <c r="AJ26" s="30" t="n">
        <v>1</v>
      </c>
      <c r="AK26" s="81">
        <f>((($W$25)^M26)*((1-($W$25))^($U$31-M26))*HLOOKUP($U$31,$AV$24:$BF$34,M26+1))*V31</f>
        <v>0.0335379087310680024</v>
      </c>
      <c r="AL26" s="30" t="n">
        <v>1</v>
      </c>
      <c r="AM26" s="81">
        <f>((($W$25)^Q26)*((1-($W$25))^($U$32-Q26))*HLOOKUP($U$32,$AV$24:$BF$34,Q26+1))*V32</f>
        <v>0.00715906395583000066</v>
      </c>
      <c r="AN26" s="30" t="n">
        <v>1</v>
      </c>
      <c r="AO26" s="81">
        <f>((($W$25)^Q26)*((1-($W$25))^($U$33-Q26))*HLOOKUP($U$33,$AV$24:$BF$34,Q26+1))*V33</f>
        <v>0.000919015144341999957</v>
      </c>
      <c r="AP26" s="30" t="n">
        <v>1</v>
      </c>
      <c r="AQ26" s="81">
        <f>((($W$25)^Q26)*((1-($W$25))^($U$34-Q26))*HLOOKUP($U$34,$AV$24:$BF$34,Q26+1))*V34</f>
        <v>0.0000767413068089999939</v>
      </c>
      <c r="AR26" s="30" t="n">
        <v>1</v>
      </c>
      <c r="AS26" s="81">
        <f>((($W$25)^Q26)*((1-($W$25))^($U$35-Q26))*HLOOKUP($U$35,$AV$24:$BF$34,Q26+1))*V35</f>
        <v>4.592961931666490394E-06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>
        <f>$H$27*H45</f>
        <v>0.0109444304890280009</v>
      </c>
      <c r="BP26">
        <f>BP20+1</f>
        <v>7</v>
      </c>
      <c r="BQ26" t="n">
        <v>2</v>
      </c>
      <c r="BR26" s="109">
        <f>$H$32*H41</f>
        <v>0.0000245365125149999974</v>
      </c>
    </row>
    <row r="27" spans="1:70">
      <c r="A27" s="28" t="s">
        <v>119</v>
      </c>
      <c r="B27" s="121">
        <f>1/(1+EXP(-3.1416*4*((B12/(B12+C7))-(3.1416/6))))</f>
        <v>0.330125497550434011</v>
      </c>
      <c r="C27" s="120">
        <f>1/(1+EXP(-3.1416*4*((C12/(C12+B7))-(3.1416/6))))</f>
        <v>0.174623554504829004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>
        <f>L25*J27+J26*L26+J25*L27</f>
        <v>0.257964283076381973</v>
      </c>
      <c r="I27" s="95" t="n">
        <v>2</v>
      </c>
      <c r="J27" s="88">
        <f>Y27+AA27+AC27+AE27+AG27+AI27+AK27+AM27+AO27+AQ27+AS27</f>
        <v>0.214428195843458003</v>
      </c>
      <c r="K27" s="95" t="n">
        <v>2</v>
      </c>
      <c r="L27" s="88">
        <f>U20</f>
        <v>0.0306068475529349993</v>
      </c>
      <c r="M27" s="87" t="n">
        <v>2</v>
      </c>
      <c r="N27" s="73">
        <f>(($B$24)^M27)*((1-($B$24))^($B$21-M27))*HLOOKUP($B$21,$AV$24:$BF$34,M27+1)</f>
        <v>0.0155006935745499996</v>
      </c>
      <c r="O27" s="74" t="n">
        <v>2</v>
      </c>
      <c r="P27" s="73">
        <f>N27</f>
        <v>0.0155006935745499996</v>
      </c>
      <c r="Q27" s="30" t="n">
        <v>2</v>
      </c>
      <c r="R27" s="39">
        <f>P25*N27+P26*N26+P27*N25</f>
        <v>0.0562885172140569967</v>
      </c>
      <c r="S27" s="74" t="n">
        <v>2</v>
      </c>
      <c r="T27" s="135">
        <f>(($B$33)^S27)*((1-($B$33))^(INT($C$23*2*(1-$C$31))-S27))*HLOOKUP(INT($C$23*2*(1-$C$31)),$AV$24:$BF$34,S27+1)</f>
        <v>0.142871394393989988</v>
      </c>
      <c r="U27" s="95" t="n">
        <v>2</v>
      </c>
      <c r="V27" s="88">
        <f>R27*T25+T26*R26+R25*T27</f>
        <v>0.104387857857520006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>
        <f>((($W$25)^M27)*((1-($W$25))^($U$27-M27))*HLOOKUP($U$27,$AV$24:$BF$34,M27+1))*V27</f>
        <v>0.00761379805614599903</v>
      </c>
      <c r="AD27" s="30" t="n">
        <v>2</v>
      </c>
      <c r="AE27" s="81">
        <f>((($W$25)^M27)*((1-($W$25))^($U$28-M27))*HLOOKUP($U$28,$AV$24:$BF$34,M27+1))*V28</f>
        <v>0.0359750260067569982</v>
      </c>
      <c r="AF27" s="30" t="n">
        <v>2</v>
      </c>
      <c r="AG27" s="81">
        <f>((($W$25)^M27)*((1-($W$25))^($U$29-M27))*HLOOKUP($U$29,$AV$24:$BF$34,M27+1))*V29</f>
        <v>0.0673809273962460065</v>
      </c>
      <c r="AH27" s="30" t="n">
        <v>2</v>
      </c>
      <c r="AI27" s="81">
        <f>((($W$25)^M27)*((1-($W$25))^($U$30-M27))*HLOOKUP($U$30,$AV$24:$BF$34,M27+1))*V30</f>
        <v>0.063178664196242007</v>
      </c>
      <c r="AJ27" s="30" t="n">
        <v>2</v>
      </c>
      <c r="AK27" s="81">
        <f>((($W$25)^M27)*((1-($W$25))^($U$31-M27))*HLOOKUP($U$31,$AV$24:$BF$34,M27+1))*V31</f>
        <v>0.0310220299991009973</v>
      </c>
      <c r="AL27" s="30" t="n">
        <v>2</v>
      </c>
      <c r="AM27" s="81">
        <f>((($W$25)^Q27)*((1-($W$25))^($U$32-Q27))*HLOOKUP($U$32,$AV$24:$BF$34,Q27+1))*V32</f>
        <v>0.00794642380062899978</v>
      </c>
      <c r="AN27" s="30" t="n">
        <v>2</v>
      </c>
      <c r="AO27" s="81">
        <f>((($W$25)^Q27)*((1-($W$25))^($U$33-Q27))*HLOOKUP($U$33,$AV$24:$BF$34,Q27+1))*V33</f>
        <v>0.00119010406547499992</v>
      </c>
      <c r="AP27" s="30" t="n">
        <v>2</v>
      </c>
      <c r="AQ27" s="81">
        <f>((($W$25)^Q27)*((1-($W$25))^($U$34-Q27))*HLOOKUP($U$34,$AV$24:$BF$34,Q27+1))*V34</f>
        <v>0.000113575173268999996</v>
      </c>
      <c r="AR27" s="30" t="n">
        <v>2</v>
      </c>
      <c r="AS27" s="81">
        <f>((($W$25)^Q27)*((1-($W$25))^($U$35-Q27))*HLOOKUP($U$35,$AV$24:$BF$34,Q27+1))*V35</f>
        <v>7.647149592676616189E-06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>
        <f>$H$27*H46</f>
        <v>0.00332073459810500093</v>
      </c>
      <c r="BP27">
        <f>BP21+1</f>
        <v>7</v>
      </c>
      <c r="BQ27" t="n">
        <v>3</v>
      </c>
      <c r="BR27" s="109">
        <f>$H$32*H42</f>
        <v>0.0000273211569919999953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>
        <f>J28*L25+J27*L26+L28*J25+L27*J26</f>
        <v>0.110302259097611999</v>
      </c>
      <c r="I28" s="95" t="n">
        <v>3</v>
      </c>
      <c r="J28" s="88">
        <f>Y28+AA28+AC28+AE28+AG28+AI28+AK28+AM28+AO28+AQ28+AS28</f>
        <v>0.0656232930091349953</v>
      </c>
      <c r="K28" s="95" t="n">
        <v>3</v>
      </c>
      <c r="L28" s="88">
        <f>V20</f>
        <v>0.00243421542924399992</v>
      </c>
      <c r="M28" s="87" t="n">
        <v>3</v>
      </c>
      <c r="N28" s="73">
        <f>(($B$24)^M28)*((1-($B$24))^($B$21-M28))*HLOOKUP($B$21,$AV$24:$BF$34,M28+1)</f>
        <v>0.000679357876050000087</v>
      </c>
      <c r="O28" s="74" t="n">
        <v>3</v>
      </c>
      <c r="P28" s="73">
        <f>N28</f>
        <v>0.000679357876050000087</v>
      </c>
      <c r="Q28" s="30" t="n">
        <v>3</v>
      </c>
      <c r="R28" s="39">
        <f>P25*N28+P26*N27+P27*N26+P28*N25</f>
        <v>0.00657863853064799997</v>
      </c>
      <c r="S28" s="74" t="n">
        <v>3</v>
      </c>
      <c r="T28" s="135">
        <f>(($B$33)^S28)*((1-($B$33))^(INT($C$23*2*(1-$C$31))-S28))*HLOOKUP(INT($C$23*2*(1-$C$31)),$AV$24:$BF$34,S28+1)</f>
        <v>0.279863307537179962</v>
      </c>
      <c r="U28" s="95" t="n">
        <v>3</v>
      </c>
      <c r="V28" s="88">
        <f>R28*T25+R27*T26+R26*T27+R25*T28</f>
        <v>0.225240786904373991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>
        <f>((($W$25)^M28)*((1-($W$25))^($U$28-M28))*HLOOKUP($U$28,$AV$24:$BF$34,M28+1))*V28</f>
        <v>0.00443684327467200035</v>
      </c>
      <c r="AF28" s="30" t="n">
        <v>3</v>
      </c>
      <c r="AG28" s="81">
        <f>((($W$25)^M28)*((1-($W$25))^($U$29-M28))*HLOOKUP($U$29,$AV$24:$BF$34,M28+1))*V29</f>
        <v>0.016620341817295996</v>
      </c>
      <c r="AH28" s="30" t="n">
        <v>3</v>
      </c>
      <c r="AI28" s="81">
        <f>((($W$25)^M28)*((1-($W$25))^($U$30-M28))*HLOOKUP($U$30,$AV$24:$BF$34,M28+1))*V30</f>
        <v>0.023375702184831999</v>
      </c>
      <c r="AJ28" s="30" t="n">
        <v>3</v>
      </c>
      <c r="AK28" s="81">
        <f>((($W$25)^M28)*((1-($W$25))^($U$31-M28))*HLOOKUP($U$31,$AV$24:$BF$34,M28+1))*V31</f>
        <v>0.0153039372527309991</v>
      </c>
      <c r="AL28" s="30" t="n">
        <v>3</v>
      </c>
      <c r="AM28" s="81">
        <f>((($W$25)^Q28)*((1-($W$25))^($U$32-Q28))*HLOOKUP($U$32,$AV$24:$BF$34,Q28+1))*V32</f>
        <v>0.00490021007780400009</v>
      </c>
      <c r="AN28" s="30" t="n">
        <v>3</v>
      </c>
      <c r="AO28" s="81">
        <f>((($W$25)^Q28)*((1-($W$25))^($U$33-Q28))*HLOOKUP($U$33,$AV$24:$BF$34,Q28+1))*V33</f>
        <v>0.000880661804342999943</v>
      </c>
      <c r="AP28" s="30" t="n">
        <v>3</v>
      </c>
      <c r="AQ28" s="81">
        <f>((($W$25)^Q28)*((1-($W$25))^($U$34-Q28))*HLOOKUP($U$34,$AV$24:$BF$34,Q28+1))*V34</f>
        <v>0.0000980515401200000092</v>
      </c>
      <c r="AR28" s="30" t="n">
        <v>3</v>
      </c>
      <c r="AS28" s="81">
        <f>((($W$25)^Q28)*((1-($W$25))^($U$35-Q28))*HLOOKUP($U$35,$AV$24:$BF$34,Q28+1))*V35</f>
        <v>7.545057337120486745E-06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>
        <f>$H$27*H47</f>
        <v>0.000761759175392000021</v>
      </c>
      <c r="BP28">
        <f>BP22+1</f>
        <v>7</v>
      </c>
      <c r="BQ28" t="n">
        <v>4</v>
      </c>
      <c r="BR28" s="109">
        <f>$H$32*H43</f>
        <v>0.000020675740922000001</v>
      </c>
    </row>
    <row r="29" spans="1:70">
      <c r="A29" s="28" t="s">
        <v>121</v>
      </c>
      <c r="B29" s="121">
        <f>1/(1+EXP(-3.1416*4*((B14/(B14+C13))-(3.1416/6))))</f>
        <v>0.295719146859233994</v>
      </c>
      <c r="C29" s="120">
        <f>1/(1+EXP(-3.1416*4*((C14/(C14+B13))-(3.1416/6))))</f>
        <v>0.295719146859233994</v>
      </c>
      <c r="D29" s="153" t="n">
        <v>0.04</v>
      </c>
      <c r="E29" s="153" t="n">
        <v>0.04</v>
      </c>
      <c r="G29" s="89" t="n">
        <v>4</v>
      </c>
      <c r="H29" s="128">
        <f>J29*L25+J28*L26+J27*L27+J26*L28</f>
        <v>0.031674356588239001</v>
      </c>
      <c r="I29" s="95" t="n">
        <v>4</v>
      </c>
      <c r="J29" s="88">
        <f>Y29+AA29+AC29+AE29+AG29+AI29+AK29+AM29+AO29+AQ29+AS29</f>
        <v>0.0123882030775589991</v>
      </c>
      <c r="K29" s="95" t="n">
        <v>4</v>
      </c>
      <c r="L29" s="88"/>
      <c r="M29" s="87" t="n">
        <v>4</v>
      </c>
      <c r="N29" s="73">
        <f>(($B$24)^M29)*((1-($B$24))^($B$21-M29))*HLOOKUP($B$21,$AV$24:$BF$34,M29+1)</f>
        <v>0.0000148873055749999983</v>
      </c>
      <c r="O29" s="74" t="n">
        <v>4</v>
      </c>
      <c r="P29" s="73">
        <f>N29</f>
        <v>0.0000148873055749999983</v>
      </c>
      <c r="Q29" s="30" t="n">
        <v>4</v>
      </c>
      <c r="R29" s="39">
        <f>P25*N29+P26*N28+P27*N27+P28*N26+P29*N25</f>
        <v>0.000504570152712000031</v>
      </c>
      <c r="S29" s="74" t="n">
        <v>4</v>
      </c>
      <c r="T29" s="135">
        <f>(($B$33)^S29)*((1-($B$33))^(INT($C$23*2*(1-$C$31))-S29))*HLOOKUP(INT($C$23*2*(1-$C$31)),$AV$24:$BF$34,S29+1)</f>
        <v>0.308367903675239985</v>
      </c>
      <c r="U29" s="95" t="n">
        <v>4</v>
      </c>
      <c r="V29" s="88">
        <f>T29*R25+T28*R26+T27*R27+T26*R28+T25*R29</f>
        <v>0.28898243755950098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>
        <f>((($W$25)^M29)*((1-($W$25))^($U$29-M29))*HLOOKUP($U$29,$AV$24:$BF$34,M29+1))*V29</f>
        <v>0.00153735507656699983</v>
      </c>
      <c r="AH29" s="30" t="n">
        <v>4</v>
      </c>
      <c r="AI29" s="81">
        <f>((($W$25)^M29)*((1-($W$25))^($U$30-M29))*HLOOKUP($U$30,$AV$24:$BF$34,M29+1))*V30</f>
        <v>0.00432443024544399979</v>
      </c>
      <c r="AJ29" s="30" t="n">
        <v>4</v>
      </c>
      <c r="AK29" s="81">
        <f>((($W$25)^M29)*((1-($W$25))^($U$31-M29))*HLOOKUP($U$31,$AV$24:$BF$34,M29+1))*V31</f>
        <v>0.00424676926965399915</v>
      </c>
      <c r="AL29" s="30" t="n">
        <v>4</v>
      </c>
      <c r="AM29" s="81">
        <f>((($W$25)^Q29)*((1-($W$25))^($U$32-Q29))*HLOOKUP($U$32,$AV$24:$BF$34,Q29+1))*V32</f>
        <v>0.00181304642760500023</v>
      </c>
      <c r="AN29" s="30" t="n">
        <v>4</v>
      </c>
      <c r="AO29" s="81">
        <f>((($W$25)^Q29)*((1-($W$25))^($U$33-Q29))*HLOOKUP($U$33,$AV$24:$BF$34,Q29+1))*V33</f>
        <v>0.000407299052729</v>
      </c>
      <c r="AP29" s="30" t="n">
        <v>4</v>
      </c>
      <c r="AQ29" s="81">
        <f>((($W$25)^Q29)*((1-($W$25))^($U$34-Q29))*HLOOKUP($U$34,$AV$24:$BF$34,Q29+1))*V34</f>
        <v>0.0000544176652769999958</v>
      </c>
      <c r="AR29" s="30" t="n">
        <v>4</v>
      </c>
      <c r="AS29" s="81">
        <f>((($W$25)^Q29)*((1-($W$25))^($U$35-Q29))*HLOOKUP($U$35,$AV$24:$BF$34,Q29+1))*V35</f>
        <v>4.885340283254460725E-06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>
        <f>$H$27*H48</f>
        <v>0.00013120301165399999</v>
      </c>
      <c r="BP29">
        <f>BP23+1</f>
        <v>7</v>
      </c>
      <c r="BQ29" t="n">
        <v>5</v>
      </c>
      <c r="BR29" s="109">
        <f>$H$32*H44</f>
        <v>0.0000112458150440000004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>
        <f>J30*L25+J29*L26+J28*L27+J27*L28</f>
        <v>0.00646620499968100049</v>
      </c>
      <c r="I30" s="95" t="n">
        <v>5</v>
      </c>
      <c r="J30" s="88">
        <f>Y30+AA30+AC30+AE30+AG30+AI30+AK30+AM30+AO30+AQ30+AS30</f>
        <v>0.00149386435315600004</v>
      </c>
      <c r="K30" s="95" t="n">
        <v>5</v>
      </c>
      <c r="L30" s="88"/>
      <c r="M30" s="87" t="n">
        <v>5</v>
      </c>
      <c r="N30" s="73">
        <f>(($B$24)^M30)*((1-($B$24))^($B$21-M30))*HLOOKUP($B$21,$AV$24:$BF$34,M30+1)</f>
        <v>1.304949129810055048E-07</v>
      </c>
      <c r="O30" s="74" t="n">
        <v>5</v>
      </c>
      <c r="P30" s="73">
        <f>N30</f>
        <v>1.304949129810055048E-07</v>
      </c>
      <c r="Q30" s="30" t="n">
        <v>5</v>
      </c>
      <c r="R30" s="39">
        <f>P25*N30+P26*N29+P27*N28+P28*N27+P29*N26+P30*N25</f>
        <v>0.0000265369060260000023</v>
      </c>
      <c r="S30" s="74" t="n">
        <v>5</v>
      </c>
      <c r="T30" s="135">
        <f>(($B$33)^S30)*((1-($B$33))^(INT($C$23*2*(1-$C$31))-S30))*HLOOKUP(INT($C$23*2*(1-$C$31)),$AV$24:$BF$34,S30+1)</f>
        <v>0.181213731048653983</v>
      </c>
      <c r="U30" s="95" t="n">
        <v>5</v>
      </c>
      <c r="V30" s="88">
        <f>T30*R25+T29*R26+T28*R27+T27*R28+T26*R29+T25*R30</f>
        <v>0.222727938704041994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>
        <f>((($W$25)^M30)*((1-($W$25))^($U$30-M30))*HLOOKUP($U$30,$AV$24:$BF$34,M30+1))*V30</f>
        <v>0.000320002313510999992</v>
      </c>
      <c r="AJ30" s="30" t="n">
        <v>5</v>
      </c>
      <c r="AK30" s="81">
        <f>((($W$25)^M30)*((1-($W$25))^($U$31-M30))*HLOOKUP($U$31,$AV$24:$BF$34,M30+1))*V31</f>
        <v>0.000628511001036000039</v>
      </c>
      <c r="AL30" s="30" t="n">
        <v>5</v>
      </c>
      <c r="AM30" s="81">
        <f>((($W$25)^Q30)*((1-($W$25))^($U$32-Q30))*HLOOKUP($U$32,$AV$24:$BF$34,Q30+1))*V32</f>
        <v>0.000402489358185999979</v>
      </c>
      <c r="AN30" s="30" t="n">
        <v>5</v>
      </c>
      <c r="AO30" s="81">
        <f>((($W$25)^Q30)*((1-($W$25))^($U$33-Q30))*HLOOKUP($U$33,$AV$24:$BF$34,Q30+1))*V33</f>
        <v>0.00012055843823700001</v>
      </c>
      <c r="AP30" s="30" t="n">
        <v>5</v>
      </c>
      <c r="AQ30" s="81">
        <f>((($W$25)^Q30)*((1-($W$25))^($U$34-Q30))*HLOOKUP($U$34,$AV$24:$BF$34,Q30+1))*V34</f>
        <v>0.0000201341885480000027</v>
      </c>
      <c r="AR30" s="30" t="n">
        <v>5</v>
      </c>
      <c r="AS30" s="81">
        <f>((($W$25)^Q30)*((1-($W$25))^($U$35-Q30))*HLOOKUP($U$35,$AV$24:$BF$34,Q30+1))*V35</f>
        <v>2.169053638327276033E-06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>
        <f>$H$27*H49</f>
        <v>0.0000165964930069999994</v>
      </c>
      <c r="BP30">
        <f>BL10+1</f>
        <v>7</v>
      </c>
      <c r="BQ30" t="n">
        <v>6</v>
      </c>
      <c r="BR30" s="109">
        <f>$H$32*H45</f>
        <v>4.532977910838756765E-06</v>
      </c>
    </row>
    <row r="31" spans="1:70">
      <c r="A31" s="186" t="s">
        <v>123</v>
      </c>
      <c r="B31" s="62">
        <f>(B25*D25)+(B26*D26)+(B27*D27)+(B28*D28)+(B29*D29)+(B30*D30)/(B25+B26+B27+B28+B29+B30)</f>
        <v>0.270069589348234018</v>
      </c>
      <c r="C31" s="63">
        <f>(C25*E25)+(C26*E26)+(C27*E27)+(C28*E28)+(C29*E29)+(C30*E30)/(C25+C26+C27+C28+C29+C30)</f>
        <v>0.272892593901068992</v>
      </c>
      <c r="G31" s="89" t="n">
        <v>6</v>
      </c>
      <c r="H31" s="128">
        <f>J31*L25+J30*L26+J29*L27+J28*L28</f>
        <v>0.000966396497397999887</v>
      </c>
      <c r="I31" s="95" t="n">
        <v>6</v>
      </c>
      <c r="J31" s="88">
        <f>Y31+AA31+AC31+AE31+AG31+AI31+AK31+AM31+AO31+AQ31+AS31</f>
        <v>0.000116335059904000016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>
        <f>P26*N30+P27*N29+P28*N28+P29*N27+P30*N26</f>
        <v>9.692069598636416898E-07</v>
      </c>
      <c r="S31" s="72" t="n">
        <v>6</v>
      </c>
      <c r="T31" s="135">
        <f>(($B$33)^S31)*((1-($B$33))^(INT($C$23*2*(1-$C$31))-S31))*HLOOKUP(INT($C$23*2*(1-$C$31)),$AV$24:$BF$34,S31+1)</f>
        <v>0.0443712633637660048</v>
      </c>
      <c r="U31" s="95" t="n">
        <v>6</v>
      </c>
      <c r="V31" s="88">
        <f>T31*R25+T30*R26+T29*R27+T28*R28+T27*R29+T26*R30+T25*R31</f>
        <v>0.0998853406742900063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>
        <f>((($W$25)^Q31)*((1-($W$25))^($U$31-Q31))*HLOOKUP($U$31,$AV$24:$BF$34,Q31+1))*V31</f>
        <v>0.0000387575092720000036</v>
      </c>
      <c r="AL31" s="30" t="n">
        <v>6</v>
      </c>
      <c r="AM31" s="81">
        <f>((($W$25)^Q31)*((1-($W$25))^($U$32-Q31))*HLOOKUP($U$32,$AV$24:$BF$34,Q31+1))*V32</f>
        <v>0.0000496394971789999939</v>
      </c>
      <c r="AN31" s="30" t="n">
        <v>6</v>
      </c>
      <c r="AO31" s="81">
        <f>((($W$25)^Q31)*((1-($W$25))^($U$33-Q31))*HLOOKUP($U$33,$AV$24:$BF$34,Q31+1))*V33</f>
        <v>0.0000223029260269999963</v>
      </c>
      <c r="AP31" s="30" t="n">
        <v>6</v>
      </c>
      <c r="AQ31" s="81">
        <f>((($W$25)^Q31)*((1-($W$25))^($U$34-Q31))*HLOOKUP($U$34,$AV$24:$BF$34,Q31+1))*V34</f>
        <v>4.96634743403639119E-06</v>
      </c>
      <c r="AR31" s="30" t="n">
        <v>6</v>
      </c>
      <c r="AS31" s="81">
        <f>((($W$25)^Q31)*((1-($W$25))^($U$35-Q31))*HLOOKUP($U$35,$AV$24:$BF$34,Q31+1))*V35</f>
        <v>6.687799923909091011E-07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>
        <f>$H$28*H43</f>
        <v>0.0213449663432519987</v>
      </c>
      <c r="BP31">
        <f>BP24+1</f>
        <v>8</v>
      </c>
      <c r="BQ31" t="n">
        <v>0</v>
      </c>
      <c r="BR31" s="109">
        <f>$H$33*H39</f>
        <v>2.741434565462025074E-07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>
        <f>J32*L25+J31*L26+J30*L27+J29*L28</f>
        <v>0.00010684396946400001</v>
      </c>
      <c r="I32" s="95" t="n">
        <v>7</v>
      </c>
      <c r="J32" s="88">
        <f>Y32+AA32+AC32+AE32+AG32+AI32+AK32+AM32+AO32+AQ32+AS32</f>
        <v>5.910357854997242372E-06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>
        <f>P27*N30+P28*N29+P29*N28+P30*N27</f>
        <v>2.427313990939092355E-08</v>
      </c>
      <c r="S32" s="74" t="n">
        <v>7</v>
      </c>
      <c r="T32" s="135">
        <f>(($B$33)^S32)*((1-($B$33))^(INT($C$23*2*(1-$C$31))-S32))*HLOOKUP(INT($C$23*2*(1-$C$31)),$AV$24:$BF$34,S32+1)</f>
        <v>0</v>
      </c>
      <c r="U32" s="95" t="n">
        <v>7</v>
      </c>
      <c r="V32" s="88">
        <f>T32*R25+T31*R26+T30*R27+T29*R28+T28*R29+T27*R30+T26*R31+T25*R32</f>
        <v>0.0250376619522559984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>
        <f>((($W$25)^Q32)*((1-($W$25))^($U$32-Q32))*HLOOKUP($U$32,$AV$24:$BF$34,Q32+1))*V32</f>
        <v>2.623756696155316848E-06</v>
      </c>
      <c r="AN32" s="30" t="n">
        <v>7</v>
      </c>
      <c r="AO32" s="81">
        <f>((($W$25)^Q32)*((1-($W$25))^($U$33-Q32))*HLOOKUP($U$33,$AV$24:$BF$34,Q32+1))*V33</f>
        <v>2.357697190035619079E-06</v>
      </c>
      <c r="AP32" s="30" t="n">
        <v>7</v>
      </c>
      <c r="AQ32" s="81">
        <f>((($W$25)^Q32)*((1-($W$25))^($U$34-Q32))*HLOOKUP($U$34,$AV$24:$BF$34,Q32+1))*V34</f>
        <v>7.87507211545955493E-07</v>
      </c>
      <c r="AR32" s="30" t="n">
        <v>7</v>
      </c>
      <c r="AS32" s="81">
        <f>((($W$25)^Q32)*((1-($W$25))^($U$35-Q32))*HLOOKUP($U$35,$AV$24:$BF$34,Q32+1))*V35</f>
        <v>1.413967572603490999E-07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>
        <f>$H$28*H44</f>
        <v>0.0116098157998189988</v>
      </c>
      <c r="BP32">
        <f>BP25+1</f>
        <v>8</v>
      </c>
      <c r="BQ32" t="n">
        <v>1</v>
      </c>
      <c r="BR32" s="109">
        <f>$H$33*H40</f>
        <v>1.091704369463243094E-06</v>
      </c>
    </row>
    <row r="33" spans="1:70">
      <c r="A33" s="28" t="s">
        <v>125</v>
      </c>
      <c r="B33" s="77">
        <f>IF(B17&lt;&gt;"CA",0.005,IF((B18-B16)&lt;0,0.1,0.1+0.055*(B18-B16)))</f>
        <v>0.594999999999999929</v>
      </c>
      <c r="C33" s="60">
        <f>IF(C17&lt;&gt;"CA",0.005,IF((C18-C16)&lt;0,0.1,0.1+0.055*(C18-C16)))</f>
        <v>0.005</v>
      </c>
      <c r="G33" s="89" t="n">
        <v>8</v>
      </c>
      <c r="H33" s="128">
        <f>J33*L25+J32*L26+J31*L27+J30*L28</f>
        <v>8.6973286130015476E-06</v>
      </c>
      <c r="I33" s="95" t="n">
        <v>8</v>
      </c>
      <c r="J33" s="88">
        <f>Y33+AA33+AC33+AE33+AG33+AI33+AK33+AM33+AO33+AQ33+AS33</f>
        <v>2.015032333370191889E-07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>
        <f>P28*N30+P29*N29+P30*N28</f>
        <v>3.989373611196369828E-10</v>
      </c>
      <c r="S33" s="74" t="n">
        <v>8</v>
      </c>
      <c r="T33" s="135">
        <f>(($B$33)^S33)*((1-($B$33))^(INT($C$23*2*(1-$C$31))-S33))*HLOOKUP(INT($C$23*2*(1-$C$31)),$AV$24:$BF$34,S33+1)</f>
        <v>0</v>
      </c>
      <c r="U33" s="95" t="n">
        <v>8</v>
      </c>
      <c r="V33" s="88">
        <f>T33*R25+T32*R26+T31*R27+T30*R28+T29*R29+T28*R30+T27*R31+T26*R32+T25*R33</f>
        <v>0.00385289161948299963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>
        <f>((($W$25)^Q33)*((1-($W$25))^($U$33-Q33))*HLOOKUP($U$33,$AV$24:$BF$34,Q33+1))*V33</f>
        <v>1.090416124975384976E-07</v>
      </c>
      <c r="AP33" s="30" t="n">
        <v>8</v>
      </c>
      <c r="AQ33" s="81">
        <f>((($W$25)^Q33)*((1-($W$25))^($U$34-Q33))*HLOOKUP($U$34,$AV$24:$BF$34,Q33+1))*V34</f>
        <v>7.284315947139380023E-08</v>
      </c>
      <c r="AR33" s="30" t="n">
        <v>8</v>
      </c>
      <c r="AS33" s="81">
        <f>((($W$25)^Q33)*((1-($W$25))^($U$35-Q33))*HLOOKUP($U$35,$AV$24:$BF$34,Q33+1))*V35</f>
        <v>1.961846136808687124E-08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>
        <f>$H$28*H45</f>
        <v>0.00467969981378800082</v>
      </c>
      <c r="BP33">
        <f>BP26+1</f>
        <v>8</v>
      </c>
      <c r="BQ33" t="n">
        <v>2</v>
      </c>
      <c r="BR33" s="109">
        <f>$H$33*H41</f>
        <v>1.997324822630854855E-06</v>
      </c>
    </row>
    <row r="34" spans="1:70">
      <c r="A34" s="42" t="s">
        <v>126</v>
      </c>
      <c r="B34" s="58">
        <f>B23*2</f>
        <v>0.419873742752259993</v>
      </c>
      <c r="C34" s="59">
        <f>C23*2</f>
        <v>9.58012625724773947</v>
      </c>
      <c r="G34" s="89" t="n">
        <v>9</v>
      </c>
      <c r="H34" s="128">
        <f>J34*L25+J33*L26+J32*L27+J31*L28</f>
        <v>5.135616281580236085E-07</v>
      </c>
      <c r="I34" s="95" t="n">
        <v>9</v>
      </c>
      <c r="J34" s="88">
        <f>Y34+AA34+AC34+AE34+AG34+AI34+AK34+AM34+AO34+AQ34+AS34</f>
        <v>4.607657164599902122E-09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>
        <f>P29*N30+P30*N29</f>
        <v>3.885435291062525694E-12</v>
      </c>
      <c r="S34" s="74" t="n">
        <v>9</v>
      </c>
      <c r="T34" s="135">
        <f>(($B$33)^S34)*((1-($B$33))^(INT($C$23*2*(1-$C$31))-S34))*HLOOKUP(INT($C$23*2*(1-$C$31)),$AV$24:$BF$34,S34+1)</f>
        <v>0</v>
      </c>
      <c r="U34" s="95" t="n">
        <v>9</v>
      </c>
      <c r="V34" s="88">
        <f>T34*R25+T33*R26+T32*R27+T31*R28+T30*R29+T29*R30+T28*R31+T27*R32+T26*R33+T25*R34</f>
        <v>0.000391795401785000017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>
        <f>((($W$25)^Q34)*((1-($W$25))^($U$34-Q34))*HLOOKUP($U$34,$AV$24:$BF$34,Q34+1))*V34</f>
        <v>2.994611522590217251E-09</v>
      </c>
      <c r="AR34" s="30" t="n">
        <v>9</v>
      </c>
      <c r="AS34" s="81">
        <f>((($W$25)^Q34)*((1-($W$25))^($U$35-Q34))*HLOOKUP($U$35,$AV$24:$BF$34,Q34+1))*V35</f>
        <v>1.613045642009685077E-09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>
        <f>$H$28*H46</f>
        <v>0.00141990404123500014</v>
      </c>
      <c r="BP34">
        <f>BP27+1</f>
        <v>8</v>
      </c>
      <c r="BQ34" t="n">
        <v>3</v>
      </c>
      <c r="BR34" s="109">
        <f>$H$33*H42</f>
        <v>2.224000864406396211E-06</v>
      </c>
    </row>
    <row r="35" spans="7:70">
      <c r="G35" s="90" t="n">
        <v>10</v>
      </c>
      <c r="H35" s="129">
        <f>J35*L25+J34*L26+J33*L27+J32*L28</f>
        <v>2.165216018970023061E-08</v>
      </c>
      <c r="I35" s="96" t="n">
        <v>10</v>
      </c>
      <c r="J35" s="91">
        <f>Y35+AA35+AC35+AE35+AG35+AI35+AK35+AM35+AO35+AQ35+AS35</f>
        <v>5.968165838560243863E-11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>
        <f>P30*N30</f>
        <v>1.702892231392020108E-14</v>
      </c>
      <c r="S35" s="74" t="n">
        <v>10</v>
      </c>
      <c r="T35" s="135">
        <f>(($B$33)^S35)*((1-($B$33))^(INT($C$23*2*(1-$C$31))-S35))*HLOOKUP(INT($C$23*2*(1-$C$31)),$AV$24:$BF$34,S35+1)</f>
        <v>0</v>
      </c>
      <c r="U35" s="96" t="n">
        <v>10</v>
      </c>
      <c r="V35" s="91">
        <f>IF(((T35*R25+T34*R26+T33*R27+T32*R28+T31*R29+T30*R30+T29*R31+T28*R32+T27*R33+T26*R34+T25*R35)+V23)&lt;&gt;1,1-V23,(T35*R25+T34*R26+T33*R27+T32*R28+T31*R29+T30*R30+T29*R31+T28*R32+T27*R33+T26*R34+T25*R35))</f>
        <v>0.0000289123932150000051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>
        <f>((($W$25)^Q35)*((1-($W$25))^($U$35-Q35))*HLOOKUP($U$35,$AV$24:$BF$34,Q35+1))*V35</f>
        <v>5.968165838560243863E-11</v>
      </c>
      <c r="BH35">
        <f>BH28+1</f>
        <v>3</v>
      </c>
      <c r="BI35" t="n">
        <v>8</v>
      </c>
      <c r="BJ35" s="109">
        <f>$H$28*H47</f>
        <v>0.000325718572091000036</v>
      </c>
      <c r="BP35">
        <f>BP28+1</f>
        <v>8</v>
      </c>
      <c r="BQ35" t="n">
        <v>4</v>
      </c>
      <c r="BR35" s="109">
        <f>$H$33*H43</f>
        <v>1.683049722095311929E-06</v>
      </c>
    </row>
    <row r="36" spans="1:70">
      <c r="A36" s="3"/>
      <c r="B36" s="110">
        <f>SUM(B37:B39)</f>
        <v>0.999993956196824918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>
        <f>SUM(V39:V49)</f>
        <v>1</v>
      </c>
      <c r="W36" s="15"/>
      <c r="X36" s="15"/>
      <c r="AS36" s="84">
        <f>Y37+AA37+AC37+AE37+AG37+AI37+AK37+AM37+AO37+AQ37+AS37</f>
        <v>1.00000000000000999</v>
      </c>
      <c r="BH36">
        <f>BH29+1</f>
        <v>3</v>
      </c>
      <c r="BI36" t="n">
        <v>9</v>
      </c>
      <c r="BJ36" s="109">
        <f>$H$28*H48</f>
        <v>0.0000561007454719999998</v>
      </c>
      <c r="BP36">
        <f>BP29+1</f>
        <v>8</v>
      </c>
      <c r="BQ36" t="n">
        <v>5</v>
      </c>
      <c r="BR36" s="109">
        <f>$H$33*H44</f>
        <v>9.154335003971490026E-07</v>
      </c>
    </row>
    <row r="37" spans="1:70">
      <c r="A37" s="111" t="s">
        <v>127</v>
      </c>
      <c r="B37" s="109">
        <f>SUM(BN4:BN14)</f>
        <v>0.147026641669366986</v>
      </c>
      <c r="G37" s="15"/>
      <c r="H37" s="61">
        <f>SUM(H39:H49)</f>
        <v>0.999993978505817971</v>
      </c>
      <c r="I37" s="15"/>
      <c r="J37" s="61">
        <f>SUM(J39:J49)</f>
        <v>1.00000000000000999</v>
      </c>
      <c r="K37" s="61"/>
      <c r="L37" s="61">
        <f>SUM(L39:L49)</f>
        <v>1</v>
      </c>
      <c r="M37" s="15"/>
      <c r="N37" s="76">
        <f>SUM(N39:N49)</f>
        <v>0.999999999999998934</v>
      </c>
      <c r="O37" s="15"/>
      <c r="P37" s="76">
        <f>SUM(P39:P49)</f>
        <v>0.999999999999998934</v>
      </c>
      <c r="Q37" s="15"/>
      <c r="R37" s="61">
        <f>SUM(R39:R49)</f>
        <v>0.999999999999998046</v>
      </c>
      <c r="S37" s="15"/>
      <c r="T37" s="61">
        <f>SUM(T39:T49)</f>
        <v>1.00507601265176993</v>
      </c>
      <c r="U37" s="15"/>
      <c r="V37" s="61">
        <f>SUM(V39:V48)</f>
        <v>0.349122044448627999</v>
      </c>
      <c r="W37" s="15"/>
      <c r="X37" s="15"/>
      <c r="Y37" s="82">
        <f>SUM(Y39:Y49)</f>
        <v>1.702892231392020108E-14</v>
      </c>
      <c r="Z37" s="83"/>
      <c r="AA37" s="82">
        <f>SUM(AA39:AA49)</f>
        <v>3.885520863536465669E-12</v>
      </c>
      <c r="AB37" s="83"/>
      <c r="AC37" s="82">
        <f>SUM(AC39:AC49)</f>
        <v>3.989568867801192671E-10</v>
      </c>
      <c r="AD37" s="83"/>
      <c r="AE37" s="82">
        <f>SUM(AE39:AE49)</f>
        <v>2.427514481598395226E-08</v>
      </c>
      <c r="AF37" s="83"/>
      <c r="AG37" s="82">
        <f>SUM(AG39:AG49)</f>
        <v>9.693289555903972963E-07</v>
      </c>
      <c r="AH37" s="83"/>
      <c r="AI37" s="82">
        <f>SUM(AI39:AI49)</f>
        <v>0.0000265417776389999993</v>
      </c>
      <c r="AJ37" s="83"/>
      <c r="AK37" s="82">
        <f>SUM(AK39:AK49)</f>
        <v>0.000504703552956000046</v>
      </c>
      <c r="AL37" s="83"/>
      <c r="AM37" s="82">
        <f>SUM(AM39:AM49)</f>
        <v>0.00658117539963700082</v>
      </c>
      <c r="AN37" s="83"/>
      <c r="AO37" s="82">
        <f>SUM(AO39:AO49)</f>
        <v>0.0563216011919339987</v>
      </c>
      <c r="AP37" s="83"/>
      <c r="AQ37" s="82">
        <f>SUM(AQ39:AQ49)</f>
        <v>0.285687028519495012</v>
      </c>
      <c r="AR37" s="83"/>
      <c r="AS37" s="82">
        <f>SUM(AS39:AS49)</f>
        <v>0.650877955551389054</v>
      </c>
      <c r="BH37">
        <f>BH30+1</f>
        <v>3</v>
      </c>
      <c r="BI37" t="n">
        <v>10</v>
      </c>
      <c r="BJ37" s="109">
        <f>$H$28*H49</f>
        <v>7.096450136132122857E-06</v>
      </c>
      <c r="BP37">
        <f>BP30+1</f>
        <v>8</v>
      </c>
      <c r="BQ37" t="n">
        <v>6</v>
      </c>
      <c r="BR37" s="109">
        <f>$H$33*H45</f>
        <v>3.689941386848762183E-07</v>
      </c>
    </row>
    <row r="38" spans="1:70">
      <c r="A38" s="112" t="s">
        <v>128</v>
      </c>
      <c r="B38" s="109">
        <f>SUM(BJ4:BJ59)</f>
        <v>0.731638899028232004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>
        <f>$H$29*H44</f>
        <v>0.00333387048076499992</v>
      </c>
      <c r="BP38">
        <f>BL11+1</f>
        <v>8</v>
      </c>
      <c r="BQ38" t="n">
        <v>7</v>
      </c>
      <c r="BR38" s="109">
        <f>$H$33*H46</f>
        <v>1.119593755067549975E-07</v>
      </c>
    </row>
    <row r="39" spans="1:70">
      <c r="A39" s="113" t="s">
        <v>129</v>
      </c>
      <c r="B39" s="109">
        <f>SUM(BR4:BR47)</f>
        <v>0.121328415499225994</v>
      </c>
      <c r="G39" s="130" t="n">
        <v>0</v>
      </c>
      <c r="H39" s="131">
        <f>L39*J39</f>
        <v>0.0315204206653050001</v>
      </c>
      <c r="I39" s="99" t="n">
        <v>0</v>
      </c>
      <c r="J39" s="100">
        <f>Y39+AA39+AC39+AE39+AG39+AI39+AK39+AM39+AO39+AQ39+AS39</f>
        <v>0.0482994234297640013</v>
      </c>
      <c r="K39" s="104" t="n">
        <v>0</v>
      </c>
      <c r="L39" s="100">
        <f>AC20</f>
        <v>0.652604491462327996</v>
      </c>
      <c r="M39" s="86" t="n">
        <v>0</v>
      </c>
      <c r="N39" s="73">
        <f>(1-$C$24)^$B$21</f>
        <v>1.304949129810055048E-07</v>
      </c>
      <c r="O39" s="72" t="n">
        <v>0</v>
      </c>
      <c r="P39" s="73">
        <f>N39</f>
        <v>1.304949129810055048E-07</v>
      </c>
      <c r="Q39" s="14" t="n">
        <v>0</v>
      </c>
      <c r="R39" s="75">
        <f>P39*N39</f>
        <v>1.702892231392020108E-14</v>
      </c>
      <c r="S39" s="72" t="n">
        <v>0</v>
      </c>
      <c r="T39" s="135">
        <f>(1-$C$33)^(INT(B23*2*(1-B31)))</f>
        <v>1</v>
      </c>
      <c r="U39" s="140" t="n">
        <v>0</v>
      </c>
      <c r="V39" s="88">
        <f>R39*T39</f>
        <v>1.702892231392020108E-14</v>
      </c>
      <c r="W39" s="136">
        <f>C31</f>
        <v>0.272892593901068992</v>
      </c>
      <c r="X39" s="14" t="n">
        <v>0</v>
      </c>
      <c r="Y39" s="81">
        <f>V39</f>
        <v>1.702892231392020108E-14</v>
      </c>
      <c r="Z39" s="14" t="n">
        <v>0</v>
      </c>
      <c r="AA39" s="80">
        <f>((1-W39)^Z40)*V40</f>
        <v>2.825190996429277959E-12</v>
      </c>
      <c r="AB39" s="14" t="n">
        <v>0</v>
      </c>
      <c r="AC39" s="81">
        <f>(((1-$W$39)^AB41))*V41</f>
        <v>2.109225935011492849E-10</v>
      </c>
      <c r="AD39" s="14" t="n">
        <v>0</v>
      </c>
      <c r="AE39" s="81">
        <f>(((1-$W$39)^AB42))*V42</f>
        <v>9.331630506074195809E-09</v>
      </c>
      <c r="AF39" s="14" t="n">
        <v>0</v>
      </c>
      <c r="AG39" s="81">
        <f>(((1-$W$39)^AB43))*V43</f>
        <v>2.709352166751378013E-07</v>
      </c>
      <c r="AH39" s="14" t="n">
        <v>0</v>
      </c>
      <c r="AI39" s="81">
        <f>(((1-$W$39)^AB44))*V44</f>
        <v>5.394147871497413597E-06</v>
      </c>
      <c r="AJ39" s="14" t="n">
        <v>0</v>
      </c>
      <c r="AK39" s="81">
        <f>(((1-$W$39)^AB45))*V45</f>
        <v>0.0000745809260559999831</v>
      </c>
      <c r="AL39" s="14" t="n">
        <v>0</v>
      </c>
      <c r="AM39" s="81">
        <f>(((1-$W$39)^AB46))*V46</f>
        <v>0.000707120525226000041</v>
      </c>
      <c r="AN39" s="14" t="n">
        <v>0</v>
      </c>
      <c r="AO39" s="81">
        <f>(((1-$W$39)^AB47))*V47</f>
        <v>0.00440011005502699959</v>
      </c>
      <c r="AP39" s="14" t="n">
        <v>0</v>
      </c>
      <c r="AQ39" s="81">
        <f>(((1-$W$39)^AB48))*V48</f>
        <v>0.0162284722133420019</v>
      </c>
      <c r="AR39" s="14" t="n">
        <v>0</v>
      </c>
      <c r="AS39" s="81">
        <f>(((1-$W$39)^AB49))*V49</f>
        <v>0.026883465081629998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>
        <f>$H$29*H45</f>
        <v>0.00134382089578700015</v>
      </c>
      <c r="BP39">
        <f>BP31+1</f>
        <v>9</v>
      </c>
      <c r="BQ39" t="n">
        <v>0</v>
      </c>
      <c r="BR39" s="109">
        <f>$H$34*H39</f>
        <v>1.618767855709985171E-08</v>
      </c>
    </row>
    <row r="40" spans="7:70">
      <c r="G40" s="93" t="n">
        <v>1</v>
      </c>
      <c r="H40" s="132">
        <f>L39*J40+L40*J39</f>
        <v>0.125521803077701999</v>
      </c>
      <c r="I40" s="95" t="n">
        <v>1</v>
      </c>
      <c r="J40" s="88">
        <f>Y40+AA40+AC40+AE40+AG40+AI40+AK40+AM40+AO40+AQ40+AS40</f>
        <v>0.170961356473647985</v>
      </c>
      <c r="K40" s="97" t="n">
        <v>1</v>
      </c>
      <c r="L40" s="88">
        <f>AD20</f>
        <v>0.288857567767760024</v>
      </c>
      <c r="M40" s="87" t="n">
        <v>1</v>
      </c>
      <c r="N40" s="73">
        <f>(($C$24)^M26)*((1-($C$24))^($B$21-M26))*HLOOKUP($B$21,$AV$24:$BF$34,M26+1)</f>
        <v>0.0000148873055749999983</v>
      </c>
      <c r="O40" s="74" t="n">
        <v>1</v>
      </c>
      <c r="P40" s="73">
        <f>N40</f>
        <v>0.0000148873055749999983</v>
      </c>
      <c r="Q40" s="30" t="n">
        <v>1</v>
      </c>
      <c r="R40" s="39">
        <f>P40*N39+P39*N40</f>
        <v>3.885435291062525694E-12</v>
      </c>
      <c r="S40" s="74" t="n">
        <v>1</v>
      </c>
      <c r="T40" s="135">
        <f>(($C$33)^S40)*((1-($C$33))^(INT($B$23*2*(1-$B$31))-S40))*HLOOKUP(INT($B$23*2*(1-$B$31)),$AV$24:$BF$34,S40+1)</f>
        <v>0.00502512562814100061</v>
      </c>
      <c r="U40" s="95" t="n">
        <v>1</v>
      </c>
      <c r="V40" s="88">
        <f>R40*T39+T40*R39</f>
        <v>3.885520863536464861E-12</v>
      </c>
      <c r="W40" s="137"/>
      <c r="X40" s="30" t="n">
        <v>1</v>
      </c>
      <c r="Y40" s="75"/>
      <c r="Z40" s="30" t="n">
        <v>1</v>
      </c>
      <c r="AA40" s="81">
        <f>(1-((1-W39)^Z40))*V40</f>
        <v>1.060329867107187912E-12</v>
      </c>
      <c r="AB40" s="30" t="n">
        <v>1</v>
      </c>
      <c r="AC40" s="81">
        <f>((($W$39)^M40)*((1-($W$39))^($U$27-M40))*HLOOKUP($U$27,$AV$24:$BF$34,M40+1))*V41</f>
        <v>1.583238271816962911E-10</v>
      </c>
      <c r="AD40" s="30" t="n">
        <v>1</v>
      </c>
      <c r="AE40" s="81">
        <f>((($W$39)^M40)*((1-($W$39))^($U$28-M40))*HLOOKUP($U$28,$AV$24:$BF$34,M40+1))*V42</f>
        <v>1.05068364017562105E-08</v>
      </c>
      <c r="AF40" s="30" t="n">
        <v>1</v>
      </c>
      <c r="AG40" s="81">
        <f>((($W$39)^M40)*((1-($W$39))^($U$29-M40))*HLOOKUP($U$29,$AV$24:$BF$34,M40+1))*V43</f>
        <v>4.067416364485043757E-07</v>
      </c>
      <c r="AH40" s="30" t="n">
        <v>1</v>
      </c>
      <c r="AI40" s="81">
        <f>((($W$39)^M40)*((1-($W$39))^($U$30-M40))*HLOOKUP($U$30,$AV$24:$BF$34,M40+1))*V44</f>
        <v>0.0000101224591590000013</v>
      </c>
      <c r="AJ40" s="30" t="n">
        <v>1</v>
      </c>
      <c r="AK40" s="81">
        <f>((($W$39)^M40)*((1-($W$39))^($U$31-M40))*HLOOKUP($U$31,$AV$24:$BF$34,M40+1))*V45</f>
        <v>0.000167946981667000017</v>
      </c>
      <c r="AL40" s="30" t="n">
        <v>1</v>
      </c>
      <c r="AM40" s="81">
        <f>((($W$39)^Q40)*((1-($W$39))^($U$32-Q40))*HLOOKUP($U$32,$AV$24:$BF$34,Q40+1))*V46</f>
        <v>0.00185773885532899996</v>
      </c>
      <c r="AN40" s="30" t="n">
        <v>1</v>
      </c>
      <c r="AO40" s="81">
        <f>((($W$39)^Q40)*((1-($W$39))^($U$33-Q40))*HLOOKUP($U$33,$AV$24:$BF$34,Q40+1))*V47</f>
        <v>0.0132113350659840001</v>
      </c>
      <c r="AP40" s="30" t="n">
        <v>1</v>
      </c>
      <c r="AQ40" s="81">
        <f>((($W$39)^Q40)*((1-($W$39))^($U$34-Q40))*HLOOKUP($U$34,$AV$24:$BF$34,Q40+1))*V48</f>
        <v>0.0548167554914560018</v>
      </c>
      <c r="AR40" s="30" t="n">
        <v>1</v>
      </c>
      <c r="AS40" s="81">
        <f>((($W$39)^Q40)*((1-($W$39))^($U$35-Q40))*HLOOKUP($U$35,$AV$24:$BF$34,Q40+1))*V49</f>
        <v>0.10089704021219601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>
        <f>$H$29*H46</f>
        <v>0.000407739127838999948</v>
      </c>
      <c r="BP40">
        <f>BP32+1</f>
        <v>9</v>
      </c>
      <c r="BQ40" t="n">
        <v>1</v>
      </c>
      <c r="BR40" s="109">
        <f>$H$34*H40</f>
        <v>6.446318155791546373E-08</v>
      </c>
    </row>
    <row r="41" spans="7:70">
      <c r="G41" s="93" t="n">
        <v>2</v>
      </c>
      <c r="H41" s="132">
        <f>L39*J41+J40*L40+J39*L41</f>
        <v>0.22964808063536597</v>
      </c>
      <c r="I41" s="95" t="n">
        <v>2</v>
      </c>
      <c r="J41" s="88">
        <f>Y41+AA41+AC41+AE41+AG41+AI41+AK41+AM41+AO41+AQ41+AS41</f>
        <v>0.272310828993229004</v>
      </c>
      <c r="K41" s="97" t="n">
        <v>2</v>
      </c>
      <c r="L41" s="88">
        <f>AE20</f>
        <v>0.052864584419167997</v>
      </c>
      <c r="M41" s="87" t="n">
        <v>2</v>
      </c>
      <c r="N41" s="73">
        <f>(($C$24)^M27)*((1-($C$24))^($B$21-M27))*HLOOKUP($B$21,$AV$24:$BF$34,M27+1)</f>
        <v>0.000679357876050000087</v>
      </c>
      <c r="O41" s="74" t="n">
        <v>2</v>
      </c>
      <c r="P41" s="73">
        <f>N41</f>
        <v>0.000679357876050000087</v>
      </c>
      <c r="Q41" s="30" t="n">
        <v>2</v>
      </c>
      <c r="R41" s="39">
        <f>P41*N39+P40*N40+P39*N41</f>
        <v>3.989373611196369828E-10</v>
      </c>
      <c r="S41" s="74" t="n">
        <v>2</v>
      </c>
      <c r="T41" s="135">
        <f>(($C$33)^S41)*((1-($C$33))^(INT($B$23*2*(1-$B$31))-S41))*HLOOKUP(INT($B$23*2*(1-$B$31)),$AV$24:$BF$34,S41+1)</f>
        <v>0.0000505037751579999927</v>
      </c>
      <c r="U41" s="95" t="n">
        <v>2</v>
      </c>
      <c r="V41" s="88">
        <f>R41*T39+T40*R40+R39*T41</f>
        <v>3.989568867801193705E-10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>
        <f>((($W$39)^M41)*((1-($W$39))^($U$27-M41))*HLOOKUP($U$27,$AV$24:$BF$34,M41+1))*V41</f>
        <v>2.971046609727372993E-11</v>
      </c>
      <c r="AD41" s="30" t="n">
        <v>2</v>
      </c>
      <c r="AE41" s="81">
        <f>((($W$39)^M41)*((1-($W$39))^($U$28-M41))*HLOOKUP($U$28,$AV$24:$BF$34,M41+1))*V42</f>
        <v>3.943348417742983134E-09</v>
      </c>
      <c r="AF41" s="30" t="n">
        <v>2</v>
      </c>
      <c r="AG41" s="81">
        <f>((($W$39)^M41)*((1-($W$39))^($U$29-M41))*HLOOKUP($U$29,$AV$24:$BF$34,M41+1))*V43</f>
        <v>2.289829108195627928E-07</v>
      </c>
      <c r="AH41" s="30" t="n">
        <v>2</v>
      </c>
      <c r="AI41" s="81">
        <f>((($W$39)^M41)*((1-($W$39))^($U$30-M41))*HLOOKUP($U$30,$AV$24:$BF$34,M41+1))*V44</f>
        <v>7.598173566879184182E-06</v>
      </c>
      <c r="AJ41" s="30" t="n">
        <v>2</v>
      </c>
      <c r="AK41" s="81">
        <f>((($W$39)^M41)*((1-($W$39))^($U$31-M41))*HLOOKUP($U$31,$AV$24:$BF$34,M41+1))*V45</f>
        <v>0.000157581559066999999</v>
      </c>
      <c r="AL41" s="30" t="n">
        <v>2</v>
      </c>
      <c r="AM41" s="81">
        <f>((($W$39)^Q41)*((1-($W$39))^($U$32-Q41))*HLOOKUP($U$32,$AV$24:$BF$34,Q41+1))*V46</f>
        <v>0.00209169857480100019</v>
      </c>
      <c r="AN41" s="30" t="n">
        <v>2</v>
      </c>
      <c r="AO41" s="81">
        <f>((($W$39)^Q41)*((1-($W$39))^($U$33-Q41))*HLOOKUP($U$33,$AV$24:$BF$34,Q41+1))*V47</f>
        <v>0.0173543332482110024</v>
      </c>
      <c r="AP41" s="30" t="n">
        <v>2</v>
      </c>
      <c r="AQ41" s="81">
        <f>((($W$39)^Q41)*((1-($W$39))^($U$34-Q41))*HLOOKUP($U$34,$AV$24:$BF$34,Q41+1))*V48</f>
        <v>0.0822936829955400029</v>
      </c>
      <c r="AR41" s="30" t="n">
        <v>2</v>
      </c>
      <c r="AS41" s="81">
        <f>((($W$39)^Q41)*((1-($W$39))^($U$35-Q41))*HLOOKUP($U$35,$AV$24:$BF$34,Q41+1))*V49</f>
        <v>0.170405701486073013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>
        <f>$H$29*H47</f>
        <v>0.0000935332266470000206</v>
      </c>
      <c r="BP41">
        <f>BP33+1</f>
        <v>9</v>
      </c>
      <c r="BQ41" t="n">
        <v>2</v>
      </c>
      <c r="BR41" s="109">
        <f>$H$34*H41</f>
        <v>1.179384421944636064E-07</v>
      </c>
    </row>
    <row r="42" spans="7:70" ht="15" customHeight="1">
      <c r="G42" s="93" t="n">
        <v>3</v>
      </c>
      <c r="H42" s="132">
        <f>J42*L39+J41*L40+L42*J39+L41*J40</f>
        <v>0.255710800794827975</v>
      </c>
      <c r="I42" s="95" t="n">
        <v>3</v>
      </c>
      <c r="J42" s="88">
        <f>Y42+AA42+AC42+AE42+AG42+AI42+AK42+AM42+AO42+AQ42+AS42</f>
        <v>0.257031538009777005</v>
      </c>
      <c r="K42" s="97" t="n">
        <v>3</v>
      </c>
      <c r="L42" s="88">
        <f>AF20</f>
        <v>0.00567335635074400013</v>
      </c>
      <c r="M42" s="87" t="n">
        <v>3</v>
      </c>
      <c r="N42" s="73">
        <f>(($C$24)^M28)*((1-($C$24))^($B$21-M28))*HLOOKUP($B$21,$AV$24:$BF$34,M28+1)</f>
        <v>0.0155006935745499996</v>
      </c>
      <c r="O42" s="74" t="n">
        <v>3</v>
      </c>
      <c r="P42" s="73">
        <f>N42</f>
        <v>0.0155006935745499996</v>
      </c>
      <c r="Q42" s="30" t="n">
        <v>3</v>
      </c>
      <c r="R42" s="39">
        <f>P42*N39+P41*N40+P40*N41+P39*N42</f>
        <v>2.427313990939092355E-08</v>
      </c>
      <c r="S42" s="74" t="n">
        <v>3</v>
      </c>
      <c r="T42" s="135">
        <f>(($C$33)^S42)*((1-($C$33))^(INT($B$23*2*(1-$B$31))-S42))*HLOOKUP(INT($B$23*2*(1-$B$31)),$AV$24:$BF$34,S42+1)</f>
        <v>3.806817222904014255E-07</v>
      </c>
      <c r="U42" s="95" t="n">
        <v>3</v>
      </c>
      <c r="V42" s="88">
        <f>R42*T39+R41*T40+R40*T41+R39*T42</f>
        <v>2.427514481598394233E-08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>
        <f>((($W$39)^M42)*((1-($W$39))^($U$28-M42))*HLOOKUP($U$28,$AV$24:$BF$34,M42+1))*V42</f>
        <v>4.933294904105548576E-10</v>
      </c>
      <c r="AF42" s="30" t="n">
        <v>3</v>
      </c>
      <c r="AG42" s="81">
        <f>((($W$39)^M42)*((1-($W$39))^($U$29-M42))*HLOOKUP($U$29,$AV$24:$BF$34,M42+1))*V43</f>
        <v>5.729345253848888188E-08</v>
      </c>
      <c r="AH42" s="30" t="n">
        <v>3</v>
      </c>
      <c r="AI42" s="81">
        <f>((($W$39)^M42)*((1-($W$39))^($U$30-M42))*HLOOKUP($U$30,$AV$24:$BF$34,M42+1))*V44</f>
        <v>2.851690515299295865E-06</v>
      </c>
      <c r="AJ42" s="30" t="n">
        <v>3</v>
      </c>
      <c r="AK42" s="81">
        <f>((($W$39)^M42)*((1-($W$39))^($U$31-M42))*HLOOKUP($U$31,$AV$24:$BF$34,M42+1))*V45</f>
        <v>0.0000788564661269999867</v>
      </c>
      <c r="AL42" s="30" t="n">
        <v>3</v>
      </c>
      <c r="AM42" s="81">
        <f>((($W$39)^Q42)*((1-($W$39))^($U$32-Q42))*HLOOKUP($U$32,$AV$24:$BF$34,Q42+1))*V46</f>
        <v>0.00130840149371100001</v>
      </c>
      <c r="AN42" s="30" t="n">
        <v>3</v>
      </c>
      <c r="AO42" s="81">
        <f>((($W$39)^Q42)*((1-($W$39))^($U$33-Q42))*HLOOKUP($U$33,$AV$24:$BF$34,Q42+1))*V47</f>
        <v>0.0130266009555219986</v>
      </c>
      <c r="AP42" s="30" t="n">
        <v>3</v>
      </c>
      <c r="AQ42" s="81">
        <f>((($W$39)^Q42)*((1-($W$39))^($U$34-Q42))*HLOOKUP($U$34,$AV$24:$BF$34,Q42+1))*V48</f>
        <v>0.0720670036648809997</v>
      </c>
      <c r="AR42" s="30" t="n">
        <v>3</v>
      </c>
      <c r="AS42" s="81">
        <f>((($W$39)^Q42)*((1-($W$39))^($U$35-Q42))*HLOOKUP($U$35,$AV$24:$BF$34,Q42+1))*V49</f>
        <v>0.17054776595223899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>
        <f>$H$29*H48</f>
        <v>0.0000161098696569999973</v>
      </c>
      <c r="BP42">
        <f>BP34+1</f>
        <v>9</v>
      </c>
      <c r="BQ42" t="n">
        <v>3</v>
      </c>
      <c r="BR42" s="109">
        <f>$H$34*H42</f>
        <v>1.313232551937838959E-07</v>
      </c>
    </row>
    <row r="43" spans="7:70" ht="15" customHeight="1">
      <c r="G43" s="93" t="n">
        <v>4</v>
      </c>
      <c r="H43" s="132">
        <f>J43*L39+J42*L40+J41*L41+J40*L42</f>
        <v>0.193513410494728006</v>
      </c>
      <c r="I43" s="95" t="n">
        <v>4</v>
      </c>
      <c r="J43" s="88">
        <f>Y43+AA43+AC43+AE43+AG43+AI43+AK43+AM43+AO43+AQ43+AS43</f>
        <v>0.159211870956862001</v>
      </c>
      <c r="K43" s="97" t="n">
        <v>4</v>
      </c>
      <c r="L43" s="88"/>
      <c r="M43" s="87" t="n">
        <v>4</v>
      </c>
      <c r="N43" s="73">
        <f>(($C$24)^M29)*((1-($C$24))^($B$21-M29))*HLOOKUP($B$21,$AV$24:$BF$34,M29+1)</f>
        <v>0.176837208902014975</v>
      </c>
      <c r="O43" s="74" t="n">
        <v>4</v>
      </c>
      <c r="P43" s="73">
        <f>N43</f>
        <v>0.176837208902014975</v>
      </c>
      <c r="Q43" s="30" t="n">
        <v>4</v>
      </c>
      <c r="R43" s="39">
        <f>P43*N39+P42*N40+P41*N41+P40*N42+P39*N43</f>
        <v>9.692069598636416898E-07</v>
      </c>
      <c r="S43" s="74" t="n">
        <v>4</v>
      </c>
      <c r="T43" s="135">
        <f>(($C$33)^S43)*((1-($C$33))^(INT($B$23*2*(1-$B$31))-S43))*HLOOKUP(INT($B$23*2*(1-$B$31)),$AV$24:$BF$34,S43+1)</f>
        <v>2.55063130512830009E-09</v>
      </c>
      <c r="U43" s="95" t="n">
        <v>4</v>
      </c>
      <c r="V43" s="88">
        <f>T43*R39+T42*R40+T41*R41+T40*R42+T39*R43</f>
        <v>9.693289555903975081E-07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>
        <f>((($W$39)^M43)*((1-($W$39))^($U$29-M43))*HLOOKUP($U$29,$AV$24:$BF$34,M43+1))*V43</f>
        <v>5.37573910870350839E-09</v>
      </c>
      <c r="AH43" s="30" t="n">
        <v>4</v>
      </c>
      <c r="AI43" s="81">
        <f>((($W$39)^M43)*((1-($W$39))^($U$30-M43))*HLOOKUP($U$30,$AV$24:$BF$34,M43+1))*V44</f>
        <v>5.351377356327567483E-07</v>
      </c>
      <c r="AJ43" s="30" t="n">
        <v>4</v>
      </c>
      <c r="AK43" s="81">
        <f>((($W$39)^M43)*((1-($W$39))^($U$31-M43))*HLOOKUP($U$31,$AV$24:$BF$34,M43+1))*V45</f>
        <v>0.0000221968708539999948</v>
      </c>
      <c r="AL43" s="30" t="n">
        <v>4</v>
      </c>
      <c r="AM43" s="81">
        <f>((($W$39)^Q43)*((1-($W$39))^($U$32-Q43))*HLOOKUP($U$32,$AV$24:$BF$34,Q43+1))*V46</f>
        <v>0.000491059607545999999</v>
      </c>
      <c r="AN43" s="30" t="n">
        <v>4</v>
      </c>
      <c r="AO43" s="81">
        <f>((($W$39)^Q43)*((1-($W$39))^($U$33-Q43))*HLOOKUP($U$33,$AV$24:$BF$34,Q43+1))*V47</f>
        <v>0.00611130985368899982</v>
      </c>
      <c r="AP43" s="30" t="n">
        <v>4</v>
      </c>
      <c r="AQ43" s="81">
        <f>((($W$39)^Q43)*((1-($W$39))^($U$34-Q43))*HLOOKUP($U$34,$AV$24:$BF$34,Q43+1))*V48</f>
        <v>0.0405714851749999994</v>
      </c>
      <c r="AR43" s="30" t="n">
        <v>4</v>
      </c>
      <c r="AS43" s="81">
        <f>((($W$39)^Q43)*((1-($W$39))^($U$35-Q43))*HLOOKUP($U$35,$AV$24:$BF$34,Q43+1))*V49</f>
        <v>0.112015278936297991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>
        <f>$H$29*H49</f>
        <v>2.037814038999789931E-06</v>
      </c>
      <c r="BP43">
        <f>BP35+1</f>
        <v>9</v>
      </c>
      <c r="BQ43" t="n">
        <v>4</v>
      </c>
      <c r="BR43" s="109">
        <f>$H$34*H43</f>
        <v>9.938106216408449109E-08</v>
      </c>
    </row>
    <row r="44" spans="7:70" ht="15" customHeight="1">
      <c r="G44" s="93" t="n">
        <v>5</v>
      </c>
      <c r="H44" s="132">
        <f>J44*L39+J43*L40+J42*L41+J41*L42</f>
        <v>0.105254560466839986</v>
      </c>
      <c r="I44" s="95" t="n">
        <v>5</v>
      </c>
      <c r="J44" s="88">
        <f>Y44+AA44+AC44+AE44+AG44+AI44+AK44+AM44+AO44+AQ44+AS44</f>
        <v>0.0676247642014310024</v>
      </c>
      <c r="K44" s="97" t="n">
        <v>5</v>
      </c>
      <c r="L44" s="88"/>
      <c r="M44" s="87" t="n">
        <v>5</v>
      </c>
      <c r="N44" s="73">
        <f>(($C$24)^M30)*((1-($C$24))^($B$21-M30))*HLOOKUP($B$21,$AV$24:$BF$34,M30+1)</f>
        <v>0.806967721846896069</v>
      </c>
      <c r="O44" s="74" t="n">
        <v>5</v>
      </c>
      <c r="P44" s="73">
        <f>N44</f>
        <v>0.806967721846896069</v>
      </c>
      <c r="Q44" s="30" t="n">
        <v>5</v>
      </c>
      <c r="R44" s="39">
        <f>P44*N39+P43*N40+P42*N41+P41*N42+P40*N43+P39*N44</f>
        <v>0.0000265369060260000023</v>
      </c>
      <c r="S44" s="74" t="n">
        <v>5</v>
      </c>
      <c r="T44" s="135">
        <f>(($C$33)^S44)*((1-($C$33))^(INT($B$23*2*(1-$B$31))-S44))*HLOOKUP(INT($B$23*2*(1-$B$31)),$AV$24:$BF$34,S44+1)</f>
        <v>1.602155342417281059E-11</v>
      </c>
      <c r="U44" s="95" t="n">
        <v>5</v>
      </c>
      <c r="V44" s="88">
        <f>T44*R39+T43*R40+T42*R41+T41*R42+T40*R43+T39*R44</f>
        <v>0.0000265417776389999993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>
        <f>((($W$39)^M44)*((1-($W$39))^($U$30-M44))*HLOOKUP($U$30,$AV$24:$BF$34,M44+1))*V44</f>
        <v>4.016879034546834303E-08</v>
      </c>
      <c r="AJ44" s="30" t="n">
        <v>5</v>
      </c>
      <c r="AK44" s="81">
        <f>((($W$39)^M44)*((1-($W$39))^($U$31-M44))*HLOOKUP($U$31,$AV$24:$BF$34,M44+1))*V45</f>
        <v>3.332306403774279898E-06</v>
      </c>
      <c r="AL44" s="30" t="n">
        <v>5</v>
      </c>
      <c r="AM44" s="81">
        <f>((($W$39)^Q44)*((1-($W$39))^($U$32-Q44))*HLOOKUP($U$32,$AV$24:$BF$34,Q44+1))*V46</f>
        <v>0.000110580524091999988</v>
      </c>
      <c r="AN44" s="30" t="n">
        <v>5</v>
      </c>
      <c r="AO44" s="81">
        <f>((($W$39)^Q44)*((1-($W$39))^($U$33-Q44))*HLOOKUP($U$33,$AV$24:$BF$34,Q44+1))*V47</f>
        <v>0.00183492142604199984</v>
      </c>
      <c r="AP44" s="30" t="n">
        <v>5</v>
      </c>
      <c r="AQ44" s="81">
        <f>((($W$39)^Q44)*((1-($W$39))^($U$34-Q44))*HLOOKUP($U$34,$AV$24:$BF$34,Q44+1))*V48</f>
        <v>0.0152269908612629994</v>
      </c>
      <c r="AR44" s="30" t="n">
        <v>5</v>
      </c>
      <c r="AS44" s="81">
        <f>((($W$39)^Q44)*((1-($W$39))^($U$35-Q44))*HLOOKUP($U$35,$AV$24:$BF$34,Q44+1))*V49</f>
        <v>0.0504488989148399991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>
        <f>$H$30*H45</f>
        <v>0.000274336161204000017</v>
      </c>
      <c r="BP44">
        <f>BP36+1</f>
        <v>9</v>
      </c>
      <c r="BQ44" t="n">
        <v>5</v>
      </c>
      <c r="BR44" s="109">
        <f>$H$34*H44</f>
        <v>5.405470344440749365E-08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>
        <f>J45*L39+J44*L40+J43*L41+J42*L42</f>
        <v>0.0424261465909509994</v>
      </c>
      <c r="I45" s="95" t="n">
        <v>6</v>
      </c>
      <c r="J45" s="88">
        <f>Y45+AA45+AC45+AE45+AG45+AI45+AK45+AM45+AO45+AQ45+AS45</f>
        <v>0.0199467226350930016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>
        <f>P44*N40+P43*N41+P42*N42+P41*N43+P40*N44</f>
        <v>0.000504570152712000031</v>
      </c>
      <c r="S45" s="72" t="n">
        <v>6</v>
      </c>
      <c r="T45" s="135">
        <f>(($C$33)^S45)*((1-($C$33))^(INT($B$23*2*(1-$B$31))-S45))*HLOOKUP(INT($B$23*2*(1-$B$31)),$AV$24:$BF$34,S45+1)</f>
        <v>9.661238245732316916E-14</v>
      </c>
      <c r="U45" s="95" t="n">
        <v>6</v>
      </c>
      <c r="V45" s="88">
        <f>T45*R39+T44*R40+T43*R41+T42*R42+T41*R43+T40*R44+T39*R45</f>
        <v>0.000504703552956000046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>
        <f>((($W$39)^Q45)*((1-($W$39))^($U$31-Q45))*HLOOKUP($U$31,$AV$24:$BF$34,Q45+1))*V45</f>
        <v>2.084427808447851122E-07</v>
      </c>
      <c r="AL45" s="30" t="n">
        <v>6</v>
      </c>
      <c r="AM45" s="81">
        <f>((($W$39)^Q45)*((1-($W$39))^($U$32-Q45))*HLOOKUP($U$32,$AV$24:$BF$34,Q45+1))*V46</f>
        <v>0.0000138340891600000004</v>
      </c>
      <c r="AN45" s="30" t="n">
        <v>6</v>
      </c>
      <c r="AO45" s="81">
        <f>((($W$39)^Q45)*((1-($W$39))^($U$33-Q45))*HLOOKUP($U$33,$AV$24:$BF$34,Q45+1))*V47</f>
        <v>0.000344334594419999984</v>
      </c>
      <c r="AP45" s="30" t="n">
        <v>6</v>
      </c>
      <c r="AQ45" s="81">
        <f>((($W$39)^Q45)*((1-($W$39))^($U$34-Q45))*HLOOKUP($U$34,$AV$24:$BF$34,Q45+1))*V48</f>
        <v>0.00380992133908600028</v>
      </c>
      <c r="AR45" s="30" t="n">
        <v>6</v>
      </c>
      <c r="AS45" s="81">
        <f>((($W$39)^Q45)*((1-($W$39))^($U$35-Q45))*HLOOKUP($U$35,$AV$24:$BF$34,Q45+1))*V49</f>
        <v>0.0157784241696460015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>
        <f>$H$30*H46</f>
        <v>0.0000832384638869999982</v>
      </c>
      <c r="BP45">
        <f>BP37+1</f>
        <v>9</v>
      </c>
      <c r="BQ45" t="n">
        <v>6</v>
      </c>
      <c r="BR45" s="109">
        <f>$H$34*H45</f>
        <v>2.178844091971978021E-08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>
        <f>J46*L39+J45*L40+J44*L41+J43*L42</f>
        <v>0.0128728464208409999</v>
      </c>
      <c r="I46" s="95" t="n">
        <v>7</v>
      </c>
      <c r="J46" s="88">
        <f>Y46+AA46+AC46+AE46+AG46+AI46+AK46+AM46+AO46+AQ46+AS46</f>
        <v>0.00403439439172499981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>
        <f>P44*N41+P43*N42+P42*N43+P41*N44</f>
        <v>0.00657863853064799997</v>
      </c>
      <c r="S46" s="74" t="n">
        <v>7</v>
      </c>
      <c r="T46" s="135">
        <f>(($C$33)^S46)*((1-($C$33))^(INT($B$23*2*(1-$B$31))-S46))*HLOOKUP(INT($B$23*2*(1-$B$31)),$AV$24:$BF$34,S46+1)</f>
        <v>5.664042522623625718E-16</v>
      </c>
      <c r="U46" s="95" t="n">
        <v>7</v>
      </c>
      <c r="V46" s="88">
        <f>T46*R39+T45*R40+T44*R41+T43*R42+T42*R43+T41*R44+T40*R45+T39*R46</f>
        <v>0.00658117539963700082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>
        <f>((($W$39)^Q46)*((1-($W$39))^($U$32-Q46))*HLOOKUP($U$32,$AV$24:$BF$34,Q46+1))*V46</f>
        <v>7.417297722556003763E-07</v>
      </c>
      <c r="AN46" s="30" t="n">
        <v>7</v>
      </c>
      <c r="AO46" s="81">
        <f>((($W$39)^Q46)*((1-($W$39))^($U$33-Q46))*HLOOKUP($U$33,$AV$24:$BF$34,Q46+1))*V47</f>
        <v>0.0000369237493480000012</v>
      </c>
      <c r="AP46" s="30" t="n">
        <v>7</v>
      </c>
      <c r="AQ46" s="81">
        <f>((($W$39)^Q46)*((1-($W$39))^($U$34-Q46))*HLOOKUP($U$34,$AV$24:$BF$34,Q46+1))*V48</f>
        <v>0.000612819258523999988</v>
      </c>
      <c r="AR46" s="30" t="n">
        <v>7</v>
      </c>
      <c r="AS46" s="81">
        <f>((($W$39)^Q46)*((1-($W$39))^($U$35-Q46))*HLOOKUP($U$35,$AV$24:$BF$34,Q46+1))*V49</f>
        <v>0.00338390965408100008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>
        <f>$H$30*H47</f>
        <v>0.0000190944689310000015</v>
      </c>
      <c r="BP46">
        <f>BP38+1</f>
        <v>9</v>
      </c>
      <c r="BQ46" t="n">
        <v>7</v>
      </c>
      <c r="BR46" s="109">
        <f>$H$34*H46</f>
        <v>6.610999966915291389E-09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>
        <f>J47*L39+J46*L40+J45*L41+J44*L42</f>
        <v>0.00295296374485599955</v>
      </c>
      <c r="I47" s="95" t="n">
        <v>8</v>
      </c>
      <c r="J47" s="88">
        <f>Y47+AA47+AC47+AE47+AG47+AI47+AK47+AM47+AO47+AQ47+AS47</f>
        <v>0.000535490959591999971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>
        <f>P44*N42+P43*N43+P42*N44</f>
        <v>0.0562885172140569967</v>
      </c>
      <c r="S47" s="74" t="n">
        <v>8</v>
      </c>
      <c r="T47" s="135">
        <f>(($C$33)^S47)*((1-($C$33))^(INT($B$23*2*(1-$B$31))-S47))*HLOOKUP(INT($B$23*2*(1-$B$31)),$AV$24:$BF$34,S47+1)</f>
        <v>3.252860027350250664E-18</v>
      </c>
      <c r="U47" s="95" t="n">
        <v>8</v>
      </c>
      <c r="V47" s="88">
        <f>T47*R39+T46*R40+T45*R41+T44*R42+T43*R43+T42*R44+T41*R45+T40*R46+T39*R47</f>
        <v>0.0563216011919379955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>
        <f>((($W$39)^Q47)*((1-($W$39))^($U$33-Q47))*HLOOKUP($U$33,$AV$24:$BF$34,Q47+1))*V47</f>
        <v>1.732243691185999013E-06</v>
      </c>
      <c r="AP47" s="30" t="n">
        <v>8</v>
      </c>
      <c r="AQ47" s="81">
        <f>((($W$39)^Q47)*((1-($W$39))^($U$34-Q47))*HLOOKUP($U$34,$AV$24:$BF$34,Q47+1))*V48</f>
        <v>0.0000574997021240000095</v>
      </c>
      <c r="AR47" s="30" t="n">
        <v>8</v>
      </c>
      <c r="AS47" s="81">
        <f>((($W$39)^Q47)*((1-($W$39))^($U$35-Q47))*HLOOKUP($U$35,$AV$24:$BF$34,Q47+1))*V49</f>
        <v>0.000476259013777000018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>
        <f>$H$30*H48</f>
        <v>3.288771452434444E-06</v>
      </c>
      <c r="BP47">
        <f>BL12+1</f>
        <v>9</v>
      </c>
      <c r="BQ47" t="n">
        <v>8</v>
      </c>
      <c r="BR47" s="109">
        <f>$H$34*H47</f>
        <v>1.516528868699861983E-09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>
        <f>J48*L39+J47*L40+J46*L41+J45*L42</f>
        <v>0.000508609215544000115</v>
      </c>
      <c r="I48" s="95" t="n">
        <v>9</v>
      </c>
      <c r="J48" s="88">
        <f>Y48+AA48+AC48+AE48+AG48+AI48+AK48+AM48+AO48+AQ48+AS48</f>
        <v>0.0000421191568769999947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>
        <f>P44*N43+P43*N44</f>
        <v>0.285403839210846009</v>
      </c>
      <c r="S48" s="74" t="n">
        <v>9</v>
      </c>
      <c r="T48" s="135">
        <f>(($C$33)^S48)*((1-($C$33))^(INT($B$23*2*(1-$B$31))-S48))*HLOOKUP(INT($B$23*2*(1-$B$31)),$AV$24:$BF$34,S48+1)</f>
        <v>1.838928407421638982E-20</v>
      </c>
      <c r="U48" s="95" t="n">
        <v>9</v>
      </c>
      <c r="V48" s="88">
        <f>T48*R39+T47*R40+T46*R41+T45*R42+T44*R43+T43*R44+T42*R45+T41*R46+T40*R47+T39*R48</f>
        <v>0.285687028519498032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>
        <f>((($W$39)^Q48)*((1-($W$39))^($U$34-Q48))*HLOOKUP($U$34,$AV$24:$BF$34,Q48+1))*V48</f>
        <v>2.397818278846078937E-06</v>
      </c>
      <c r="AR48" s="30" t="n">
        <v>9</v>
      </c>
      <c r="AS48" s="81">
        <f>((($W$39)^Q48)*((1-($W$39))^($U$35-Q48))*HLOOKUP($U$35,$AV$24:$BF$34,Q48+1))*V49</f>
        <v>0.0000397213385980000044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>
        <f>$H$30*H49</f>
        <v>4.160123439506043839E-07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>
        <f>J49*L39+J48*L40+J47*L41+J46*L42</f>
        <v>0.0000643363988570000167</v>
      </c>
      <c r="I49" s="96" t="n">
        <v>10</v>
      </c>
      <c r="J49" s="91">
        <f>Y49+AA49+AC49+AE49+AG49+AI49+AK49+AM49+AO49+AQ49+AS49</f>
        <v>1.490792011236729099E-06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>
        <f>P44*N44</f>
        <v>0.651196904102769025</v>
      </c>
      <c r="S49" s="74" t="n">
        <v>10</v>
      </c>
      <c r="T49" s="135">
        <f>(($C$33)^S49)*((1-($C$33))^(INT($B$23*2*(1-$B$31))-S49))*HLOOKUP(INT($B$23*2*(1-$B$31)),$AV$24:$BF$34,S49+1)</f>
        <v>1.026760696494491936E-22</v>
      </c>
      <c r="U49" s="96" t="n">
        <v>10</v>
      </c>
      <c r="V49" s="91">
        <f>IF(((T49*R39+T48*R40+T47*R41+T46*R42+T45*R43+T44*R44+T43*R45+T42*R46+T41*R47+T40*R48+T39*R49)+V37)&lt;&gt;1,1-V37,(T49*R39+T48*R40+T47*R41+T46*R42+T45*R43+T44*R44+T43*R45+T42*R46+T41*R47+T40*R48+T39*R49))</f>
        <v>0.650877955551371912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>
        <f>((($W$39)^Q49)*((1-($W$39))^($U$35-Q49))*HLOOKUP($U$35,$AV$24:$BF$34,Q49+1))*V49</f>
        <v>1.490792011236729099E-06</v>
      </c>
      <c r="BH49">
        <f>BP14+1</f>
        <v>6</v>
      </c>
      <c r="BI49" t="n">
        <v>0</v>
      </c>
      <c r="BJ49" s="109">
        <f>$H$31*H39</f>
        <v>0.0000304612241270000039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>
        <f>$H$31*H46</f>
        <v>0.0000124402736930000013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>
        <f>$H$31*H47</f>
        <v>2.85373381997212008E-06</v>
      </c>
    </row>
    <row r="52" spans="8:62">
      <c r="H52" s="109"/>
      <c r="BH52">
        <f>BH47+1</f>
        <v>6</v>
      </c>
      <c r="BI52" t="n">
        <v>9</v>
      </c>
      <c r="BJ52" s="109">
        <f>$H$31*H48</f>
        <v>4.9151816444606598E-07</v>
      </c>
    </row>
    <row r="53" spans="60:62">
      <c r="BH53">
        <f>BH48+1</f>
        <v>6</v>
      </c>
      <c r="BI53" t="n">
        <v>10</v>
      </c>
      <c r="BJ53" s="109">
        <f>$H$31*H49</f>
        <v>6.217447051060549853E-08</v>
      </c>
    </row>
    <row r="54" spans="60:62">
      <c r="BH54">
        <f>BH51+1</f>
        <v>7</v>
      </c>
      <c r="BI54" t="n">
        <v>8</v>
      </c>
      <c r="BJ54" s="109">
        <f>$H$32*H47</f>
        <v>3.155063681836936045E-07</v>
      </c>
    </row>
    <row r="55" spans="60:62">
      <c r="BH55">
        <f>BH52+1</f>
        <v>7</v>
      </c>
      <c r="BI55" t="n">
        <v>9</v>
      </c>
      <c r="BJ55" s="109">
        <f>$H$32*H48</f>
        <v>5.434182749469213496E-08</v>
      </c>
    </row>
    <row r="56" spans="60:62">
      <c r="BH56">
        <f>BH53+1</f>
        <v>7</v>
      </c>
      <c r="BI56" t="n">
        <v>10</v>
      </c>
      <c r="BJ56" s="109">
        <f>$H$32*H49</f>
        <v>6.873956234901032379E-09</v>
      </c>
    </row>
    <row r="57" spans="60:62">
      <c r="BH57">
        <f>BH55+1</f>
        <v>8</v>
      </c>
      <c r="BI57" t="n">
        <v>9</v>
      </c>
      <c r="BJ57" s="109">
        <f>$H$33*H48</f>
        <v>4.423541483187103103E-09</v>
      </c>
    </row>
    <row r="58" spans="60:62">
      <c r="BH58">
        <f>BH56+1</f>
        <v>8</v>
      </c>
      <c r="BI58" t="n">
        <v>10</v>
      </c>
      <c r="BJ58" s="109">
        <f>$H$33*H49</f>
        <v>5.595548026364661242E-10</v>
      </c>
    </row>
    <row r="59" spans="60:62">
      <c r="BH59">
        <f>BH58+1</f>
        <v>9</v>
      </c>
      <c r="BI59" t="n">
        <v>10</v>
      </c>
      <c r="BJ59" s="109">
        <f>$H$34*H49</f>
        <v>3.304070574682493028E-11</v>
      </c>
    </row>
  </sheetData>
  <mergeCells count="2">
    <mergeCell ref="P1:Q1"/>
    <mergeCell ref="B3:C3"/>
  </mergeCells>
  <conditionalFormatting sqref="H49">
    <cfRule type="cellIs" dxfId="28" priority="1" operator="greaterThan">
      <formula>0.15</formula>
    </cfRule>
  </conditionalFormatting>
  <conditionalFormatting sqref="H39:H49">
    <cfRule type="cellIs" dxfId="29" priority="2" operator="greaterThan">
      <formula>0.15</formula>
    </cfRule>
  </conditionalFormatting>
  <conditionalFormatting sqref="H49">
    <cfRule type="cellIs" dxfId="30" priority="3" operator="greaterThan">
      <formula>0.15</formula>
    </cfRule>
  </conditionalFormatting>
  <conditionalFormatting sqref="H39:H49">
    <cfRule type="cellIs" dxfId="31" priority="4" operator="greaterThan">
      <formula>0.15</formula>
    </cfRule>
  </conditionalFormatting>
  <conditionalFormatting sqref="H35">
    <cfRule type="cellIs" dxfId="32" priority="5" operator="greaterThan">
      <formula>0.15</formula>
    </cfRule>
  </conditionalFormatting>
  <conditionalFormatting sqref="H25:H35">
    <cfRule type="cellIs" dxfId="33" priority="6" operator="greaterThan">
      <formula>0.15</formula>
    </cfRule>
  </conditionalFormatting>
  <conditionalFormatting sqref="H35">
    <cfRule type="cellIs" dxfId="34" priority="7" operator="greaterThan">
      <formula>0.15</formula>
    </cfRule>
  </conditionalFormatting>
  <conditionalFormatting sqref="H25:H35">
    <cfRule type="cellIs" dxfId="35" priority="8" operator="greaterThan">
      <formula>0.15</formula>
    </cfRule>
  </conditionalFormatting>
  <conditionalFormatting sqref="V49">
    <cfRule type="cellIs" dxfId="36" priority="9" operator="greaterThan">
      <formula>0.15</formula>
    </cfRule>
  </conditionalFormatting>
  <conditionalFormatting sqref="V35">
    <cfRule type="cellIs" dxfId="37" priority="10" operator="greaterThan">
      <formula>0.15</formula>
    </cfRule>
  </conditionalFormatting>
  <conditionalFormatting sqref="V25:V35 V39:V49">
    <cfRule type="cellIs" dxfId="38" priority="11" operator="greaterThan">
      <formula>0.15</formula>
    </cfRule>
  </conditionalFormatting>
  <conditionalFormatting sqref="V49">
    <cfRule type="cellIs" dxfId="39" priority="12" operator="greaterThan">
      <formula>0.15</formula>
    </cfRule>
  </conditionalFormatting>
  <conditionalFormatting sqref="V35">
    <cfRule type="cellIs" dxfId="40" priority="13" operator="greaterThan">
      <formula>0.15</formula>
    </cfRule>
  </conditionalFormatting>
  <conditionalFormatting sqref="V25:V35 V39:V49">
    <cfRule type="cellIs" dxfId="41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"/>
  </sheetPr>
  <dimension ref="A1:BR59"/>
  <sheetViews>
    <sheetView view="normal" zoomScale="80" workbookViewId="0">
      <selection activeCell="K6" sqref="K6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5">
      <c r="A1" s="155" t="s">
        <v>146</v>
      </c>
      <c r="B1" t="s">
        <v>1</v>
      </c>
      <c r="F1" s="196" t="s">
        <v>2</v>
      </c>
      <c r="G1" s="194">
        <f>IF(D3="SI",COUNTIF($F$6:$F$18,"RAP"),0)</f>
        <v>1</v>
      </c>
      <c r="H1" s="15"/>
      <c r="J1" s="197" t="s">
        <v>2</v>
      </c>
      <c r="K1" s="194">
        <f>IF(D3="SI",COUNTIF($J$6:$J$18,"RAP"),0)</f>
        <v>1</v>
      </c>
      <c r="L1" s="15"/>
      <c r="P1" s="155"/>
      <c r="Q1" s="155"/>
      <c r="R1" s="153"/>
      <c r="S1" s="153"/>
      <c r="U1" t="n">
        <v>1.5</v>
      </c>
      <c r="V1" t="n">
        <v>2.5</v>
      </c>
      <c r="W1" t="n">
        <v>3.5</v>
      </c>
      <c r="AI1" s="158"/>
    </row>
    <row r="2" spans="1:35">
      <c r="A2" s="155" t="s">
        <v>151</v>
      </c>
      <c r="B2" t="s">
        <v>1</v>
      </c>
      <c r="F2" s="196" t="s">
        <v>5</v>
      </c>
      <c r="G2" s="194">
        <f>IF(D3="SI",COUNTIF($F$6:$F$18,"TEC"),0)</f>
        <v>1</v>
      </c>
      <c r="H2" s="15"/>
      <c r="J2" s="197" t="s">
        <v>5</v>
      </c>
      <c r="K2" s="194">
        <f>IF(D3="SI",COUNTIF($J$6:$J$18,"TEC"),0)</f>
        <v>2</v>
      </c>
      <c r="L2" s="15"/>
      <c r="M2" s="160"/>
      <c r="O2" t="s">
        <v>6</v>
      </c>
      <c r="P2" s="203" t="n">
        <v>0.45</v>
      </c>
      <c r="R2" s="153"/>
      <c r="S2" s="153"/>
      <c r="Y2" t="s">
        <v>6</v>
      </c>
      <c r="Z2" s="204" t="n">
        <v>0.45</v>
      </c>
      <c r="AI2" s="15"/>
    </row>
    <row r="3" spans="1:40">
      <c r="A3" s="159" t="s">
        <v>7</v>
      </c>
      <c r="B3" s="206" t="s">
        <v>8</v>
      </c>
      <c r="C3" s="206"/>
      <c r="D3" t="str">
        <f>IF(B3="Sol","SI",IF(B3="Lluvia","SI","NO"))</f>
        <v>SI</v>
      </c>
      <c r="F3" s="196" t="s">
        <v>9</v>
      </c>
      <c r="G3" s="194">
        <f>IF(D3="SI",COUNTIF($F$6:$F$18,"POT"),0)</f>
        <v>0</v>
      </c>
      <c r="H3" s="15"/>
      <c r="J3" s="197" t="s">
        <v>9</v>
      </c>
      <c r="K3" s="194">
        <f>IF(D3="SI",COUNTIF($J$6:$J$18,"POT"),0)</f>
        <v>0</v>
      </c>
      <c r="L3" s="15"/>
      <c r="O3" t="s">
        <v>10</v>
      </c>
      <c r="P3" s="203" t="n">
        <v>0.569999999999999929</v>
      </c>
      <c r="Q3" t="s">
        <v>11</v>
      </c>
      <c r="R3" s="203" t="n">
        <v>0.7</v>
      </c>
      <c r="Y3" t="s">
        <v>10</v>
      </c>
      <c r="Z3" s="204" t="n">
        <v>0.569999999999999929</v>
      </c>
      <c r="AA3" t="s">
        <v>11</v>
      </c>
      <c r="AB3" s="204" t="n">
        <v>0.7</v>
      </c>
      <c r="AI3" s="199">
        <f>SUM(AI5:AI19)</f>
        <v>3.68369999999999997</v>
      </c>
      <c r="AM3" s="199">
        <f>SUM(AM5:AM19)</f>
        <v>3.68369999999999997</v>
      </c>
      <c r="AN3" s="199">
        <f>SUM(AN5:AN19)</f>
        <v>3.07500000000000018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G4" s="10" t="s">
        <v>28</v>
      </c>
      <c r="AH4" s="10" t="s">
        <v>29</v>
      </c>
      <c r="AI4" s="155" t="s">
        <v>30</v>
      </c>
      <c r="AK4" s="11" t="s">
        <v>28</v>
      </c>
      <c r="AL4" s="11" t="s">
        <v>29</v>
      </c>
      <c r="AM4" s="15" t="s">
        <v>31</v>
      </c>
      <c r="AO4" t="s">
        <v>32</v>
      </c>
      <c r="BH4" t="n">
        <v>0</v>
      </c>
      <c r="BI4" t="n">
        <v>1</v>
      </c>
      <c r="BJ4" s="109">
        <f>$H$25*H40</f>
        <v>0.00553166621957499949</v>
      </c>
      <c r="BL4" t="n">
        <v>0</v>
      </c>
      <c r="BM4" t="n">
        <v>0</v>
      </c>
      <c r="BN4" s="109">
        <f>H25*H39</f>
        <v>0.00100389069502400008</v>
      </c>
      <c r="BP4" t="n">
        <v>1</v>
      </c>
      <c r="BQ4" t="n">
        <v>0</v>
      </c>
      <c r="BR4" s="109">
        <f>$H$26*H39</f>
        <v>0.00263621880110000006</v>
      </c>
    </row>
    <row r="5" spans="1:70">
      <c r="A5" s="42" t="s">
        <v>33</v>
      </c>
      <c r="B5" s="156" t="n">
        <v>352</v>
      </c>
      <c r="C5" s="156" t="n">
        <v>352</v>
      </c>
      <c r="E5" s="189" t="s">
        <v>34</v>
      </c>
      <c r="F5" s="164" t="s">
        <v>35</v>
      </c>
      <c r="G5" s="164" t="n">
        <v>12</v>
      </c>
      <c r="H5" s="12"/>
      <c r="I5" s="12"/>
      <c r="J5" s="163" t="s">
        <v>35</v>
      </c>
      <c r="K5" s="163" t="n">
        <v>12</v>
      </c>
      <c r="L5" s="12"/>
      <c r="M5" s="12"/>
      <c r="O5" s="69">
        <f>AG5*AI5*AO5*AH5</f>
        <v>0.094458453658536996</v>
      </c>
      <c r="P5" s="201">
        <f>P3</f>
        <v>0.569999999999999929</v>
      </c>
      <c r="Q5" s="205">
        <f>P5*O5</f>
        <v>0.0538413185853659915</v>
      </c>
      <c r="R5" s="157">
        <f>IF($B$17="JC",IF($C$17="JC",$W$1,$V$1*1.1),IF($C$17="JC",$V$1/0.9,$U$1))*Q5/1.5</f>
        <v>0.0538413185853659915</v>
      </c>
      <c r="S5" s="173">
        <f>(1-R5)</f>
        <v>0.946158681414634017</v>
      </c>
      <c r="T5" s="174">
        <f>R5*PRODUCT(S6:S19)</f>
        <v>0.0457169661343170031</v>
      </c>
      <c r="U5" s="174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0.00759996912766600019</v>
      </c>
      <c r="V5" s="20"/>
      <c r="W5" s="183" t="s">
        <v>36</v>
      </c>
      <c r="X5" s="17" t="s">
        <v>37</v>
      </c>
      <c r="Y5" s="71">
        <f>AK5*AI5*AL5*AO5</f>
        <v>0</v>
      </c>
      <c r="Z5" s="71">
        <f>Z3</f>
        <v>0.569999999999999929</v>
      </c>
      <c r="AA5" s="71">
        <f>Z5*Y5</f>
        <v>0</v>
      </c>
      <c r="AB5" s="157">
        <f>IF($B$17="JC",IF($C$17="JC",$W$1,$V$1/0.9),IF($C$17="JC",$V$1*1.1,$U$1))*AA5/1.5</f>
        <v>0</v>
      </c>
      <c r="AC5" s="173">
        <f>(1-AB5)</f>
        <v>1</v>
      </c>
      <c r="AD5" s="174">
        <f>AB5*PRODUCT(AC6:AC19)</f>
        <v>0</v>
      </c>
      <c r="AE5" s="174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20"/>
      <c r="AG5" s="195">
        <f>IF(COUNTIF(F5:F10,"IMP")+COUNTIF(J5:J10,"IMP")=0,0,COUNTIF(F5:F10,"IMP")/(COUNTIF(F5:F10,"IMP")+COUNTIF(J5:J10,"IMP")))</f>
        <v>1</v>
      </c>
      <c r="AH5">
        <f>COUNTIF(F5:F10,"IMP")</f>
        <v>1</v>
      </c>
      <c r="AI5" s="198">
        <f>AN5*$AM$3/$AN$3</f>
        <v>0.566750721951220005</v>
      </c>
      <c r="AK5" s="195">
        <f>IF(COUNTIF(F5:F10,"IMP")+COUNTIF(J5:J10,"IMP")=0,0,COUNTIF(J5:J10,"IMP")/(COUNTIF(F5:F10,"IMP")+COUNTIF(J5:J10,"IMP")))</f>
        <v>0</v>
      </c>
      <c r="AL5">
        <f>COUNTIF(J5:J10,"IMP")</f>
        <v>0</v>
      </c>
      <c r="AM5" s="199" t="n">
        <v>0.473099999999999987</v>
      </c>
      <c r="AN5" s="200">
        <f>IF(AG5=0,IF(AK5=0,0,AM5),AM5)</f>
        <v>0.473099999999999987</v>
      </c>
      <c r="AO5">
        <f>1/6</f>
        <v>0.16666666666666698</v>
      </c>
      <c r="BH5" t="n">
        <v>0</v>
      </c>
      <c r="BI5" t="n">
        <v>2</v>
      </c>
      <c r="BJ5" s="109">
        <f>$H$25*H41</f>
        <v>0.0139457596329860012</v>
      </c>
      <c r="BL5" t="n">
        <v>1</v>
      </c>
      <c r="BM5" t="n">
        <v>1</v>
      </c>
      <c r="BN5" s="109">
        <f>$H$26*H40</f>
        <v>0.014526165609193999</v>
      </c>
      <c r="BP5">
        <f>BP4+1</f>
        <v>2</v>
      </c>
      <c r="BQ5" t="n">
        <v>0</v>
      </c>
      <c r="BR5" s="109">
        <f>$H$27*H39</f>
        <v>0.00316767230127299992</v>
      </c>
    </row>
    <row r="6" spans="1:70">
      <c r="A6" s="4" t="s">
        <v>38</v>
      </c>
      <c r="B6" s="165" t="n">
        <v>10.25</v>
      </c>
      <c r="C6" s="166" t="n">
        <v>10.75</v>
      </c>
      <c r="E6" s="189" t="s">
        <v>39</v>
      </c>
      <c r="F6" s="164" t="s">
        <v>40</v>
      </c>
      <c r="G6" s="164"/>
      <c r="H6" s="12"/>
      <c r="I6" s="12"/>
      <c r="J6" s="163" t="s">
        <v>35</v>
      </c>
      <c r="K6" s="163"/>
      <c r="L6" s="12"/>
      <c r="M6" s="12"/>
      <c r="O6" s="69">
        <f>AG6*AI6*AO6*AH6</f>
        <v>0</v>
      </c>
      <c r="P6" s="201">
        <f>P3</f>
        <v>0.569999999999999929</v>
      </c>
      <c r="Q6" s="205">
        <f>P6*O6</f>
        <v>0</v>
      </c>
      <c r="R6" s="157">
        <f>IF($B$17="JC",IF($C$17="JC",$W$1,$V$1*1.1),IF($C$17="JC",$V$1/0.9,$U$1))*Q6/1.5</f>
        <v>0</v>
      </c>
      <c r="S6" s="173">
        <f>(1-R6)</f>
        <v>1</v>
      </c>
      <c r="T6" s="174">
        <f>R6*S5*PRODUCT(S7:S19)</f>
        <v>0</v>
      </c>
      <c r="U6" s="174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</v>
      </c>
      <c r="V6" s="20"/>
      <c r="W6" s="183" t="s">
        <v>41</v>
      </c>
      <c r="X6" s="17" t="s">
        <v>42</v>
      </c>
      <c r="Y6" s="71">
        <f>AK6*AI6*AL6*AO6</f>
        <v>0.062188642682927</v>
      </c>
      <c r="Z6" s="71">
        <f>Z3</f>
        <v>0.569999999999999929</v>
      </c>
      <c r="AA6" s="71">
        <f>Z6*Y6</f>
        <v>0.0354475263292680021</v>
      </c>
      <c r="AB6" s="157">
        <f>IF($B$17="JC",IF($C$17="JC",$W$1,$V$1/0.9),IF($C$17="JC",$V$1*1.1,$U$1))*AA6/1.5</f>
        <v>0.0354475263292680021</v>
      </c>
      <c r="AC6" s="173">
        <f>(1-AB6)</f>
        <v>0.964552473670732091</v>
      </c>
      <c r="AD6" s="174">
        <f>AB6*AC5*PRODUCT(AC7:AC19)</f>
        <v>0.0230840222303620024</v>
      </c>
      <c r="AE6" s="174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0.0106042080963609986</v>
      </c>
      <c r="AF6" s="20"/>
      <c r="AG6" s="195">
        <f>IF(COUNTIF(F11:F18,"IMP")+COUNTIF(J11:J18,"IMP")=0,0,COUNTIF(F11:F18,"IMP")/(COUNTIF(F11:F18,"IMP")+COUNTIF(J11:J18,"IMP")))</f>
        <v>0</v>
      </c>
      <c r="AH6">
        <f>COUNTIF(F11:F18,"IMP")</f>
        <v>0</v>
      </c>
      <c r="AI6" s="198">
        <f>AN6*$AM$3/$AN$3</f>
        <v>0.497509141463415006</v>
      </c>
      <c r="AK6" s="195">
        <f>IF(COUNTIF(F11:F18,"IMP")+COUNTIF(J11:J18,"IMP")=0,0,COUNTIF(J11:J18,"IMP")/(COUNTIF(F11:F18,"IMP")+COUNTIF(J11:J18,"IMP")))</f>
        <v>1</v>
      </c>
      <c r="AL6">
        <f>COUNTIF(J11:J18,"IMP")</f>
        <v>1</v>
      </c>
      <c r="AM6" s="199" t="n">
        <v>0.415300000000000047</v>
      </c>
      <c r="AN6" s="200">
        <f>IF(AG6=0,IF(AK6=0,0,AM6),AM6)</f>
        <v>0.415300000000000047</v>
      </c>
      <c r="AO6">
        <f>1/8</f>
        <v>0.125</v>
      </c>
      <c r="BH6" t="n">
        <v>0</v>
      </c>
      <c r="BI6" t="n">
        <v>3</v>
      </c>
      <c r="BJ6" s="109">
        <f>$H$25*H42</f>
        <v>0.0212851568161189997</v>
      </c>
      <c r="BL6">
        <f>BH14+1</f>
        <v>2</v>
      </c>
      <c r="BM6" t="n">
        <v>2</v>
      </c>
      <c r="BN6" s="109">
        <f>$H$27*H41</f>
        <v>0.0440043888528539995</v>
      </c>
      <c r="BP6">
        <f>BL5+1</f>
        <v>2</v>
      </c>
      <c r="BQ6" t="n">
        <v>1</v>
      </c>
      <c r="BR6" s="109">
        <f>$H$27*H40</f>
        <v>0.0174545953563290013</v>
      </c>
    </row>
    <row r="7" spans="1:70">
      <c r="A7" s="7" t="s">
        <v>43</v>
      </c>
      <c r="B7" s="165" t="n">
        <v>11.75</v>
      </c>
      <c r="C7" s="166" t="n">
        <v>14.5</v>
      </c>
      <c r="E7" s="189" t="s">
        <v>44</v>
      </c>
      <c r="F7" s="164"/>
      <c r="G7" s="164"/>
      <c r="H7" s="12"/>
      <c r="I7" s="12"/>
      <c r="J7" s="163"/>
      <c r="K7" s="163"/>
      <c r="L7" s="12"/>
      <c r="M7" s="12"/>
      <c r="O7" s="69">
        <f>AG7*AI7*AO7*AH7</f>
        <v>0.00467200975609800029</v>
      </c>
      <c r="P7" s="201">
        <f>P2</f>
        <v>0.45</v>
      </c>
      <c r="Q7" s="205">
        <f>P7*O7</f>
        <v>0.00210240439024399972</v>
      </c>
      <c r="R7" s="157">
        <f>IF($B$17="JC",IF($C$17="JC",$W$1,$V$1*1.1),IF($C$17="JC",$V$1/0.9,$U$1))*Q7/1.5</f>
        <v>0.00210240439024399972</v>
      </c>
      <c r="S7" s="173">
        <f>(1-R7)</f>
        <v>0.997897595609756038</v>
      </c>
      <c r="T7" s="174">
        <f>R7*PRODUCT(S5:S6)*PRODUCT(S8:S19)</f>
        <v>0.00169260637350300014</v>
      </c>
      <c r="U7" s="174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0.000277812127812999954</v>
      </c>
      <c r="W7" s="184" t="s">
        <v>45</v>
      </c>
      <c r="X7" s="17" t="s">
        <v>46</v>
      </c>
      <c r="Y7" s="71">
        <f>AK7*AI7*AL7*AO7</f>
        <v>0</v>
      </c>
      <c r="Z7" s="71">
        <f>Z2</f>
        <v>0.45</v>
      </c>
      <c r="AA7" s="71">
        <f>Z7*Y7</f>
        <v>0</v>
      </c>
      <c r="AB7" s="157">
        <f>IF($B$17="JC",IF($C$17="JC",$W$1,$V$1/0.9),IF($C$17="JC",$V$1*1.1,$U$1))*AA7/1.5</f>
        <v>0</v>
      </c>
      <c r="AC7" s="173">
        <f>(1-AB7)</f>
        <v>1</v>
      </c>
      <c r="AD7" s="174">
        <f>AB7*PRODUCT(AC5:AC6)*PRODUCT(AC8:AC19)</f>
        <v>0</v>
      </c>
      <c r="AE7" s="174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AG7" s="195">
        <f>IF(COUNTIF(F14:F18,"IMP")+COUNTIF(J14:J18,"IMP")=0,0,COUNTIF(J14:J18,"IMP")/(COUNTIF(F14:F18,"IMP")+COUNTIF(J14:J18,"IMP")))</f>
        <v>1</v>
      </c>
      <c r="AH7">
        <f>COUNTIF(J14:J18,"IMP")</f>
        <v>1</v>
      </c>
      <c r="AI7" s="198">
        <f>AN7*$AM$3/$AN$3</f>
        <v>0.00467200975609800029</v>
      </c>
      <c r="AK7" s="195">
        <f>IF(COUNTIF(F14:F18,"IMP")+COUNTIF(J14:J18,"IMP")=0,0,COUNTIF(F14:F18,"IMP")/(COUNTIF(F14:F18,"IMP")+COUNTIF(J14:J18,"IMP")))</f>
        <v>0</v>
      </c>
      <c r="AL7">
        <f>COUNTIF(F14:F18,"IMP")</f>
        <v>0</v>
      </c>
      <c r="AM7" s="199" t="n">
        <v>0.00390000000000000036</v>
      </c>
      <c r="AN7" s="200">
        <f>IF(AG7=0,IF(AK7=0,0,AM7),AM7)</f>
        <v>0.00390000000000000036</v>
      </c>
      <c r="AO7" t="n">
        <v>1</v>
      </c>
      <c r="BH7" t="n">
        <v>0</v>
      </c>
      <c r="BI7" t="n">
        <v>4</v>
      </c>
      <c r="BJ7" s="109">
        <f>$H$25*H43</f>
        <v>0.0219308308663500018</v>
      </c>
      <c r="BL7">
        <f>BH23+1</f>
        <v>3</v>
      </c>
      <c r="BM7" t="n">
        <v>3</v>
      </c>
      <c r="BN7" s="109">
        <f>$H$28*H42</f>
        <v>0.0488741633113690011</v>
      </c>
      <c r="BP7">
        <f>BP5+1</f>
        <v>3</v>
      </c>
      <c r="BQ7" t="n">
        <v>0</v>
      </c>
      <c r="BR7" s="109">
        <f>$H$28*H39</f>
        <v>0.00230509543336900036</v>
      </c>
    </row>
    <row r="8" spans="1:70">
      <c r="A8" s="7" t="s">
        <v>47</v>
      </c>
      <c r="B8" s="165" t="n">
        <v>10.5</v>
      </c>
      <c r="C8" s="166" t="n">
        <v>14.25</v>
      </c>
      <c r="E8" s="189" t="s">
        <v>44</v>
      </c>
      <c r="F8" s="164" t="s">
        <v>5</v>
      </c>
      <c r="G8" s="164"/>
      <c r="H8" s="12"/>
      <c r="I8" s="12"/>
      <c r="J8" s="163" t="s">
        <v>35</v>
      </c>
      <c r="K8" s="163"/>
      <c r="L8" s="12"/>
      <c r="M8" s="12"/>
      <c r="O8" s="69">
        <f>AG8*AI8*AO8*AH8</f>
        <v>0.0211945215759849992</v>
      </c>
      <c r="P8" s="201">
        <f>P2</f>
        <v>0.45</v>
      </c>
      <c r="Q8" s="205">
        <f>P8*O8</f>
        <v>0.00953753470919299851</v>
      </c>
      <c r="R8" s="157">
        <f>IF($B$17="JC",IF($C$17="JC",$W$1,$V$1*1.1),IF($C$17="JC",$V$1/0.9,$U$1))*Q8/1.5</f>
        <v>0.00953753470919299851</v>
      </c>
      <c r="S8" s="173">
        <f>(1-R8)</f>
        <v>0.990462465290806904</v>
      </c>
      <c r="T8" s="174">
        <f>R8*PRODUCT(S5:S7)*PRODUCT(S9:S19)</f>
        <v>0.00773613077553600004</v>
      </c>
      <c r="U8" s="174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0.00119525826265099999</v>
      </c>
      <c r="W8" s="183" t="s">
        <v>48</v>
      </c>
      <c r="X8" s="17" t="s">
        <v>49</v>
      </c>
      <c r="Y8" s="71">
        <f>AK8*AI8*AL8*AO8</f>
        <v>0.0211945215759849992</v>
      </c>
      <c r="Z8" s="71">
        <f>Z2</f>
        <v>0.45</v>
      </c>
      <c r="AA8" s="71">
        <f>Z8*Y8</f>
        <v>0.00953753470919299851</v>
      </c>
      <c r="AB8" s="157">
        <f>IF($B$17="JC",IF($C$17="JC",$W$1,$V$1/0.9),IF($C$17="JC",$V$1*1.1,$U$1))*AA8/1.5</f>
        <v>0.00953753470919299851</v>
      </c>
      <c r="AC8" s="173">
        <f>(1-AB8)</f>
        <v>0.990462465290806904</v>
      </c>
      <c r="AD8" s="174">
        <f>AB8*PRODUCT(AC5:AC7)*PRODUCT(AC9:AC19)</f>
        <v>0.00604852553739899967</v>
      </c>
      <c r="AE8" s="174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0.00272029406723699996</v>
      </c>
      <c r="AG8" s="195">
        <f>IF(COUNTIF(F6:F18,"IMP")+COUNTIF(J6:J18,"IMP")=0,0,COUNTIF(F6:F18,"IMP")/(COUNTIF(F6:F18,"IMP")+COUNTIF(J6:J18,"IMP")))</f>
        <v>0.5</v>
      </c>
      <c r="AH8">
        <f>COUNTIF(F6:F18,"IMP")</f>
        <v>1</v>
      </c>
      <c r="AI8" s="198">
        <f>AN8*$AM$3/$AN$3</f>
        <v>0.551057560975610006</v>
      </c>
      <c r="AK8" s="195">
        <f>IF(COUNTIF(F6:F18,"IMP")+COUNTIF(J6:J18,"IMP")=0,0,COUNTIF(J6:J18,"IMP")/(COUNTIF(F6:F18,"IMP")+COUNTIF(J6:J18,"IMP")))</f>
        <v>0.5</v>
      </c>
      <c r="AL8">
        <f>COUNTIF(J6:J18,"IMP")</f>
        <v>1</v>
      </c>
      <c r="AM8" s="199" t="n">
        <v>0.460000000000000053</v>
      </c>
      <c r="AN8" s="200">
        <f>IF(AG8=0,IF(AK8=0,0,AM8),AM8)</f>
        <v>0.460000000000000053</v>
      </c>
      <c r="AO8">
        <f>1/13</f>
        <v>0.0769230769230769962</v>
      </c>
      <c r="BH8" t="n">
        <v>0</v>
      </c>
      <c r="BI8" t="n">
        <v>5</v>
      </c>
      <c r="BJ8" s="109">
        <f>$H$25*H44</f>
        <v>0.0161013460606959979</v>
      </c>
      <c r="BL8">
        <f>BH31+1</f>
        <v>4</v>
      </c>
      <c r="BM8" t="n">
        <v>4</v>
      </c>
      <c r="BN8" s="109">
        <f>$H$29*H43</f>
        <v>0.024753364028196998</v>
      </c>
      <c r="BP8">
        <f>BP6+1</f>
        <v>3</v>
      </c>
      <c r="BQ8" t="n">
        <v>1</v>
      </c>
      <c r="BR8" s="109">
        <f>$H$28*H40</f>
        <v>0.0127016004878469979</v>
      </c>
    </row>
    <row r="9" spans="1:70">
      <c r="A9" s="7" t="s">
        <v>50</v>
      </c>
      <c r="B9" s="165" t="n">
        <v>11.25</v>
      </c>
      <c r="C9" s="166" t="n">
        <v>16.5</v>
      </c>
      <c r="E9" s="189" t="s">
        <v>44</v>
      </c>
      <c r="F9" s="164"/>
      <c r="G9" s="164"/>
      <c r="H9" s="12"/>
      <c r="I9" s="12"/>
      <c r="J9" s="163"/>
      <c r="K9" s="163"/>
      <c r="L9" s="12"/>
      <c r="M9" s="12"/>
      <c r="O9" s="69">
        <f>AG9*AI9*AO9*AH9</f>
        <v>0</v>
      </c>
      <c r="P9" s="201">
        <f>P2</f>
        <v>0.45</v>
      </c>
      <c r="Q9" s="205">
        <f>P9*O9</f>
        <v>0</v>
      </c>
      <c r="R9" s="157">
        <f>IF($B$17="JC",IF($C$17="JC",$W$1,$V$1*1.1),IF($C$17="JC",$V$1/0.9,$U$1))*Q9/1.5</f>
        <v>0</v>
      </c>
      <c r="S9" s="173">
        <f>(1-R9)</f>
        <v>1</v>
      </c>
      <c r="T9" s="174">
        <f>R9*PRODUCT(S5:S8)*PRODUCT(S10:S19)</f>
        <v>0</v>
      </c>
      <c r="U9" s="174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4" t="s">
        <v>51</v>
      </c>
      <c r="X9" s="17" t="s">
        <v>52</v>
      </c>
      <c r="Y9" s="71">
        <f>AK9*AI9*AL9*AO9</f>
        <v>0.0137764390243899992</v>
      </c>
      <c r="Z9" s="71">
        <f>Z2</f>
        <v>0.45</v>
      </c>
      <c r="AA9" s="71">
        <f>Z9*Y9</f>
        <v>0.00619939756097600014</v>
      </c>
      <c r="AB9" s="157">
        <f>IF($B$17="JC",IF($C$17="JC",$W$1,$V$1/0.9),IF($C$17="JC",$V$1*1.1,$U$1))*AA9/1.5</f>
        <v>0.00619939756097600014</v>
      </c>
      <c r="AC9" s="173">
        <f>(1-AB9)</f>
        <v>0.993800602439024061</v>
      </c>
      <c r="AD9" s="174">
        <f>AB9*PRODUCT(AC5:AC8)*PRODUCT(AC10:AC19)</f>
        <v>0.00391833570566299993</v>
      </c>
      <c r="AE9" s="174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0.00173780900740500011</v>
      </c>
      <c r="AG9" s="195">
        <f>IF(COUNTIF(J6:J13,"IMP")+COUNTIF(F6:F13,"IMP")=0,0,COUNTIF(J6:J13,"IMP")/(COUNTIF(J6:J13,"IMP")+COUNTIF(F6:F13,"IMP")))</f>
        <v>0</v>
      </c>
      <c r="AH9">
        <f>COUNTIF(J6:J13,"IMP")</f>
        <v>0</v>
      </c>
      <c r="AI9" s="198">
        <f>AN9*$AM$3/$AN$3</f>
        <v>0.0137764390243899992</v>
      </c>
      <c r="AK9" s="195">
        <f>IF(COUNTIF(J6:J13,"IMP")+COUNTIF(F6:F13,"IMP")=0,0,COUNTIF(F6:F13,"IMP")/(COUNTIF(J6:J13,"IMP")+COUNTIF(F6:F13,"IMP")))</f>
        <v>1</v>
      </c>
      <c r="AL9">
        <f>COUNTIF(F6:F13,"IMP")</f>
        <v>1</v>
      </c>
      <c r="AM9" s="199" t="n">
        <v>0.0114999999999999991</v>
      </c>
      <c r="AN9" s="200">
        <f>IF(AG9=0,IF(AK9=0,0,AM9),AM9)</f>
        <v>0.0114999999999999991</v>
      </c>
      <c r="AO9" t="n">
        <v>1</v>
      </c>
      <c r="BH9" t="n">
        <v>0</v>
      </c>
      <c r="BI9" t="n">
        <v>6</v>
      </c>
      <c r="BJ9" s="109">
        <f>$H$25*H45</f>
        <v>0.00866588998594700044</v>
      </c>
      <c r="BL9">
        <f>BH38+1</f>
        <v>5</v>
      </c>
      <c r="BM9" t="n">
        <v>5</v>
      </c>
      <c r="BN9" s="109">
        <f>$H$30*H44</f>
        <v>0.00637300398982800154</v>
      </c>
      <c r="BP9">
        <f>BL6+1</f>
        <v>3</v>
      </c>
      <c r="BQ9" t="n">
        <v>2</v>
      </c>
      <c r="BR9" s="109">
        <f>$H$28*H41</f>
        <v>0.0320217200978060035</v>
      </c>
    </row>
    <row r="10" spans="1:70">
      <c r="A10" s="8" t="s">
        <v>53</v>
      </c>
      <c r="B10" s="165" t="n">
        <v>11.5</v>
      </c>
      <c r="C10" s="166" t="n">
        <v>16.25</v>
      </c>
      <c r="E10" s="189" t="s">
        <v>39</v>
      </c>
      <c r="F10" s="164" t="s">
        <v>35</v>
      </c>
      <c r="G10" s="164"/>
      <c r="H10" s="12"/>
      <c r="I10" s="12"/>
      <c r="J10" s="163" t="s">
        <v>148</v>
      </c>
      <c r="K10" s="163"/>
      <c r="L10" s="12"/>
      <c r="M10" s="12"/>
      <c r="O10" s="69">
        <f>AG10*AI10*AO10*AH10</f>
        <v>0.0374359756097560004</v>
      </c>
      <c r="P10" s="201">
        <f>P3</f>
        <v>0.569999999999999929</v>
      </c>
      <c r="Q10" s="205">
        <f>P10*O10</f>
        <v>0.0213385060975610008</v>
      </c>
      <c r="R10" s="157">
        <f>IF($B$17="JC",IF($C$17="JC",$W$1,$V$1*1.1),IF($C$17="JC",$V$1/0.9,$U$1))*Q10/1.5</f>
        <v>0.0213385060975610008</v>
      </c>
      <c r="S10" s="173">
        <f>(1-R10)</f>
        <v>0.978661493902438906</v>
      </c>
      <c r="T10" s="174">
        <f>R10*PRODUCT(S5:S9)*PRODUCT(S11:S19)</f>
        <v>0.0175168981004990005</v>
      </c>
      <c r="U10" s="174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0.00232448541391599983</v>
      </c>
      <c r="W10" s="183" t="s">
        <v>54</v>
      </c>
      <c r="X10" s="17" t="s">
        <v>55</v>
      </c>
      <c r="Y10" s="71">
        <f>AK10*AI10*AL10*AO10</f>
        <v>0.0374359756097560004</v>
      </c>
      <c r="Z10" s="71">
        <f>Z3</f>
        <v>0.569999999999999929</v>
      </c>
      <c r="AA10" s="71">
        <f>Z10*Y10</f>
        <v>0.0213385060975610008</v>
      </c>
      <c r="AB10" s="157">
        <f>IF($B$17="JC",IF($C$17="JC",$W$1,$V$1/0.9),IF($C$17="JC",$V$1*1.1,$U$1))*AA10/1.5</f>
        <v>0.0213385060975610008</v>
      </c>
      <c r="AC10" s="173">
        <f>(1-AB10)</f>
        <v>0.978661493902438906</v>
      </c>
      <c r="AD10" s="174">
        <f>AB10*PRODUCT(AC5:AC9)*PRODUCT(AC11:AC19)</f>
        <v>0.0136956585366849981</v>
      </c>
      <c r="AE10" s="174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0.00577550242722599982</v>
      </c>
      <c r="AG10" s="195">
        <f>IF(COUNTIF(F11:F18,"RAP")+COUNTIF(J11:J18,"RAP")=0,0,COUNTIF(F11:F18,"RAP")/(COUNTIF(F11:F18,"RAP")+COUNTIF(J11:J18,"RAP")))</f>
        <v>0.5</v>
      </c>
      <c r="AH10">
        <f>COUNTIF(F11:F18,"RAP")</f>
        <v>1</v>
      </c>
      <c r="AI10" s="198">
        <f>AN10*$AM$3/$AN$3</f>
        <v>0.59897560975609796</v>
      </c>
      <c r="AK10" s="195">
        <f>IF(COUNTIF(F11:F18,"RAP")+COUNTIF(J11:J18,"RAP")=0,0,COUNTIF(J11:J18,"RAP")/(COUNTIF(F11:F18,"RAP")+COUNTIF(J11:J18,"RAP")))</f>
        <v>0.5</v>
      </c>
      <c r="AL10">
        <f>COUNTIF(J11:J18,"RAP")</f>
        <v>1</v>
      </c>
      <c r="AM10" s="199" t="n">
        <v>0.5</v>
      </c>
      <c r="AN10" s="200">
        <f>IF(AG10=0,IF(AK10=0,0,AM10),AM10)</f>
        <v>0.5</v>
      </c>
      <c r="AO10">
        <f>1/8</f>
        <v>0.125</v>
      </c>
      <c r="BH10" t="n">
        <v>0</v>
      </c>
      <c r="BI10" t="n">
        <v>7</v>
      </c>
      <c r="BJ10" s="109">
        <f>$H$25*H46</f>
        <v>0.00346411215283299967</v>
      </c>
      <c r="BL10">
        <f>BH44+1</f>
        <v>6</v>
      </c>
      <c r="BM10" t="n">
        <v>6</v>
      </c>
      <c r="BN10" s="109">
        <f>$H$31*H45</f>
        <v>0.000883380870560000098</v>
      </c>
      <c r="BP10">
        <f>BP7+1</f>
        <v>4</v>
      </c>
      <c r="BQ10" t="n">
        <v>0</v>
      </c>
      <c r="BR10" s="109">
        <f>$H$29*H39</f>
        <v>0.00113309304010900003</v>
      </c>
    </row>
    <row r="11" spans="1:70">
      <c r="A11" s="8" t="s">
        <v>56</v>
      </c>
      <c r="B11" s="165" t="n">
        <v>17.5</v>
      </c>
      <c r="C11" s="166" t="n">
        <v>10.5</v>
      </c>
      <c r="E11" s="189" t="s">
        <v>57</v>
      </c>
      <c r="F11" s="164" t="s">
        <v>35</v>
      </c>
      <c r="G11" s="164"/>
      <c r="H11" s="12"/>
      <c r="I11" s="12"/>
      <c r="J11" s="163" t="s">
        <v>148</v>
      </c>
      <c r="K11" s="163"/>
      <c r="L11" s="12"/>
      <c r="M11" s="12"/>
      <c r="O11" s="69">
        <f>AG11*AI11*AO11*AH11</f>
        <v>0.0374359756097560004</v>
      </c>
      <c r="P11" s="201">
        <f>P3</f>
        <v>0.569999999999999929</v>
      </c>
      <c r="Q11" s="205">
        <f>P11*O11</f>
        <v>0.0213385060975610008</v>
      </c>
      <c r="R11" s="157">
        <f>IF($B$17="JC",IF($C$17="JC",$W$1,$V$1*1.1),IF($C$17="JC",$V$1/0.9,$U$1))*Q11/1.5</f>
        <v>0.0213385060975610008</v>
      </c>
      <c r="S11" s="173">
        <f>(1-R11)</f>
        <v>0.978661493902438906</v>
      </c>
      <c r="T11" s="174">
        <f>R11*PRODUCT(S5:S10)*PRODUCT(S12:S19)</f>
        <v>0.0175168981004990005</v>
      </c>
      <c r="U11" s="174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0.00194255106863100018</v>
      </c>
      <c r="W11" s="183" t="s">
        <v>58</v>
      </c>
      <c r="X11" s="17" t="s">
        <v>59</v>
      </c>
      <c r="Y11" s="71">
        <f>AK11*AI11*AL11*AO11</f>
        <v>0.0374359756097560004</v>
      </c>
      <c r="Z11" s="71">
        <f>Z3</f>
        <v>0.569999999999999929</v>
      </c>
      <c r="AA11" s="71">
        <f>Z11*Y11</f>
        <v>0.0213385060975610008</v>
      </c>
      <c r="AB11" s="157">
        <f>IF($B$17="JC",IF($C$17="JC",$W$1,$V$1/0.9),IF($C$17="JC",$V$1*1.1,$U$1))*AA11/1.5</f>
        <v>0.0213385060975610008</v>
      </c>
      <c r="AC11" s="173">
        <f>(1-AB11)</f>
        <v>0.978661493902438906</v>
      </c>
      <c r="AD11" s="174">
        <f>AB11*PRODUCT(AC5:AC10)*PRODUCT(AC12:AC19)</f>
        <v>0.0136956585366849981</v>
      </c>
      <c r="AE11" s="174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0.00547688549479599995</v>
      </c>
      <c r="AG11" s="195">
        <f>IF(COUNTIF(F11:F18,"RAP")+COUNTIF(J11:J18,"RAP")=0,0,COUNTIF(F11:F18,"RAP")/(COUNTIF(F11:F18,"RAP")+COUNTIF(J11:J18,"RAP")))</f>
        <v>0.5</v>
      </c>
      <c r="AH11">
        <f>COUNTIF(F11:F18,"RAP")</f>
        <v>1</v>
      </c>
      <c r="AI11" s="198">
        <f>AN11*$AM$3/$AN$3</f>
        <v>0.59897560975609796</v>
      </c>
      <c r="AK11" s="195">
        <f>IF(COUNTIF(F11:F18,"RAP")+COUNTIF(J11:J18,"RAP")=0,0,COUNTIF(J11:J18,"RAP")/(COUNTIF(F11:F18,"RAP")+COUNTIF(J11:J18,"RAP")))</f>
        <v>0.5</v>
      </c>
      <c r="AL11">
        <f>COUNTIF(J11:J18,"RAP")</f>
        <v>1</v>
      </c>
      <c r="AM11" s="199" t="n">
        <v>0.5</v>
      </c>
      <c r="AN11" s="200">
        <f>IF(AG11=0,IF(AK11=0,0,AM11),AM11)</f>
        <v>0.5</v>
      </c>
      <c r="AO11">
        <f>1/8</f>
        <v>0.125</v>
      </c>
      <c r="BH11" t="n">
        <v>0</v>
      </c>
      <c r="BI11" t="n">
        <v>8</v>
      </c>
      <c r="BJ11" s="109">
        <f>$H$25*H47</f>
        <v>0.00103047864224800012</v>
      </c>
      <c r="BL11">
        <f>BH50+1</f>
        <v>7</v>
      </c>
      <c r="BM11" t="n">
        <v>7</v>
      </c>
      <c r="BN11" s="109">
        <f>$H$32*H46</f>
        <v>0.0000677396304990000075</v>
      </c>
      <c r="BP11">
        <f>BP8+1</f>
        <v>4</v>
      </c>
      <c r="BQ11" t="n">
        <v>1</v>
      </c>
      <c r="BR11" s="109">
        <f>$H$29*H40</f>
        <v>0.00624360054801799969</v>
      </c>
    </row>
    <row r="12" spans="1:70">
      <c r="A12" s="8" t="s">
        <v>60</v>
      </c>
      <c r="B12" s="165" t="n">
        <v>12</v>
      </c>
      <c r="C12" s="166" t="n">
        <v>17.5</v>
      </c>
      <c r="E12" s="189" t="s">
        <v>57</v>
      </c>
      <c r="F12" s="164"/>
      <c r="G12" s="164"/>
      <c r="H12" s="12"/>
      <c r="I12" s="12"/>
      <c r="J12" s="163" t="s">
        <v>35</v>
      </c>
      <c r="K12" s="163"/>
      <c r="L12" s="12"/>
      <c r="M12" s="12"/>
      <c r="O12" s="69">
        <f>AG12*AI12*AO12*AH12</f>
        <v>0.0034441097560980003</v>
      </c>
      <c r="P12" s="201">
        <f>P2</f>
        <v>0.45</v>
      </c>
      <c r="Q12" s="205">
        <f>P12*O12</f>
        <v>0.00154984939024399999</v>
      </c>
      <c r="R12" s="157">
        <f>IF($B$17="JC",IF($C$17="JC",$W$1,$V$1*1.1),IF($C$17="JC",$V$1/0.9,$U$1))*Q12/1.5</f>
        <v>0.00154984939024399999</v>
      </c>
      <c r="S12" s="173">
        <f>(1-R12)</f>
        <v>0.998450150609756015</v>
      </c>
      <c r="T12" s="174">
        <f>R12*PRODUCT(S5:S11)*PRODUCT(S13:S19)</f>
        <v>0.00124706417511000001</v>
      </c>
      <c r="U12" s="174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0.000136358463140999997</v>
      </c>
      <c r="W12" s="184" t="s">
        <v>61</v>
      </c>
      <c r="X12" s="17" t="s">
        <v>62</v>
      </c>
      <c r="Y12" s="71">
        <f>AK12*AI12*AL12*AO12</f>
        <v>0.0034441097560980003</v>
      </c>
      <c r="Z12" s="71">
        <f>Z2</f>
        <v>0.45</v>
      </c>
      <c r="AA12" s="71">
        <f>Z12*Y12</f>
        <v>0.00154984939024399999</v>
      </c>
      <c r="AB12" s="157">
        <f>IF($B$17="JC",IF($C$17="JC",$W$1,$V$1/0.9),IF($C$17="JC",$V$1*1.1,$U$1))*AA12/1.5</f>
        <v>0.00154984939024399999</v>
      </c>
      <c r="AC12" s="173">
        <f>(1-AB12)</f>
        <v>0.998450150609756015</v>
      </c>
      <c r="AD12" s="174">
        <f>AB12*PRODUCT(AC5:AC11)*PRODUCT(AC13:AC19)</f>
        <v>0.000975022233825999862</v>
      </c>
      <c r="AE12" s="174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0.000388397313281000045</v>
      </c>
      <c r="AG12" s="195">
        <f>IF(COUNTA(F6:F10)+COUNTA(J6:J10)=0,0,COUNTA(F6:F10)/(COUNTA(F6:F10)+COUNTA(J6:J10)))</f>
        <v>0.5</v>
      </c>
      <c r="AH12">
        <f>COUNTA(J6:J10)</f>
        <v>3</v>
      </c>
      <c r="AI12" s="198">
        <f>AN12*$AM$3/$AN$3</f>
        <v>0.0137764390243899992</v>
      </c>
      <c r="AK12" s="195">
        <f>IF(COUNTA(J6:J10)+COUNTA(F6:F10)=0,0,COUNTA(J6:J10)/(COUNTA(J6:J10)+COUNTA(F6:F10)))</f>
        <v>0.5</v>
      </c>
      <c r="AL12">
        <f>COUNTA(F6:F10)</f>
        <v>3</v>
      </c>
      <c r="AM12" s="199" t="n">
        <v>0.0114999999999999991</v>
      </c>
      <c r="AN12" s="200">
        <f>IF(AG12=0,IF(AK12=0,0,AM12),AM12)</f>
        <v>0.0114999999999999991</v>
      </c>
      <c r="AO12">
        <f>1/6</f>
        <v>0.16666666666666698</v>
      </c>
      <c r="BH12" t="n">
        <v>0</v>
      </c>
      <c r="BI12" t="n">
        <v>9</v>
      </c>
      <c r="BJ12" s="109">
        <f>$H$25*H48</f>
        <v>0.000226215424333000037</v>
      </c>
      <c r="BL12">
        <f>BH54+1</f>
        <v>8</v>
      </c>
      <c r="BM12" t="n">
        <v>8</v>
      </c>
      <c r="BN12" s="109">
        <f>$H$33*H47</f>
        <v>2.88844777791842188E-06</v>
      </c>
      <c r="BP12">
        <f>BP9+1</f>
        <v>4</v>
      </c>
      <c r="BQ12" t="n">
        <v>2</v>
      </c>
      <c r="BR12" s="109">
        <f>$H$29*H41</f>
        <v>0.0157406013000040002</v>
      </c>
    </row>
    <row r="13" spans="1:70">
      <c r="A13" s="9" t="s">
        <v>63</v>
      </c>
      <c r="B13" s="165" t="n">
        <v>6.5</v>
      </c>
      <c r="C13" s="166" t="n">
        <v>12.5</v>
      </c>
      <c r="E13" s="189" t="s">
        <v>57</v>
      </c>
      <c r="F13" s="164" t="s">
        <v>35</v>
      </c>
      <c r="G13" s="164"/>
      <c r="H13" s="12"/>
      <c r="I13" s="12"/>
      <c r="J13" s="163" t="s">
        <v>5</v>
      </c>
      <c r="K13" s="163"/>
      <c r="L13" s="12"/>
      <c r="M13" s="12"/>
      <c r="O13" s="69">
        <f>AG13*AI13*AO13*AH13</f>
        <v>0.0861284142857140012</v>
      </c>
      <c r="P13" s="201">
        <f>P3</f>
        <v>0.569999999999999929</v>
      </c>
      <c r="Q13" s="205">
        <f>P13*O13</f>
        <v>0.0490931961428570052</v>
      </c>
      <c r="R13" s="157">
        <f>IF($B$17="JC",IF($C$17="JC",$W$1,$V$1*1.1),IF($C$17="JC",$V$1/0.9,$U$1))*Q13/1.5</f>
        <v>0.0490931961428570052</v>
      </c>
      <c r="S13" s="173">
        <f>(1-R13)</f>
        <v>0.950906803857142968</v>
      </c>
      <c r="T13" s="174">
        <f>R13*PRODUCT(S5:S12)*PRODUCT(S14:S19)</f>
        <v>0.0414771632132309964</v>
      </c>
      <c r="U13" s="174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0.00239388819995499968</v>
      </c>
      <c r="W13" s="183" t="s">
        <v>64</v>
      </c>
      <c r="X13" s="17" t="s">
        <v>65</v>
      </c>
      <c r="Y13" s="71">
        <f>AK13*AI13*AL13*AO13</f>
        <v>0.0903298003484319878</v>
      </c>
      <c r="Z13" s="71">
        <f>Z3</f>
        <v>0.569999999999999929</v>
      </c>
      <c r="AA13" s="71">
        <f>Z13*Y13</f>
        <v>0.051487986198605995</v>
      </c>
      <c r="AB13" s="157">
        <f>IF($B$17="JC",IF($C$17="JC",$W$1,$V$1/0.9),IF($C$17="JC",$V$1*1.1,$U$1))*AA13/1.5</f>
        <v>0.051487986198605995</v>
      </c>
      <c r="AC13" s="173">
        <f>(1-AB13)</f>
        <v>0.948512013801394005</v>
      </c>
      <c r="AD13" s="174">
        <f>AB13*PRODUCT(AC5:AC12)*PRODUCT(AC14:AC19)</f>
        <v>0.0340968672901659975</v>
      </c>
      <c r="AE13" s="174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0.0117315124333349985</v>
      </c>
      <c r="AG13" s="195">
        <f>B22</f>
        <v>0.488095238095238049</v>
      </c>
      <c r="AH13" t="n">
        <v>1</v>
      </c>
      <c r="AI13" s="198">
        <f>AN13*$AM$3/$AN$3</f>
        <v>0.176458214634145989</v>
      </c>
      <c r="AK13" s="195">
        <f>C22</f>
        <v>0.511904761904761951</v>
      </c>
      <c r="AL13" t="n">
        <v>1</v>
      </c>
      <c r="AM13" s="199" t="n">
        <v>0.147299999999999986</v>
      </c>
      <c r="AN13" s="200">
        <f>IF(AG13=0,IF(AK13=0,0,AM13),AM13)</f>
        <v>0.147299999999999986</v>
      </c>
      <c r="AO13" t="n">
        <v>1</v>
      </c>
      <c r="BH13" t="n">
        <v>0</v>
      </c>
      <c r="BI13" t="n">
        <v>10</v>
      </c>
      <c r="BJ13" s="109">
        <f>$H$25*H49</f>
        <v>0.0000358822681419999956</v>
      </c>
      <c r="BL13">
        <f>BH57+1</f>
        <v>9</v>
      </c>
      <c r="BM13" t="n">
        <v>9</v>
      </c>
      <c r="BN13" s="109">
        <f>$H$34*H48</f>
        <v>6.744831822758834124E-08</v>
      </c>
      <c r="BP13">
        <f>BL7+1</f>
        <v>4</v>
      </c>
      <c r="BQ13" t="n">
        <v>3</v>
      </c>
      <c r="BR13" s="109">
        <f>$H$29*H42</f>
        <v>0.0240245906904999984</v>
      </c>
    </row>
    <row r="14" spans="1:70">
      <c r="A14" s="9" t="s">
        <v>66</v>
      </c>
      <c r="B14" s="165" t="n">
        <v>5.5</v>
      </c>
      <c r="C14" s="166" t="n">
        <v>10.75</v>
      </c>
      <c r="E14" s="189" t="s">
        <v>67</v>
      </c>
      <c r="F14" s="164" t="s">
        <v>35</v>
      </c>
      <c r="G14" s="164"/>
      <c r="H14" s="12"/>
      <c r="I14" s="12"/>
      <c r="J14" s="163" t="s">
        <v>40</v>
      </c>
      <c r="K14" s="163"/>
      <c r="L14" s="12"/>
      <c r="M14" s="12"/>
      <c r="O14" s="69">
        <f>AG14*AI14*AO14*AH14</f>
        <v>0</v>
      </c>
      <c r="P14" s="201">
        <f>IF(COUNTIF(F6:F18,"CAB")-COUNTIF(J6:J18,"CAB")&gt;2,0.8,IF(COUNTIF(F6:F18,"CAB")-COUNTIF(J6:J18,"CAB")&gt;0,0.6,IF(COUNTIF(F6:F18,"CAB")-COUNTIF(J6:J18,"CAB")=0,0.5,0.15)))</f>
        <v>0.15</v>
      </c>
      <c r="Q14" s="205">
        <f>P14*O14</f>
        <v>0</v>
      </c>
      <c r="R14" s="157">
        <f>IF($B$17="JC",IF($C$17="JC",$W$1,$V$1*1.1),IF($C$17="JC",$V$1/0.9,$U$1))*Q14/1.5</f>
        <v>0</v>
      </c>
      <c r="S14" s="173">
        <f>(1-R14)</f>
        <v>1</v>
      </c>
      <c r="T14" s="174">
        <f>R14*PRODUCT(S5:S13)*PRODUCT(S15:S19)</f>
        <v>0</v>
      </c>
      <c r="U14" s="174">
        <f>R14*R15*PRODUCT(S5:S13)*PRODUCT(S16:S19)+R14*R16*PRODUCT(S5:S13)*S15*PRODUCT(S17:S19)+R14*R17*PRODUCT(S5:S13)*PRODUCT(S15:S16)*PRODUCT(S18:S19)+R14*R18*PRODUCT(S5:S13)*PRODUCT(S15:S17)*PRODUCT(S19)+R14*R19*PRODUCT(S5:S13)*PRODUCT(S15:S18)</f>
        <v>0</v>
      </c>
      <c r="W14" s="183" t="s">
        <v>68</v>
      </c>
      <c r="X14" s="17" t="s">
        <v>69</v>
      </c>
      <c r="Y14" s="71">
        <f>AK14*AI14*AL14*AO14</f>
        <v>0.250731190243902002</v>
      </c>
      <c r="Z14" s="202">
        <f>IF(COUNTIF(J6:J18,"CAB")-COUNTIF(F6:F18,"CAB")&gt;2,0.8,IF(COUNTIF(J6:J18,"CAB")-COUNTIF(F6:F18,"CAB")&gt;0,0.6,IF(COUNTIF(J6:J18,"CAB")-COUNTIF(F6:F18,"CAB")=0,0.5,0.15)))</f>
        <v>0.8</v>
      </c>
      <c r="AA14" s="71">
        <f>Z14*Y14</f>
        <v>0.200584952195122002</v>
      </c>
      <c r="AB14" s="157">
        <f>IF($B$17="JC",IF($C$17="JC",$W$1,$V$1/0.9),IF($C$17="JC",$V$1*1.1,$U$1))*AA14/1.5</f>
        <v>0.200584952195122002</v>
      </c>
      <c r="AC14" s="173">
        <f>(1-AB14)</f>
        <v>0.799415047804878043</v>
      </c>
      <c r="AD14" s="174">
        <f>AB14*PRODUCT(AC5:AC13)*PRODUCT(AC15:AC19)</f>
        <v>0.157607703001885007</v>
      </c>
      <c r="AE14" s="174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0.0146810905024519993</v>
      </c>
      <c r="AG14" s="195">
        <f>IF(AL14=0,1,B22)</f>
        <v>0.488095238095238049</v>
      </c>
      <c r="AH14">
        <f>IF(COUNTIF(F6:F18,"CAB")&gt;0,1,0)</f>
        <v>0</v>
      </c>
      <c r="AI14" s="198">
        <f>AN14*$AM$3/$AN$3</f>
        <v>0.250731190243902002</v>
      </c>
      <c r="AK14" s="195">
        <f>IF(AH14=0,1,C22)</f>
        <v>1</v>
      </c>
      <c r="AL14">
        <f>IF(COUNTIF(J6:J18,"CAB")&gt;0,1,0)</f>
        <v>1</v>
      </c>
      <c r="AM14" s="199" t="n">
        <v>0.209299999999999997</v>
      </c>
      <c r="AN14" s="200">
        <f>IF(AG14=0,IF(AK14=0,0,AM14),AM14)</f>
        <v>0.209299999999999997</v>
      </c>
      <c r="AO14" t="n">
        <v>1</v>
      </c>
      <c r="BH14" t="n">
        <v>1</v>
      </c>
      <c r="BI14" t="n">
        <v>2</v>
      </c>
      <c r="BJ14" s="109">
        <f>$H$26*H41</f>
        <v>0.0366215903009279975</v>
      </c>
      <c r="BL14">
        <f>BP39+1</f>
        <v>10</v>
      </c>
      <c r="BM14" t="n">
        <v>10</v>
      </c>
      <c r="BN14" s="109">
        <f>$H$35*H49</f>
        <v>8.278166735758021073E-10</v>
      </c>
      <c r="BP14">
        <f>BP10+1</f>
        <v>5</v>
      </c>
      <c r="BQ14" t="n">
        <v>0</v>
      </c>
      <c r="BR14" s="109">
        <f>$H$30*H39</f>
        <v>0.000397345624435999909</v>
      </c>
    </row>
    <row r="15" spans="1:70">
      <c r="A15" s="186" t="s">
        <v>70</v>
      </c>
      <c r="B15" s="167" t="n">
        <v>3</v>
      </c>
      <c r="C15" s="168" t="n">
        <v>8.25</v>
      </c>
      <c r="E15" s="189" t="s">
        <v>67</v>
      </c>
      <c r="F15" s="164" t="s">
        <v>35</v>
      </c>
      <c r="G15" s="164"/>
      <c r="H15" s="12"/>
      <c r="I15" s="12"/>
      <c r="J15" s="163" t="s">
        <v>148</v>
      </c>
      <c r="K15" s="163"/>
      <c r="L15" s="12"/>
      <c r="M15" s="12"/>
      <c r="O15" s="69">
        <f>AG15*AI15*AO15*AH15</f>
        <v>0.0228038571428570025</v>
      </c>
      <c r="P15" s="201">
        <f>R3</f>
        <v>0.7</v>
      </c>
      <c r="Q15" s="205">
        <f>P15*O15</f>
        <v>0.0159626999999999981</v>
      </c>
      <c r="R15" s="157">
        <f>IF($B$17="JC",IF($C$17="JC",$W$1,$V$1*1.1),IF($C$17="JC",$V$1/0.9,$U$1))*Q15/1.5</f>
        <v>0.0159626999999999981</v>
      </c>
      <c r="S15" s="173">
        <f>(1-R15)</f>
        <v>0.984037299999999959</v>
      </c>
      <c r="T15" s="174">
        <f>R15*PRODUCT(S5:S14)*PRODUCT(S16:S19)</f>
        <v>0.0130322824611129984</v>
      </c>
      <c r="U15" s="174">
        <f>R15*R16*PRODUCT(S5:S14)*PRODUCT(S17:S19)+R15*R17*PRODUCT(S5:S14)*S16*PRODUCT(S18:S19)+R15*R18*PRODUCT(S5:S14)*S16*S17*S19+R15*R19*PRODUCT(S5:S14)*S16*S17*S18</f>
        <v>0.000540763768804000033</v>
      </c>
      <c r="W15" s="183" t="s">
        <v>71</v>
      </c>
      <c r="X15" s="17" t="s">
        <v>72</v>
      </c>
      <c r="Y15" s="71">
        <f>AK15*AI15*AL15*AO15</f>
        <v>0.0239162404181189991</v>
      </c>
      <c r="Z15" s="71">
        <f>AB3</f>
        <v>0.7</v>
      </c>
      <c r="AA15" s="71">
        <f>Z15*Y15</f>
        <v>0.0167413682926829992</v>
      </c>
      <c r="AB15" s="157">
        <f>IF($B$17="JC",IF($C$17="JC",$W$1,$V$1/0.9),IF($C$17="JC",$V$1*1.1,$U$1))*AA15/1.5</f>
        <v>0.0167413682926829992</v>
      </c>
      <c r="AC15" s="173">
        <f>(1-AB15)</f>
        <v>0.983258631707317043</v>
      </c>
      <c r="AD15" s="174">
        <f>AB15*PRODUCT(AC5:AC14)*PRODUCT(AC16:AC19)</f>
        <v>0.0106948473990879989</v>
      </c>
      <c r="AE15" s="174">
        <f>AB15*AB16*PRODUCT(AC5:AC14)*PRODUCT(AC17:AC19)+AB15*AB17*PRODUCT(AC5:AC14)*AC16*PRODUCT(AC18:AC19)+AB15*AB18*PRODUCT(AC5:AC14)*AC16*AC17*AC19+AB15*AB19*PRODUCT(AC5:AC14)*AC16*AC17*AC18</f>
        <v>0.000814125589722000065</v>
      </c>
      <c r="AG15" s="195">
        <f>IF(AL15=0,1,B22)</f>
        <v>0.488095238095238049</v>
      </c>
      <c r="AH15" t="n">
        <v>1</v>
      </c>
      <c r="AI15" s="198">
        <f>AN15*$AM$3/$AN$3</f>
        <v>0.0467200975609759972</v>
      </c>
      <c r="AK15" s="195">
        <f>IF(AH15=0,1,C22)</f>
        <v>0.511904761904761951</v>
      </c>
      <c r="AL15" t="n">
        <v>1</v>
      </c>
      <c r="AM15" s="199" t="n">
        <v>0.0390000000000000036</v>
      </c>
      <c r="AN15" s="200">
        <f>IF(AG15=0,IF(AK15=0,0,AM15),AM15)</f>
        <v>0.0390000000000000036</v>
      </c>
      <c r="AO15" t="n">
        <v>1</v>
      </c>
      <c r="BH15" t="n">
        <v>1</v>
      </c>
      <c r="BI15" t="n">
        <v>3</v>
      </c>
      <c r="BJ15" s="109">
        <f>$H$26*H42</f>
        <v>0.0558948607264929986</v>
      </c>
      <c r="BP15">
        <f>BP11+1</f>
        <v>5</v>
      </c>
      <c r="BQ15" t="n">
        <v>1</v>
      </c>
      <c r="BR15" s="109">
        <f>$H$30*H40</f>
        <v>0.00218946482827300004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 t="s">
        <v>2</v>
      </c>
      <c r="G16" s="164"/>
      <c r="H16" s="12"/>
      <c r="I16" s="12"/>
      <c r="J16" s="163" t="s">
        <v>5</v>
      </c>
      <c r="K16" s="163"/>
      <c r="L16" s="12"/>
      <c r="M16" s="12"/>
      <c r="O16" s="69">
        <f>AG16*AI16*AO16*AH16</f>
        <v>0.0191329923344950004</v>
      </c>
      <c r="P16" s="201" t="n">
        <v>0.15</v>
      </c>
      <c r="Q16" s="205">
        <f>P16*O16</f>
        <v>0.00286994885017399994</v>
      </c>
      <c r="R16" s="157">
        <f>IF($B$17="JC",IF($C$17="JC",$W$1,$V$1*1.1),IF($C$17="JC",$V$1/0.9,$U$1))*Q16/1.5</f>
        <v>0.00286994885017399994</v>
      </c>
      <c r="S16" s="173">
        <f>(1-R16)</f>
        <v>0.997130051149826002</v>
      </c>
      <c r="T16" s="174">
        <f>R16*PRODUCT(S5:S15)*PRODUCT(S17:S19)</f>
        <v>0.00231232058174999988</v>
      </c>
      <c r="U16" s="174">
        <f>R16*R17*PRODUCT(S5:S15)*PRODUCT(S18:S19)+R16*R18*PRODUCT(S5:S15)*S17*S19+R16*R19*PRODUCT(S5:S15)*S17*S18</f>
        <v>0.0000892924854410000002</v>
      </c>
      <c r="W16" s="184" t="s">
        <v>75</v>
      </c>
      <c r="X16" s="17" t="s">
        <v>76</v>
      </c>
      <c r="Y16" s="71">
        <f>AK16*AI16*AL16*AO16</f>
        <v>0.018243085714284998</v>
      </c>
      <c r="Z16" s="71" t="n">
        <v>0.15</v>
      </c>
      <c r="AA16" s="71">
        <f>Z16*Y16</f>
        <v>0.00273646285714300053</v>
      </c>
      <c r="AB16" s="157">
        <f>IF($B$17="JC",IF($C$17="JC",$W$1,$V$1/0.9),IF($C$17="JC",$V$1*1.1,$U$1))*AA16/1.5</f>
        <v>0.00273646285714300053</v>
      </c>
      <c r="AC16" s="173">
        <f>(1-AB16)</f>
        <v>0.997263537142857004</v>
      </c>
      <c r="AD16" s="174">
        <f>AB16*PRODUCT(AC5:AC15)*PRODUCT(AC17:AC19)</f>
        <v>0.00172357833594299947</v>
      </c>
      <c r="AE16" s="174">
        <f>AB16*AB17*PRODUCT(AC5:AC15)*PRODUCT(AC18:AC19)+AB16*AB18*PRODUCT(AC5:AC15)*AC17*AC19+AB16*AB19*PRODUCT(AC5:AC15)*AC17*AC18</f>
        <v>0.00012647478098699998</v>
      </c>
      <c r="AG16" s="195">
        <f>C22</f>
        <v>0.511904761904761951</v>
      </c>
      <c r="AH16" t="n">
        <v>1</v>
      </c>
      <c r="AI16" s="198">
        <f>AN16*$AM$3/$AN$3</f>
        <v>0.0373760780487800037</v>
      </c>
      <c r="AK16" s="195">
        <f>B22</f>
        <v>0.488095238095238049</v>
      </c>
      <c r="AL16" t="n">
        <v>1</v>
      </c>
      <c r="AM16" s="199" t="n">
        <v>0.0312000000000000011</v>
      </c>
      <c r="AN16" s="200">
        <f>IF(AG16=0,IF(AK16=0,0,AM16),AM16)</f>
        <v>0.0312000000000000011</v>
      </c>
      <c r="AO16" t="n">
        <v>1</v>
      </c>
      <c r="BH16" t="n">
        <v>1</v>
      </c>
      <c r="BI16" t="n">
        <v>4</v>
      </c>
      <c r="BJ16" s="109">
        <f>$H$26*H43</f>
        <v>0.0575904019632420017</v>
      </c>
      <c r="BP16">
        <f>BP12+1</f>
        <v>5</v>
      </c>
      <c r="BQ16" t="n">
        <v>2</v>
      </c>
      <c r="BR16" s="109">
        <f>$H$30*H41</f>
        <v>0.00551981066968999912</v>
      </c>
    </row>
    <row r="17" spans="1:70">
      <c r="A17" s="185" t="s">
        <v>77</v>
      </c>
      <c r="B17" s="169" t="s">
        <v>78</v>
      </c>
      <c r="C17" s="170" t="s">
        <v>78</v>
      </c>
      <c r="E17" s="189" t="s">
        <v>74</v>
      </c>
      <c r="F17" s="164" t="s">
        <v>35</v>
      </c>
      <c r="G17" s="164"/>
      <c r="H17" s="12"/>
      <c r="I17" s="12"/>
      <c r="J17" s="163"/>
      <c r="K17" s="163"/>
      <c r="L17" s="12"/>
      <c r="M17" s="12"/>
      <c r="O17" s="69">
        <f>AG17*AI17*AO17*AH17</f>
        <v>0.0652284439024399898</v>
      </c>
      <c r="P17" s="201">
        <f>P3</f>
        <v>0.569999999999999929</v>
      </c>
      <c r="Q17" s="205">
        <f>P17*O17</f>
        <v>0.0371802130243910023</v>
      </c>
      <c r="R17" s="157">
        <f>IF($B$17="JC",IF($C$17="JC",$W$1,$V$1*1.1),IF($C$17="JC",$V$1/0.9,$U$1))*Q17/1.5</f>
        <v>0.0371802130243910023</v>
      </c>
      <c r="S17" s="173">
        <f>(1-R17)</f>
        <v>0.962819786975608949</v>
      </c>
      <c r="T17" s="174">
        <f>R17*PRODUCT(S5:S16)*PRODUCT(S18:S19)</f>
        <v>0.0310236262813360053</v>
      </c>
      <c r="U17" s="174">
        <f>R17*R18*PRODUCT(S5:S16)*S19+R17*R19*PRODUCT(S5:S16)*S18</f>
        <v>0</v>
      </c>
      <c r="W17" s="183" t="s">
        <v>79</v>
      </c>
      <c r="X17" s="17" t="s">
        <v>80</v>
      </c>
      <c r="Y17" s="71">
        <f>AK17*AI17*AL17*AO17</f>
        <v>0.065228443902438995</v>
      </c>
      <c r="Z17" s="71">
        <f>Z3</f>
        <v>0.569999999999999929</v>
      </c>
      <c r="AA17" s="71">
        <f>Z17*Y17</f>
        <v>0.0371802130243900031</v>
      </c>
      <c r="AB17" s="157">
        <f>IF($B$17="JC",IF($C$17="JC",$W$1,$V$1/0.9),IF($C$17="JC",$V$1*1.1,$U$1))*AA17/1.5</f>
        <v>0.0371802130243900031</v>
      </c>
      <c r="AC17" s="173">
        <f>(1-AB17)</f>
        <v>0.962819786975610015</v>
      </c>
      <c r="AD17" s="174">
        <f>AB17*PRODUCT(AC5:AC16)*PRODUCT(AC18:AC19)</f>
        <v>0.0242559492942870003</v>
      </c>
      <c r="AE17" s="174">
        <f>AB17*AB18*PRODUCT(AC5:AC16)*AC19+AB17*AB19*PRODUCT(AC5:AC16)*AC18</f>
        <v>0.000843215060615999867</v>
      </c>
      <c r="AG17" s="195">
        <f>COUNTA(F14:F15)/(COUNTA(F14:F15)+COUNTA(J14:J15))</f>
        <v>0.5</v>
      </c>
      <c r="AH17">
        <f>COUNTA(F14:F15)</f>
        <v>2</v>
      </c>
      <c r="AI17" s="198">
        <f>AN17*$AM$3/$AN$3</f>
        <v>0.130456887804877986</v>
      </c>
      <c r="AK17" s="195">
        <f>COUNTA(J14:J15)/(COUNTA(F14:F15)+COUNTA(J14:J15))</f>
        <v>0.5</v>
      </c>
      <c r="AL17">
        <f>COUNTA(J14:J15)</f>
        <v>2</v>
      </c>
      <c r="AM17" s="199" t="n">
        <v>0.108899999999999997</v>
      </c>
      <c r="AN17" s="200">
        <f>IF(AG17=0,IF(AK17=0,0,AM17),AM17)</f>
        <v>0.108899999999999997</v>
      </c>
      <c r="AO17">
        <f>1/2</f>
        <v>0.5</v>
      </c>
      <c r="BH17" t="n">
        <v>1</v>
      </c>
      <c r="BI17" t="n">
        <v>5</v>
      </c>
      <c r="BJ17" s="109">
        <f>$H$26*H44</f>
        <v>0.0422821642023379951</v>
      </c>
      <c r="BP17">
        <f>BP13+1</f>
        <v>5</v>
      </c>
      <c r="BQ17" t="n">
        <v>3</v>
      </c>
      <c r="BR17" s="109">
        <f>$H$30*H42</f>
        <v>0.00842478565468299934</v>
      </c>
    </row>
    <row r="18" spans="1:70">
      <c r="A18" s="185" t="s">
        <v>81</v>
      </c>
      <c r="B18" s="169" t="n">
        <v>20</v>
      </c>
      <c r="C18" s="170" t="n">
        <v>20</v>
      </c>
      <c r="E18" s="189" t="s">
        <v>74</v>
      </c>
      <c r="F18" s="164" t="s">
        <v>35</v>
      </c>
      <c r="G18" s="164"/>
      <c r="H18" s="12"/>
      <c r="I18" s="12"/>
      <c r="J18" s="163" t="s">
        <v>2</v>
      </c>
      <c r="K18" s="163"/>
      <c r="L18" s="12"/>
      <c r="M18" s="12"/>
      <c r="O18" s="69">
        <f>AG18*AI18*AO18*AH18</f>
        <v>0</v>
      </c>
      <c r="P18" s="201">
        <f>P17*1.2</f>
        <v>0.684000000000000075</v>
      </c>
      <c r="Q18" s="205">
        <f>P18*O18</f>
        <v>0</v>
      </c>
      <c r="R18" s="157">
        <f>IF($B$17="JC",IF($C$17="JC",$W$1,$V$1*1.1),IF($C$17="JC",$V$1/0.9,$U$1))*Q18/1.5</f>
        <v>0</v>
      </c>
      <c r="S18" s="173">
        <f>(1-R18)</f>
        <v>1</v>
      </c>
      <c r="T18" s="174">
        <f>R18*PRODUCT(S5:S17)*PRODUCT(S19)</f>
        <v>0</v>
      </c>
      <c r="U18" s="174">
        <f>R18*R19*PRODUCT(S5:S17)</f>
        <v>0</v>
      </c>
      <c r="W18" s="183" t="s">
        <v>82</v>
      </c>
      <c r="X18" s="17" t="s">
        <v>83</v>
      </c>
      <c r="Y18" s="71">
        <f>AK18*AI18*AL18*AO18</f>
        <v>0.0491159999999999997</v>
      </c>
      <c r="Z18" s="71">
        <f>Z17*1.2</f>
        <v>0.684000000000000075</v>
      </c>
      <c r="AA18" s="71">
        <f>Z18*Y18</f>
        <v>0.0335953439999999981</v>
      </c>
      <c r="AB18" s="157">
        <f>IF($B$17="JC",IF($C$17="JC",$W$1,$V$1/0.9),IF($C$17="JC",$V$1*1.1,$U$1))*AA18/1.5</f>
        <v>0.0335953439999999981</v>
      </c>
      <c r="AC18" s="173">
        <f>(1-AB18)</f>
        <v>0.966404656000000095</v>
      </c>
      <c r="AD18" s="174">
        <f>AB18*PRODUCT(AC5:AC17)*PRODUCT(AC19)</f>
        <v>0.0218359196732910021</v>
      </c>
      <c r="AE18" s="174">
        <f>AB18*AB19*PRODUCT(AC5:AC17)</f>
        <v>0</v>
      </c>
      <c r="AG18" s="195">
        <f>IF(COUNTA(F14:F15)&gt;0,IF(COUNTIF(F11:F18,"CAB")+COUNTIF(J11:J18,"CAB")=0,0,COUNTIF(F11:F18,"CAB")/(COUNTIF(F11:F18,"CAB")+COUNTIF(J11:J18,"CAB"))),0)</f>
        <v>0</v>
      </c>
      <c r="AH18">
        <f>COUNTIF(F11:F18,"CAB")</f>
        <v>0</v>
      </c>
      <c r="AI18" s="198">
        <f>AN18*$AM$3/$AN$3</f>
        <v>0.196463999999999999</v>
      </c>
      <c r="AK18" s="195">
        <f>IF(COUNTA(J14:J15)&gt;0,IF(COUNTIF(J11:J18,"CAB")+COUNTIF(F11:F18,"CAB")=0,0,COUNTIF(J11:J18,"CAB")/(COUNTIF(J11:J18,"CAB")+COUNTIF(F11:F18,"CAB"))),0)</f>
        <v>1</v>
      </c>
      <c r="AL18">
        <f>COUNTIF(J11:J18,"CAB")</f>
        <v>2</v>
      </c>
      <c r="AM18" s="199" t="n">
        <v>0.164000000000000012</v>
      </c>
      <c r="AN18" s="200">
        <f>IF(AG18=0,IF(AK18=0,0,AM18),AM18)</f>
        <v>0.164000000000000012</v>
      </c>
      <c r="AO18">
        <f>1/8</f>
        <v>0.125</v>
      </c>
      <c r="BH18" t="n">
        <v>1</v>
      </c>
      <c r="BI18" t="n">
        <v>6</v>
      </c>
      <c r="BJ18" s="109">
        <f>$H$26*H45</f>
        <v>0.022756642951713002</v>
      </c>
      <c r="BP18">
        <f>BL8+1</f>
        <v>5</v>
      </c>
      <c r="BQ18" t="n">
        <v>4</v>
      </c>
      <c r="BR18" s="109">
        <f>$H$30*H43</f>
        <v>0.00868034710170400103</v>
      </c>
    </row>
    <row r="19" spans="8:70">
      <c r="H19" s="15" t="s">
        <v>84</v>
      </c>
      <c r="L19" s="15" t="s">
        <v>84</v>
      </c>
      <c r="O19" s="69">
        <f>AG19*AI19*AO19*AH19</f>
        <v>0</v>
      </c>
      <c r="P19" s="201">
        <f>P3</f>
        <v>0.569999999999999929</v>
      </c>
      <c r="Q19" s="205">
        <f>P19*O19</f>
        <v>0</v>
      </c>
      <c r="R19" s="157">
        <f>IF($B$17="JC",IF($C$17="JC",$W$1,$V$1*1.1),IF($C$17="JC",$V$1/0.9,$U$1))*Q19/1.5</f>
        <v>0</v>
      </c>
      <c r="S19" s="175">
        <f>(1-R19)</f>
        <v>1</v>
      </c>
      <c r="T19" s="176">
        <f>R19*PRODUCT(S5:S18)</f>
        <v>0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AK19*AI19*AL19*AO19</f>
        <v>0</v>
      </c>
      <c r="Z19" s="71">
        <f>Z3</f>
        <v>0.569999999999999929</v>
      </c>
      <c r="AA19" s="71">
        <f>Z19*Y19</f>
        <v>0</v>
      </c>
      <c r="AB19" s="157">
        <f>IF($B$17="JC",IF($C$17="JC",$W$1,$V$1/0.9),IF($C$17="JC",$V$1*1.1,$U$1))*AA19/1.5</f>
        <v>0</v>
      </c>
      <c r="AC19" s="175">
        <f>(1-AB19)</f>
        <v>1</v>
      </c>
      <c r="AD19" s="176">
        <f>AB19*PRODUCT(AC5:AC18)</f>
        <v>0</v>
      </c>
      <c r="AE19" s="176" t="n">
        <v>0</v>
      </c>
      <c r="AF19" s="3" t="s">
        <v>85</v>
      </c>
      <c r="AG19" s="195">
        <f>IF(COUNTIF(F11:F18,"TEC")&gt;0,IF(COUNTIF(J6:J13,"CAB")&gt;0,IF(COUNTIF(F11:F18,"TEC")+COUNTIF(J11:J18,"TEC")&gt;0,COUNTIF(F11:F18,"TEC")/(COUNTIF(F11:F18,"TEC")+COUNTIF(J11:J18,"TEC")),0),0),0)</f>
        <v>0</v>
      </c>
      <c r="AH19">
        <f>COUNTIF(F11:F18,"TEC")</f>
        <v>0</v>
      </c>
      <c r="AI19" s="198">
        <f>AN19*$AM$3/$AN$3</f>
        <v>0</v>
      </c>
      <c r="AK19" s="195">
        <f>IF(COUNTIF(J11:J18,"TEC")&gt;0,IF(COUNTIF(F6:F13,"CAB")&gt;0,IF(COUNTIF(F11:F18,"TEC")+COUNTIF(J11:J18,"TEC")&gt;0,COUNTIF(J11:J18,"TEC")/(COUNTIF(F11:F18,"TEC")+COUNTIF(J11:J18,"TEC")),0),0),0)</f>
        <v>0</v>
      </c>
      <c r="AL19">
        <f>COUNTIF(J11:J18,"TEC")</f>
        <v>2</v>
      </c>
      <c r="AM19" s="199" t="n">
        <v>0.608699999999999974</v>
      </c>
      <c r="AN19" s="200">
        <f>IF(AG19=0,IF(AK19=0,0,AM19),AM19)</f>
        <v>0</v>
      </c>
      <c r="AO19">
        <f>1/8</f>
        <v>0.125</v>
      </c>
      <c r="BH19" t="n">
        <v>1</v>
      </c>
      <c r="BI19" t="n">
        <v>7</v>
      </c>
      <c r="BJ19" s="109">
        <f>$H$26*H46</f>
        <v>0.00909676484868199964</v>
      </c>
      <c r="BP19">
        <f>BP15+1</f>
        <v>6</v>
      </c>
      <c r="BQ19" t="n">
        <v>1</v>
      </c>
      <c r="BR19" s="109">
        <f>$H$31*H40</f>
        <v>0.000563885316870999986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>
        <f>PRODUCT(S5:S19)</f>
        <v>0.803388652663489111</v>
      </c>
      <c r="T20" s="178">
        <f>SUM(T5:T19)</f>
        <v>0.179271956196894022</v>
      </c>
      <c r="U20" s="178">
        <f>SUM(U5:U19)</f>
        <v>0.0165003789180180016</v>
      </c>
      <c r="V20" s="178">
        <f>1-S20-T20-U20</f>
        <v>0.000839012221599000085</v>
      </c>
      <c r="W20" s="23"/>
      <c r="X20" s="24"/>
      <c r="Y20" s="24"/>
      <c r="Z20" s="24"/>
      <c r="AA20" s="24"/>
      <c r="AB20" s="25"/>
      <c r="AC20" s="181">
        <f>PRODUCT(AC5:AC19)</f>
        <v>0.628132709113227072</v>
      </c>
      <c r="AD20" s="178">
        <f>SUM(AD5:AD19)</f>
        <v>0.31163208777528002</v>
      </c>
      <c r="AE20" s="178">
        <f>SUM(AE5:AE19)</f>
        <v>0.0548995147734180033</v>
      </c>
      <c r="AF20" s="178">
        <f>1-AC20-AD20-AE20</f>
        <v>0.0053356883380750002</v>
      </c>
      <c r="BH20" t="n">
        <v>1</v>
      </c>
      <c r="BI20" t="n">
        <v>8</v>
      </c>
      <c r="BJ20" s="109">
        <f>$H$26*H47</f>
        <v>0.00270603879913399936</v>
      </c>
      <c r="BP20">
        <f>BP16+1</f>
        <v>6</v>
      </c>
      <c r="BQ20" t="n">
        <v>2</v>
      </c>
      <c r="BR20" s="109">
        <f>$H$31*H41</f>
        <v>0.00142159862462799991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BH21" s="20" t="n">
        <v>1</v>
      </c>
      <c r="BI21" t="n">
        <v>9</v>
      </c>
      <c r="BJ21" s="109">
        <f>$H$26*H48</f>
        <v>0.000594042118012000042</v>
      </c>
      <c r="BP21">
        <f>BP17+1</f>
        <v>6</v>
      </c>
      <c r="BQ21" t="n">
        <v>3</v>
      </c>
      <c r="BR21" s="109">
        <f>$H$31*H42</f>
        <v>0.00216975987333200004</v>
      </c>
    </row>
    <row r="22" spans="1:70">
      <c r="A22" s="28" t="s">
        <v>90</v>
      </c>
      <c r="B22" s="64">
        <f>(B6)/((B6)+(C6))</f>
        <v>0.488095238095238049</v>
      </c>
      <c r="C22" s="65">
        <f>1-B22</f>
        <v>0.511904761904761951</v>
      </c>
      <c r="D22" s="26"/>
      <c r="E22" s="26"/>
      <c r="V22" s="61">
        <f>SUM(V25:V35)</f>
        <v>1</v>
      </c>
      <c r="AS22" s="84">
        <f>Y23+AA23+AC23+AE23+AG23+AI23+AK23+AM23+AO23+AQ23+AS23</f>
        <v>1</v>
      </c>
      <c r="BH22" t="n">
        <v>1</v>
      </c>
      <c r="BI22" t="n">
        <v>10</v>
      </c>
      <c r="BJ22" s="109">
        <f>$H$26*H49</f>
        <v>0.0000942269017629999972</v>
      </c>
      <c r="BP22">
        <f>BP18+1</f>
        <v>6</v>
      </c>
      <c r="BQ22" t="n">
        <v>4</v>
      </c>
      <c r="BR22" s="109">
        <f>$H$31*H43</f>
        <v>0.00223557839924400037</v>
      </c>
    </row>
    <row r="23" spans="1:70">
      <c r="A23" s="42" t="s">
        <v>91</v>
      </c>
      <c r="B23" s="58">
        <f>((B22^2.8)/((B22^2.8)+(C22^2.8)))*B21</f>
        <v>2.33354844358240987</v>
      </c>
      <c r="C23" s="59">
        <f>B21-B23</f>
        <v>2.66645155641759013</v>
      </c>
      <c r="D23" s="151">
        <f>SUM(D25:D30)</f>
        <v>1</v>
      </c>
      <c r="E23" s="151">
        <f>SUM(E25:E30)</f>
        <v>1</v>
      </c>
      <c r="H23" s="61">
        <f>SUM(H25:H35)</f>
        <v>0.999999880004635955</v>
      </c>
      <c r="J23" s="61">
        <f>SUM(J25:J35)</f>
        <v>1</v>
      </c>
      <c r="K23" s="61"/>
      <c r="L23" s="61">
        <f>SUM(L25:L35)</f>
        <v>1</v>
      </c>
      <c r="N23" s="61">
        <f>SUM(N25:N35)</f>
        <v>1.00000000000000999</v>
      </c>
      <c r="O23" s="36"/>
      <c r="P23" s="61">
        <f>SUM(P25:P35)</f>
        <v>1.00000000000000999</v>
      </c>
      <c r="R23" s="61">
        <f>SUM(R25:R35)</f>
        <v>1.00000000000001998</v>
      </c>
      <c r="T23" s="61">
        <f>SUM(T25:T35)</f>
        <v>1</v>
      </c>
      <c r="V23" s="61">
        <f>SUM(V25:V34)</f>
        <v>0.999481680211330925</v>
      </c>
      <c r="Y23" s="82">
        <f>SUM(Y25:Y35)</f>
        <v>0.0018512284522489999</v>
      </c>
      <c r="Z23" s="83"/>
      <c r="AA23" s="82">
        <f>SUM(AA25:AA35)</f>
        <v>0.016210351810414001</v>
      </c>
      <c r="AB23" s="83"/>
      <c r="AC23" s="82">
        <f>SUM(AC25:AC35)</f>
        <v>0.0638840710390840005</v>
      </c>
      <c r="AD23" s="83"/>
      <c r="AE23" s="82">
        <f>SUM(AE25:AE35)</f>
        <v>0.149219222461582017</v>
      </c>
      <c r="AF23" s="83"/>
      <c r="AG23" s="82">
        <f>SUM(AG25:AG35)</f>
        <v>0.228788639391985971</v>
      </c>
      <c r="AH23" s="83"/>
      <c r="AI23" s="82">
        <f>SUM(AI25:AI35)</f>
        <v>0.24062974964111099</v>
      </c>
      <c r="AJ23" s="83"/>
      <c r="AK23" s="82">
        <f>SUM(AK25:AK35)</f>
        <v>0.175857240784942999</v>
      </c>
      <c r="AL23" s="83"/>
      <c r="AM23" s="82">
        <f>SUM(AM25:AM35)</f>
        <v>0.0882196558021029986</v>
      </c>
      <c r="AN23" s="83"/>
      <c r="AO23" s="82">
        <f>SUM(AO25:AO35)</f>
        <v>0.0291029520793230034</v>
      </c>
      <c r="AP23" s="83"/>
      <c r="AQ23" s="82">
        <f>SUM(AQ25:AQ35)</f>
        <v>0.00571856874853500052</v>
      </c>
      <c r="AR23" s="83"/>
      <c r="AS23" s="82">
        <f>SUM(AS25:AS35)</f>
        <v>0.000518319788669999948</v>
      </c>
      <c r="BH23">
        <f>BH15+1</f>
        <v>2</v>
      </c>
      <c r="BI23" t="n">
        <v>3</v>
      </c>
      <c r="BJ23" s="109">
        <f>$H$27*H42</f>
        <v>0.0671630905723509919</v>
      </c>
      <c r="BP23">
        <f>BL9+1</f>
        <v>6</v>
      </c>
      <c r="BQ23" t="n">
        <v>5</v>
      </c>
      <c r="BR23" s="109">
        <f>$H$31*H44</f>
        <v>0.00164133414148399996</v>
      </c>
    </row>
    <row r="24" spans="1:70">
      <c r="A24" s="28" t="s">
        <v>92</v>
      </c>
      <c r="B24" s="66">
        <f>B23/B21</f>
        <v>0.466709688716481974</v>
      </c>
      <c r="C24" s="67">
        <f>C23/B21</f>
        <v>0.533290311283518026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>
        <f>$H$27*H43</f>
        <v>0.0692004476419060044</v>
      </c>
      <c r="BP24">
        <f>BH49+1</f>
        <v>7</v>
      </c>
      <c r="BQ24" t="n">
        <v>0</v>
      </c>
      <c r="BR24" s="109">
        <f>$H$32*H39</f>
        <v>0.0000196307687920000049</v>
      </c>
    </row>
    <row r="25" spans="1:70">
      <c r="A25" s="28" t="s">
        <v>117</v>
      </c>
      <c r="B25" s="119">
        <f>1/(1+EXP(-3.1416*4*((B11/(B11+C8))-(3.1416/6))))</f>
        <v>0.585791672455238022</v>
      </c>
      <c r="C25" s="120">
        <f>1/(1+EXP(-3.1416*4*((C11/(C11+B8))-(3.1416/6))))</f>
        <v>0.426396912492665958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>
        <f>L25*J25</f>
        <v>0.0932254517970740082</v>
      </c>
      <c r="I25" s="99" t="n">
        <v>0</v>
      </c>
      <c r="J25" s="100">
        <f>Y25+AA25+AC25+AE25+AG25+AI25+AK25+AM25+AO25+AQ25+AS25</f>
        <v>0.116040289451440004</v>
      </c>
      <c r="K25" s="99" t="n">
        <v>0</v>
      </c>
      <c r="L25" s="100">
        <f>S20</f>
        <v>0.803388652663489111</v>
      </c>
      <c r="M25" s="86" t="n">
        <v>0</v>
      </c>
      <c r="N25" s="73">
        <f>(1-$B$24)^$B$21</f>
        <v>0.043133874249689006</v>
      </c>
      <c r="O25" s="72" t="n">
        <v>0</v>
      </c>
      <c r="P25" s="73">
        <f>N25</f>
        <v>0.043133874249689006</v>
      </c>
      <c r="Q25" s="14" t="n">
        <v>0</v>
      </c>
      <c r="R25" s="75">
        <f>P25*N25</f>
        <v>0.00186053110778799979</v>
      </c>
      <c r="S25" s="72" t="n">
        <v>0</v>
      </c>
      <c r="T25" s="135">
        <f>(1-$B$33)^(INT(C23*2*(1-C31)))</f>
        <v>0.994999999999999929</v>
      </c>
      <c r="U25" s="140" t="n">
        <v>0</v>
      </c>
      <c r="V25" s="88">
        <f>R25*T25</f>
        <v>0.0018512284522489999</v>
      </c>
      <c r="W25" s="136">
        <f>B31</f>
        <v>0.414816794777511966</v>
      </c>
      <c r="X25" s="14" t="n">
        <v>0</v>
      </c>
      <c r="Y25" s="81">
        <f>V25</f>
        <v>0.0018512284522489999</v>
      </c>
      <c r="Z25" s="14" t="n">
        <v>0</v>
      </c>
      <c r="AA25" s="80">
        <f>((1-W25)^Z26)*V26</f>
        <v>0.00948602563020200051</v>
      </c>
      <c r="AB25" s="14" t="n">
        <v>0</v>
      </c>
      <c r="AC25" s="81">
        <f>(((1-$W$25)^AB27))*V27</f>
        <v>0.0218764219132400006</v>
      </c>
      <c r="AD25" s="14" t="n">
        <v>0</v>
      </c>
      <c r="AE25" s="81">
        <f>(((1-$W$25)^AB28))*V28</f>
        <v>0.0299020065838220006</v>
      </c>
      <c r="AF25" s="14" t="n">
        <v>0</v>
      </c>
      <c r="AG25" s="81">
        <f>(((1-$W$25)^AB29))*V29</f>
        <v>0.0268288383665719987</v>
      </c>
      <c r="AH25" s="14" t="n">
        <v>0</v>
      </c>
      <c r="AI25" s="81">
        <f>(((1-$W$25)^AB30))*V30</f>
        <v>0.0165123386155169989</v>
      </c>
      <c r="AJ25" s="14" t="n">
        <v>0</v>
      </c>
      <c r="AK25" s="81">
        <f>(((1-$W$25)^AB31))*V31</f>
        <v>0.00706173433069699996</v>
      </c>
      <c r="AL25" s="14" t="n">
        <v>0</v>
      </c>
      <c r="AM25" s="81">
        <f>(((1-$W$25)^AB32))*V32</f>
        <v>0.00207304310522000002</v>
      </c>
      <c r="AN25" s="14" t="n">
        <v>0</v>
      </c>
      <c r="AO25" s="81">
        <f>(((1-$W$25)^AB33))*V33</f>
        <v>0.000400195196119000052</v>
      </c>
      <c r="AP25" s="14" t="n">
        <v>0</v>
      </c>
      <c r="AQ25" s="81">
        <f>(((1-$W$25)^AB34))*V34</f>
        <v>0.0000460165469979999919</v>
      </c>
      <c r="AR25" s="14" t="n">
        <v>0</v>
      </c>
      <c r="AS25" s="81">
        <f>(((1-$W$25)^AB35))*V35</f>
        <v>2.440710803622296151E-06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>
        <f>$H$27*H44</f>
        <v>0.0508061168237350014</v>
      </c>
      <c r="BP25">
        <f>BP19+1</f>
        <v>7</v>
      </c>
      <c r="BQ25" t="n">
        <v>1</v>
      </c>
      <c r="BR25" s="109">
        <f>$H$32*H40</f>
        <v>0.000108170004094999994</v>
      </c>
    </row>
    <row r="26" spans="1:70">
      <c r="A26" s="42" t="s">
        <v>118</v>
      </c>
      <c r="B26" s="121">
        <f>1/(1+EXP(-3.1416*4*((B10/(B10+C9))-(3.1416/6))))</f>
        <v>0.194886324806095992</v>
      </c>
      <c r="C26" s="120">
        <f>1/(1+EXP(-3.1416*4*((C10/(C10+B9))-(3.1416/6))))</f>
        <v>0.699692280818124956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>
        <f>L25*J26+L26*J25</f>
        <v>0.244810206914507011</v>
      </c>
      <c r="I26" s="95" t="n">
        <v>1</v>
      </c>
      <c r="J26" s="88">
        <f>Y26+AA26+AC26+AE26+AG26+AI26+AK26+AM26+AO26+AQ26+AS26</f>
        <v>0.27882823149696998</v>
      </c>
      <c r="K26" s="95" t="n">
        <v>1</v>
      </c>
      <c r="L26" s="88">
        <f>T20</f>
        <v>0.179271956196894022</v>
      </c>
      <c r="M26" s="87" t="n">
        <v>1</v>
      </c>
      <c r="N26" s="73">
        <f>(($B$24)^M26)*((1-($B$24))^($B$21-M26))*HLOOKUP($B$21,$AV$24:$BF$34,M26+1)</f>
        <v>0.188743322335609989</v>
      </c>
      <c r="O26" s="74" t="n">
        <v>1</v>
      </c>
      <c r="P26" s="73">
        <f>N26</f>
        <v>0.188743322335609989</v>
      </c>
      <c r="Q26" s="30" t="n">
        <v>1</v>
      </c>
      <c r="R26" s="39">
        <f>N26*P25+P26*N25</f>
        <v>0.0162824614621859975</v>
      </c>
      <c r="S26" s="74" t="n">
        <v>1</v>
      </c>
      <c r="T26" s="135">
        <f>(($B$33)^S26)*((1-($B$33))^(INT($C$23*2*(1-$C$31))-S26))*HLOOKUP(INT($C$23*2*(1-$C$31)),$AV$24:$BF$34,S26+1)</f>
        <v>0.005</v>
      </c>
      <c r="U26" s="95" t="n">
        <v>1</v>
      </c>
      <c r="V26" s="88">
        <f>R26*T25+T26*R25</f>
        <v>0.016210351810414001</v>
      </c>
      <c r="W26" s="137"/>
      <c r="X26" s="30" t="n">
        <v>1</v>
      </c>
      <c r="Y26" s="75"/>
      <c r="Z26" s="30" t="n">
        <v>1</v>
      </c>
      <c r="AA26" s="81">
        <f>(1-((1-W25)^Z26))*V26</f>
        <v>0.00672432618021199957</v>
      </c>
      <c r="AB26" s="30" t="n">
        <v>1</v>
      </c>
      <c r="AC26" s="81">
        <f>((($W$25)^M26)*((1-($W$25))^($U$27-M26))*HLOOKUP($U$27,$AV$24:$BF$34,M26+1))*V27</f>
        <v>0.0310149270801449983</v>
      </c>
      <c r="AD26" s="30" t="n">
        <v>1</v>
      </c>
      <c r="AE26" s="81">
        <f>((($W$25)^M26)*((1-($W$25))^($U$28-M26))*HLOOKUP($U$28,$AV$24:$BF$34,M26+1))*V28</f>
        <v>0.0635895959649139897</v>
      </c>
      <c r="AF26" s="30" t="n">
        <v>1</v>
      </c>
      <c r="AG26" s="81">
        <f>((($W$25)^M26)*((1-($W$25))^($U$29-M26))*HLOOKUP($U$29,$AV$24:$BF$34,M26+1))*V29</f>
        <v>0.0760722634518810104</v>
      </c>
      <c r="AH26" s="30" t="n">
        <v>1</v>
      </c>
      <c r="AI26" s="81">
        <f>((($W$25)^M26)*((1-($W$25))^($U$30-M26))*HLOOKUP($U$30,$AV$24:$BF$34,M26+1))*V30</f>
        <v>0.0585252218248919931</v>
      </c>
      <c r="AJ26" s="30" t="n">
        <v>1</v>
      </c>
      <c r="AK26" s="81">
        <f>((($W$25)^M26)*((1-($W$25))^($U$31-M26))*HLOOKUP($U$31,$AV$24:$BF$34,M26+1))*V31</f>
        <v>0.0300349631481620039</v>
      </c>
      <c r="AL26" s="30" t="n">
        <v>1</v>
      </c>
      <c r="AM26" s="81">
        <f>((($W$25)^Q26)*((1-($W$25))^($U$32-Q26))*HLOOKUP($U$32,$AV$24:$BF$34,Q26+1))*V32</f>
        <v>0.0102865762733439992</v>
      </c>
      <c r="AN26" s="30" t="n">
        <v>1</v>
      </c>
      <c r="AO26" s="81">
        <f>((($W$25)^Q26)*((1-($W$25))^($U$33-Q26))*HLOOKUP($U$33,$AV$24:$BF$34,Q26+1))*V33</f>
        <v>0.00226947987649699989</v>
      </c>
      <c r="AP26" s="30" t="n">
        <v>1</v>
      </c>
      <c r="AQ26" s="81">
        <f>((($W$25)^Q26)*((1-($W$25))^($U$34-Q26))*HLOOKUP($U$34,$AV$24:$BF$34,Q26+1))*V34</f>
        <v>0.000293576314664000027</v>
      </c>
      <c r="AR26" s="30" t="n">
        <v>1</v>
      </c>
      <c r="AS26" s="81">
        <f>((($W$25)^Q26)*((1-($W$25))^($U$35-Q26))*HLOOKUP($U$35,$AV$24:$BF$34,Q26+1))*V35</f>
        <v>0.0000173013822589999977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>
        <f>$H$27*H45</f>
        <v>0.0273443112984470016</v>
      </c>
      <c r="BP26">
        <f>BP20+1</f>
        <v>7</v>
      </c>
      <c r="BQ26" t="n">
        <v>2</v>
      </c>
      <c r="BR26" s="109">
        <f>$H$32*H41</f>
        <v>0.000272704971111999983</v>
      </c>
    </row>
    <row r="27" spans="1:70">
      <c r="A27" s="28" t="s">
        <v>119</v>
      </c>
      <c r="B27" s="121">
        <f>1/(1+EXP(-3.1416*4*((B12/(B12+C7))-(3.1416/6))))</f>
        <v>0.291249812811322997</v>
      </c>
      <c r="C27" s="120">
        <f>1/(1+EXP(-3.1416*4*((C12/(C12+B7))-(3.1416/6))))</f>
        <v>0.718815146991948062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>
        <f>L25*J27+J26*L26+J25*L27</f>
        <v>0.294163182201861986</v>
      </c>
      <c r="I27" s="95" t="n">
        <v>2</v>
      </c>
      <c r="J27" s="88">
        <f>Y27+AA27+AC27+AE27+AG27+AI27+AK27+AM27+AO27+AQ27+AS27</f>
        <v>0.301550675566050952</v>
      </c>
      <c r="K27" s="95" t="n">
        <v>2</v>
      </c>
      <c r="L27" s="88">
        <f>U20</f>
        <v>0.0165003789180180016</v>
      </c>
      <c r="M27" s="87" t="n">
        <v>2</v>
      </c>
      <c r="N27" s="73">
        <f>(($B$24)^M27)*((1-($B$24))^($B$21-M27))*HLOOKUP($B$21,$AV$24:$BF$34,M27+1)</f>
        <v>0.330357913319509988</v>
      </c>
      <c r="O27" s="74" t="n">
        <v>2</v>
      </c>
      <c r="P27" s="73">
        <f>N27</f>
        <v>0.330357913319509988</v>
      </c>
      <c r="Q27" s="30" t="n">
        <v>2</v>
      </c>
      <c r="R27" s="39">
        <f>P25*N27+P26*N26+P27*N25</f>
        <v>0.0641232751073100005</v>
      </c>
      <c r="S27" s="74" t="n">
        <v>2</v>
      </c>
      <c r="T27" s="135">
        <f>(($B$33)^S27)*((1-($B$33))^(INT($C$23*2*(1-$C$31))-S27))*HLOOKUP(INT($C$23*2*(1-$C$31)),$AV$24:$BF$34,S27+1)</f>
        <v>0</v>
      </c>
      <c r="U27" s="95" t="n">
        <v>2</v>
      </c>
      <c r="V27" s="88">
        <f>R27*T25+T26*R26+R25*T27</f>
        <v>0.0638840710390840005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>
        <f>((($W$25)^M27)*((1-($W$25))^($U$27-M27))*HLOOKUP($U$27,$AV$24:$BF$34,M27+1))*V27</f>
        <v>0.0109927220456989993</v>
      </c>
      <c r="AD27" s="30" t="n">
        <v>2</v>
      </c>
      <c r="AE27" s="81">
        <f>((($W$25)^M27)*((1-($W$25))^($U$28-M27))*HLOOKUP($U$28,$AV$24:$BF$34,M27+1))*V28</f>
        <v>0.045076536961332998</v>
      </c>
      <c r="AF27" s="30" t="n">
        <v>2</v>
      </c>
      <c r="AG27" s="81">
        <f>((($W$25)^M27)*((1-($W$25))^($U$29-M27))*HLOOKUP($U$29,$AV$24:$BF$34,M27+1))*V29</f>
        <v>0.0808876234355919976</v>
      </c>
      <c r="AH27" s="30" t="n">
        <v>2</v>
      </c>
      <c r="AI27" s="81">
        <f>((($W$25)^M27)*((1-($W$25))^($U$30-M27))*HLOOKUP($U$30,$AV$24:$BF$34,M27+1))*V30</f>
        <v>0.0829731431605740077</v>
      </c>
      <c r="AJ27" s="30" t="n">
        <v>2</v>
      </c>
      <c r="AK27" s="81">
        <f>((($W$25)^M27)*((1-($W$25))^($U$31-M27))*HLOOKUP($U$31,$AV$24:$BF$34,M27+1))*V31</f>
        <v>0.0532269511205659995</v>
      </c>
      <c r="AL27" s="30" t="n">
        <v>2</v>
      </c>
      <c r="AM27" s="81">
        <f>((($W$25)^Q27)*((1-($W$25))^($U$32-Q27))*HLOOKUP($U$32,$AV$24:$BF$34,Q27+1))*V32</f>
        <v>0.0218754292375199988</v>
      </c>
      <c r="AN27" s="30" t="n">
        <v>2</v>
      </c>
      <c r="AO27" s="81">
        <f>((($W$25)^Q27)*((1-($W$25))^($U$33-Q27))*HLOOKUP($U$33,$AV$24:$BF$34,Q27+1))*V33</f>
        <v>0.00563065422798500048</v>
      </c>
      <c r="AP27" s="30" t="n">
        <v>2</v>
      </c>
      <c r="AQ27" s="81">
        <f>((($W$25)^Q27)*((1-($W$25))^($U$34-Q27))*HLOOKUP($U$34,$AV$24:$BF$34,Q27+1))*V34</f>
        <v>0.000832425707264000003</v>
      </c>
      <c r="AR27" s="30" t="n">
        <v>2</v>
      </c>
      <c r="AS27" s="81">
        <f>((($W$25)^Q27)*((1-($W$25))^($U$35-Q27))*HLOOKUP($U$35,$AV$24:$BF$34,Q27+1))*V35</f>
        <v>0.0000551896695179999952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>
        <f>$H$27*H46</f>
        <v>0.0109306443115950014</v>
      </c>
      <c r="BP27">
        <f>BP21+1</f>
        <v>7</v>
      </c>
      <c r="BQ27" t="n">
        <v>3</v>
      </c>
      <c r="BR27" s="109">
        <f>$H$32*H42</f>
        <v>0.000416224589222999963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>
        <f>J28*L25+J27*L26+L28*J25+L27*J26</f>
        <v>0.214060718239855996</v>
      </c>
      <c r="I28" s="95" t="n">
        <v>3</v>
      </c>
      <c r="J28" s="88">
        <f>Y28+AA28+AC28+AE28+AG28+AI28+AK28+AM28+AO28+AQ28+AS28</f>
        <v>0.193309934774367989</v>
      </c>
      <c r="K28" s="95" t="n">
        <v>3</v>
      </c>
      <c r="L28" s="88">
        <f>V20</f>
        <v>0.000839012221599000085</v>
      </c>
      <c r="M28" s="87" t="n">
        <v>3</v>
      </c>
      <c r="N28" s="73">
        <f>(($B$24)^M28)*((1-($B$24))^($B$21-M28))*HLOOKUP($B$21,$AV$24:$BF$34,M28+1)</f>
        <v>0.28911314461965997</v>
      </c>
      <c r="O28" s="74" t="n">
        <v>3</v>
      </c>
      <c r="P28" s="73">
        <f>N28</f>
        <v>0.28911314461965997</v>
      </c>
      <c r="Q28" s="30" t="n">
        <v>3</v>
      </c>
      <c r="R28" s="39">
        <f>P25*N28+P26*N27+P27*N26+P28*N25</f>
        <v>0.149646840287482004</v>
      </c>
      <c r="S28" s="74" t="n">
        <v>3</v>
      </c>
      <c r="T28" s="135">
        <f>(($B$33)^S28)*((1-($B$33))^(INT($C$23*2*(1-$C$31))-S28))*HLOOKUP(INT($C$23*2*(1-$C$31)),$AV$24:$BF$34,S28+1)</f>
        <v>0</v>
      </c>
      <c r="U28" s="95" t="n">
        <v>3</v>
      </c>
      <c r="V28" s="88">
        <f>R28*T25+R27*T26+R26*T27+R25*T28</f>
        <v>0.149219222461582017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>
        <f>((($W$25)^M28)*((1-($W$25))^($U$28-M28))*HLOOKUP($U$28,$AV$24:$BF$34,M28+1))*V28</f>
        <v>0.0106510829515130001</v>
      </c>
      <c r="AF28" s="30" t="n">
        <v>3</v>
      </c>
      <c r="AG28" s="81">
        <f>((($W$25)^M28)*((1-($W$25))^($U$29-M28))*HLOOKUP($U$29,$AV$24:$BF$34,M28+1))*V29</f>
        <v>0.0382256865784630051</v>
      </c>
      <c r="AH28" s="30" t="n">
        <v>3</v>
      </c>
      <c r="AI28" s="81">
        <f>((($W$25)^M28)*((1-($W$25))^($U$30-M28))*HLOOKUP($U$30,$AV$24:$BF$34,M28+1))*V30</f>
        <v>0.0588168850221870088</v>
      </c>
      <c r="AJ28" s="30" t="n">
        <v>3</v>
      </c>
      <c r="AK28" s="81">
        <f>((($W$25)^M28)*((1-($W$25))^($U$31-M28))*HLOOKUP($U$31,$AV$24:$BF$34,M28+1))*V31</f>
        <v>0.0503077396675389998</v>
      </c>
      <c r="AL28" s="30" t="n">
        <v>3</v>
      </c>
      <c r="AM28" s="81">
        <f>((($W$25)^Q28)*((1-($W$25))^($U$32-Q28))*HLOOKUP($U$32,$AV$24:$BF$34,Q28+1))*V32</f>
        <v>0.0258445997757799972</v>
      </c>
      <c r="AN28" s="30" t="n">
        <v>3</v>
      </c>
      <c r="AO28" s="81">
        <f>((($W$25)^Q28)*((1-($W$25))^($U$33-Q28))*HLOOKUP($U$33,$AV$24:$BF$34,Q28+1))*V33</f>
        <v>0.00798276477693900066</v>
      </c>
      <c r="AP28" s="30" t="n">
        <v>3</v>
      </c>
      <c r="AQ28" s="81">
        <f>((($W$25)^Q28)*((1-($W$25))^($U$34-Q28))*HLOOKUP($U$34,$AV$24:$BF$34,Q28+1))*V34</f>
        <v>0.00137685037487400019</v>
      </c>
      <c r="AR28" s="30" t="n">
        <v>3</v>
      </c>
      <c r="AS28" s="81">
        <f>((($W$25)^Q28)*((1-($W$25))^($U$35-Q28))*HLOOKUP($U$35,$AV$24:$BF$34,Q28+1))*V35</f>
        <v>0.000104325627073000016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>
        <f>$H$27*H47</f>
        <v>0.00325156779346599922</v>
      </c>
      <c r="BP28">
        <f>BP22+1</f>
        <v>7</v>
      </c>
      <c r="BQ28" t="n">
        <v>4</v>
      </c>
      <c r="BR28" s="109">
        <f>$H$32*H43</f>
        <v>0.000428850543481000024</v>
      </c>
    </row>
    <row r="29" spans="1:70">
      <c r="A29" s="28" t="s">
        <v>121</v>
      </c>
      <c r="B29" s="121">
        <f>1/(1+EXP(-3.1416*4*((B14/(B14+C13))-(3.1416/6))))</f>
        <v>0.0606519829065109928</v>
      </c>
      <c r="C29" s="120">
        <f>1/(1+EXP(-3.1416*4*((C14/(C14+B13))-(3.1416/6))))</f>
        <v>0.77755383103378195</v>
      </c>
      <c r="D29" s="153" t="n">
        <v>0.04</v>
      </c>
      <c r="E29" s="153" t="n">
        <v>0.04</v>
      </c>
      <c r="G29" s="89" t="n">
        <v>4</v>
      </c>
      <c r="H29" s="128">
        <f>J29*L25+J28*L26+J27*L27+J26*L28</f>
        <v>0.10522371719927901</v>
      </c>
      <c r="I29" s="95" t="n">
        <v>4</v>
      </c>
      <c r="J29" s="88">
        <f>Y29+AA29+AC29+AE29+AG29+AI29+AK29+AM29+AO29+AQ29+AS29</f>
        <v>0.0813541815900950027</v>
      </c>
      <c r="K29" s="95" t="n">
        <v>4</v>
      </c>
      <c r="L29" s="88"/>
      <c r="M29" s="87" t="n">
        <v>4</v>
      </c>
      <c r="N29" s="73">
        <f>(($B$24)^M29)*((1-($B$24))^($B$21-M29))*HLOOKUP($B$21,$AV$24:$BF$34,M29+1)</f>
        <v>0.126508866628880012</v>
      </c>
      <c r="O29" s="74" t="n">
        <v>4</v>
      </c>
      <c r="P29" s="73">
        <f>N29</f>
        <v>0.126508866628880012</v>
      </c>
      <c r="Q29" s="30" t="n">
        <v>4</v>
      </c>
      <c r="R29" s="39">
        <f>P25*N29+P26*N28+P27*N27+P28*N26+P29*N25</f>
        <v>0.229186336874923002</v>
      </c>
      <c r="S29" s="74" t="n">
        <v>4</v>
      </c>
      <c r="T29" s="135">
        <f>(($B$33)^S29)*((1-($B$33))^(INT($C$23*2*(1-$C$31))-S29))*HLOOKUP(INT($C$23*2*(1-$C$31)),$AV$24:$BF$34,S29+1)</f>
        <v>0</v>
      </c>
      <c r="U29" s="95" t="n">
        <v>4</v>
      </c>
      <c r="V29" s="88">
        <f>T29*R25+T28*R26+T27*R27+T26*R28+T25*R29</f>
        <v>0.228788639391984994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>
        <f>((($W$25)^M29)*((1-($W$25))^($U$29-M29))*HLOOKUP($U$29,$AV$24:$BF$34,M29+1))*V29</f>
        <v>0.00677422755947800148</v>
      </c>
      <c r="AH29" s="30" t="n">
        <v>4</v>
      </c>
      <c r="AI29" s="81">
        <f>((($W$25)^M29)*((1-($W$25))^($U$30-M29))*HLOOKUP($U$30,$AV$24:$BF$34,M29+1))*V30</f>
        <v>0.0208466609311039974</v>
      </c>
      <c r="AJ29" s="30" t="n">
        <v>4</v>
      </c>
      <c r="AK29" s="81">
        <f>((($W$25)^M29)*((1-($W$25))^($U$31-M29))*HLOOKUP($U$31,$AV$24:$BF$34,M29+1))*V31</f>
        <v>0.026746105068228001</v>
      </c>
      <c r="AL29" s="30" t="n">
        <v>4</v>
      </c>
      <c r="AM29" s="81">
        <f>((($W$25)^Q29)*((1-($W$25))^($U$32-Q29))*HLOOKUP($U$32,$AV$24:$BF$34,Q29+1))*V32</f>
        <v>0.0183203720571919995</v>
      </c>
      <c r="AN29" s="30" t="n">
        <v>4</v>
      </c>
      <c r="AO29" s="81">
        <f>((($W$25)^Q29)*((1-($W$25))^($U$33-Q29))*HLOOKUP($U$33,$AV$24:$BF$34,Q29+1))*V33</f>
        <v>0.00707339357290099979</v>
      </c>
      <c r="AP29" s="30" t="n">
        <v>4</v>
      </c>
      <c r="AQ29" s="81">
        <f>((($W$25)^Q29)*((1-($W$25))^($U$34-Q29))*HLOOKUP($U$34,$AV$24:$BF$34,Q29+1))*V34</f>
        <v>0.00146400474491499999</v>
      </c>
      <c r="AR29" s="30" t="n">
        <v>4</v>
      </c>
      <c r="AS29" s="81">
        <f>((($W$25)^Q29)*((1-($W$25))^($U$35-Q29))*HLOOKUP($U$35,$AV$24:$BF$34,Q29+1))*V35</f>
        <v>0.000129417656276999992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>
        <f>$H$27*H48</f>
        <v>0.000713799158942999945</v>
      </c>
      <c r="BP29">
        <f>BP23+1</f>
        <v>7</v>
      </c>
      <c r="BQ29" t="n">
        <v>5</v>
      </c>
      <c r="BR29" s="109">
        <f>$H$32*H44</f>
        <v>0.000314856790012999976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>
        <f>J30*L25+J29*L26+J28*L27+J27*L28</f>
        <v>0.0368991619717140029</v>
      </c>
      <c r="I30" s="95" t="n">
        <v>5</v>
      </c>
      <c r="J30" s="88">
        <f>Y30+AA30+AC30+AE30+AG30+AI30+AK30+AM30+AO30+AQ30+AS30</f>
        <v>0.023490432377988002</v>
      </c>
      <c r="K30" s="95" t="n">
        <v>5</v>
      </c>
      <c r="L30" s="88"/>
      <c r="M30" s="87" t="n">
        <v>5</v>
      </c>
      <c r="N30" s="73">
        <f>(($B$24)^M30)*((1-($B$24))^($B$21-M30))*HLOOKUP($B$21,$AV$24:$BF$34,M30+1)</f>
        <v>0.0221428788466590021</v>
      </c>
      <c r="O30" s="74" t="n">
        <v>5</v>
      </c>
      <c r="P30" s="73">
        <f>N30</f>
        <v>0.0221428788466590021</v>
      </c>
      <c r="Q30" s="30" t="n">
        <v>5</v>
      </c>
      <c r="R30" s="39">
        <f>P25*N30+P26*N29+P27*N28+P28*N27+P29*N26+P30*N25</f>
        <v>0.240687254227876002</v>
      </c>
      <c r="S30" s="74" t="n">
        <v>5</v>
      </c>
      <c r="T30" s="135">
        <f>(($B$33)^S30)*((1-($B$33))^(INT($C$23*2*(1-$C$31))-S30))*HLOOKUP(INT($C$23*2*(1-$C$31)),$AV$24:$BF$34,S30+1)</f>
        <v>0</v>
      </c>
      <c r="U30" s="95" t="n">
        <v>5</v>
      </c>
      <c r="V30" s="88">
        <f>T30*R25+T29*R26+T28*R27+T27*R28+T26*R29+T25*R30</f>
        <v>0.240629749641112012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>
        <f>((($W$25)^M30)*((1-($W$25))^($U$30-M30))*HLOOKUP($U$30,$AV$24:$BF$34,M30+1))*V30</f>
        <v>0.00295550008683699961</v>
      </c>
      <c r="AJ30" s="30" t="n">
        <v>5</v>
      </c>
      <c r="AK30" s="81">
        <f>((($W$25)^M30)*((1-($W$25))^($U$31-M30))*HLOOKUP($U$31,$AV$24:$BF$34,M30+1))*V31</f>
        <v>0.00758376759836500014</v>
      </c>
      <c r="AL30" s="30" t="n">
        <v>5</v>
      </c>
      <c r="AM30" s="81">
        <f>((($W$25)^Q30)*((1-($W$25))^($U$32-Q30))*HLOOKUP($U$32,$AV$24:$BF$34,Q30+1))*V32</f>
        <v>0.00779201926652099974</v>
      </c>
      <c r="AN30" s="30" t="n">
        <v>5</v>
      </c>
      <c r="AO30" s="81">
        <f>((($W$25)^Q30)*((1-($W$25))^($U$33-Q30))*HLOOKUP($U$33,$AV$24:$BF$34,Q30+1))*V33</f>
        <v>0.00401127363044600038</v>
      </c>
      <c r="AP30" s="30" t="n">
        <v>5</v>
      </c>
      <c r="AQ30" s="81">
        <f>((($W$25)^Q30)*((1-($W$25))^($U$34-Q30))*HLOOKUP($U$34,$AV$24:$BF$34,Q30+1))*V34</f>
        <v>0.00103778398013599982</v>
      </c>
      <c r="AR30" s="30" t="n">
        <v>5</v>
      </c>
      <c r="AS30" s="81">
        <f>((($W$25)^Q30)*((1-($W$25))^($U$35-Q30))*HLOOKUP($U$35,$AV$24:$BF$34,Q30+1))*V35</f>
        <v>0.00011008781568299999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>
        <f>$H$27*H49</f>
        <v>0.000113222751702000002</v>
      </c>
      <c r="BP30">
        <f>BL10+1</f>
        <v>7</v>
      </c>
      <c r="BQ30" t="n">
        <v>6</v>
      </c>
      <c r="BR30" s="109">
        <f>$H$32*H45</f>
        <v>0.000169458770297999983</v>
      </c>
    </row>
    <row r="31" spans="1:70">
      <c r="A31" s="186" t="s">
        <v>123</v>
      </c>
      <c r="B31" s="62">
        <f>(B25*D25)+(B26*D26)+(B27*D27)+(B28*D28)+(B29*D29)+(B30*D30)/(B25+B26+B27+B28+B29+B30)</f>
        <v>0.414816794777511966</v>
      </c>
      <c r="C31" s="63">
        <f>(C25*E25)+(C26*E26)+(C27*E27)+(C28*E28)+(C29*E29)+(C30*E30)/(C25+C26+C27+C28+C29+C30)</f>
        <v>0.625702295262748009</v>
      </c>
      <c r="G31" s="89" t="n">
        <v>6</v>
      </c>
      <c r="H31" s="128">
        <f>J31*L25+J30*L26+J29*L27+J28*L28</f>
        <v>0.00950318788957099869</v>
      </c>
      <c r="I31" s="95" t="n">
        <v>6</v>
      </c>
      <c r="J31" s="88">
        <f>Y31+AA31+AC31+AE31+AG31+AI31+AK31+AM31+AO31+AQ31+AS31</f>
        <v>0.00471434080138900047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>
        <f>P26*N30+P27*N29+P28*N28+P29*N27+P30*N26</f>
        <v>0.17553146182292001</v>
      </c>
      <c r="S31" s="72" t="n">
        <v>6</v>
      </c>
      <c r="T31" s="135">
        <f>(($B$33)^S31)*((1-($B$33))^(INT($C$23*2*(1-$C$31))-S31))*HLOOKUP(INT($C$23*2*(1-$C$31)),$AV$24:$BF$34,S31+1)</f>
        <v>0</v>
      </c>
      <c r="U31" s="95" t="n">
        <v>6</v>
      </c>
      <c r="V31" s="88">
        <f>T31*R25+T30*R26+T29*R27+T28*R28+T27*R29+T26*R30+T25*R31</f>
        <v>0.175857240784944002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>
        <f>((($W$25)^Q31)*((1-($W$25))^($U$31-Q31))*HLOOKUP($U$31,$AV$24:$BF$34,Q31+1))*V31</f>
        <v>0.000895979851386000092</v>
      </c>
      <c r="AL31" s="30" t="n">
        <v>6</v>
      </c>
      <c r="AM31" s="81">
        <f>((($W$25)^Q31)*((1-($W$25))^($U$32-Q31))*HLOOKUP($U$32,$AV$24:$BF$34,Q31+1))*V32</f>
        <v>0.00184116724935400011</v>
      </c>
      <c r="AN31" s="30" t="n">
        <v>6</v>
      </c>
      <c r="AO31" s="81">
        <f>((($W$25)^Q31)*((1-($W$25))^($U$33-Q31))*HLOOKUP($U$33,$AV$24:$BF$34,Q31+1))*V33</f>
        <v>0.00142172883253299993</v>
      </c>
      <c r="AP31" s="30" t="n">
        <v>6</v>
      </c>
      <c r="AQ31" s="81">
        <f>((($W$25)^Q31)*((1-($W$25))^($U$34-Q31))*HLOOKUP($U$34,$AV$24:$BF$34,Q31+1))*V34</f>
        <v>0.000490433560486999998</v>
      </c>
      <c r="AR31" s="30" t="n">
        <v>6</v>
      </c>
      <c r="AS31" s="81">
        <f>((($W$25)^Q31)*((1-($W$25))^($U$35-Q31))*HLOOKUP($U$35,$AV$24:$BF$34,Q31+1))*V35</f>
        <v>0.000065031307628999997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>
        <f>$H$28*H43</f>
        <v>0.0503567353802320028</v>
      </c>
      <c r="BP31">
        <f>BP24+1</f>
        <v>8</v>
      </c>
      <c r="BQ31" t="n">
        <v>0</v>
      </c>
      <c r="BR31" s="109">
        <f>$H$33*H39</f>
        <v>2.81392134531907106E-06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>
        <f>J32*L25+J31*L26+J30*L27+J29*L28</f>
        <v>0.00182299457385299988</v>
      </c>
      <c r="I32" s="95" t="n">
        <v>7</v>
      </c>
      <c r="J32" s="88">
        <f>Y32+AA32+AC32+AE32+AG32+AI32+AK32+AM32+AO32+AQ32+AS32</f>
        <v>0.000649731965546000012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>
        <f>P27*N30+P28*N29+P29*N28+P30*N27</f>
        <v>0.0877809030080280017</v>
      </c>
      <c r="S32" s="74" t="n">
        <v>7</v>
      </c>
      <c r="T32" s="135">
        <f>(($B$33)^S32)*((1-($B$33))^(INT($C$23*2*(1-$C$31))-S32))*HLOOKUP(INT($C$23*2*(1-$C$31)),$AV$24:$BF$34,S32+1)</f>
        <v>0</v>
      </c>
      <c r="U32" s="95" t="n">
        <v>7</v>
      </c>
      <c r="V32" s="88">
        <f>T32*R25+T31*R26+T30*R27+T29*R28+T28*R29+T27*R30+T26*R31+T25*R32</f>
        <v>0.0882196558021029986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>
        <f>((($W$25)^Q32)*((1-($W$25))^($U$32-Q32))*HLOOKUP($U$32,$AV$24:$BF$34,Q32+1))*V32</f>
        <v>0.00018644883717199999</v>
      </c>
      <c r="AN32" s="30" t="n">
        <v>7</v>
      </c>
      <c r="AO32" s="81">
        <f>((($W$25)^Q32)*((1-($W$25))^($U$33-Q32))*HLOOKUP($U$33,$AV$24:$BF$34,Q32+1))*V33</f>
        <v>0.000287947428669000018</v>
      </c>
      <c r="AP32" s="30" t="n">
        <v>7</v>
      </c>
      <c r="AQ32" s="81">
        <f>((($W$25)^Q32)*((1-($W$25))^($U$34-Q32))*HLOOKUP($U$34,$AV$24:$BF$34,Q32+1))*V34</f>
        <v>0.000148993689348999991</v>
      </c>
      <c r="AR32" s="30" t="n">
        <v>7</v>
      </c>
      <c r="AS32" s="81">
        <f>((($W$25)^Q32)*((1-($W$25))^($U$35-Q32))*HLOOKUP($U$35,$AV$24:$BF$34,Q32+1))*V35</f>
        <v>0.0000263420103559999941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>
        <f>$H$28*H44</f>
        <v>0.0369712952411689999</v>
      </c>
      <c r="BP32">
        <f>BP25+1</f>
        <v>8</v>
      </c>
      <c r="BQ32" t="n">
        <v>1</v>
      </c>
      <c r="BR32" s="109">
        <f>$H$33*H40</f>
        <v>0.0000155053470739999995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8</v>
      </c>
      <c r="H33" s="128">
        <f>J33*L25+J32*L26+J31*L27+J30*L28</f>
        <v>0.000261312401876999978</v>
      </c>
      <c r="I33" s="95" t="n">
        <v>8</v>
      </c>
      <c r="J33" s="88">
        <f>Y33+AA33+AC33+AE33+AG33+AI33+AK33+AM33+AO33+AQ33+AS33</f>
        <v>0.0000589210612139999945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>
        <f>P28*N30+P29*N29+P30*N28</f>
        <v>0.0288080880043040022</v>
      </c>
      <c r="S33" s="74" t="n">
        <v>8</v>
      </c>
      <c r="T33" s="135">
        <f>(($B$33)^S33)*((1-($B$33))^(INT($C$23*2*(1-$C$31))-S33))*HLOOKUP(INT($C$23*2*(1-$C$31)),$AV$24:$BF$34,S33+1)</f>
        <v>0</v>
      </c>
      <c r="U33" s="95" t="n">
        <v>8</v>
      </c>
      <c r="V33" s="88">
        <f>T33*R25+T32*R26+T31*R27+T30*R28+T29*R29+T28*R30+T27*R31+T26*R32+T25*R33</f>
        <v>0.0291029520793220051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>
        <f>((($W$25)^Q33)*((1-($W$25))^($U$33-Q33))*HLOOKUP($U$33,$AV$24:$BF$34,Q33+1))*V33</f>
        <v>0.0000255145372339999987</v>
      </c>
      <c r="AP33" s="30" t="n">
        <v>8</v>
      </c>
      <c r="AQ33" s="81">
        <f>((($W$25)^Q33)*((1-($W$25))^($U$34-Q33))*HLOOKUP($U$34,$AV$24:$BF$34,Q33+1))*V34</f>
        <v>0.0000264041603150000004</v>
      </c>
      <c r="AR33" s="30" t="n">
        <v>8</v>
      </c>
      <c r="AS33" s="81">
        <f>((($W$25)^Q33)*((1-($W$25))^($U$35-Q33))*HLOOKUP($U$35,$AV$24:$BF$34,Q33+1))*V35</f>
        <v>7.002363665454171321E-06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>
        <f>$H$28*H45</f>
        <v>0.0198982852731819992</v>
      </c>
      <c r="BP33">
        <f>BP26+1</f>
        <v>8</v>
      </c>
      <c r="BQ33" t="n">
        <v>2</v>
      </c>
      <c r="BR33" s="109">
        <f>$H$33*H41</f>
        <v>0.0000390901827290000004</v>
      </c>
    </row>
    <row r="34" spans="1:70">
      <c r="A34" s="42" t="s">
        <v>126</v>
      </c>
      <c r="B34" s="58">
        <f>B23*2</f>
        <v>4.66709688716481974</v>
      </c>
      <c r="C34" s="59">
        <f>C23*2</f>
        <v>5.33290311283518026</v>
      </c>
      <c r="G34" s="89" t="n">
        <v>9</v>
      </c>
      <c r="H34" s="128">
        <f>J34*L25+J33*L26+J32*L27+J31*L28</f>
        <v>0.0000277960707509999949</v>
      </c>
      <c r="I34" s="95" t="n">
        <v>9</v>
      </c>
      <c r="J34" s="88">
        <f>Y34+AA34+AC34+AE34+AG34+AI34+AK34+AM34+AO34+AQ34+AS34</f>
        <v>3.182723158658770956E-06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>
        <f>P29*N30+P30*N29</f>
        <v>0.00560254101358199996</v>
      </c>
      <c r="S34" s="74" t="n">
        <v>9</v>
      </c>
      <c r="T34" s="135">
        <f>(($B$33)^S34)*((1-($B$33))^(INT($C$23*2*(1-$C$31))-S34))*HLOOKUP(INT($C$23*2*(1-$C$31)),$AV$24:$BF$34,S34+1)</f>
        <v>0</v>
      </c>
      <c r="U34" s="95" t="n">
        <v>9</v>
      </c>
      <c r="V34" s="88">
        <f>T34*R25+T33*R26+T32*R27+T31*R28+T30*R29+T29*R30+T28*R31+T27*R32+T26*R33+T25*R34</f>
        <v>0.00571856874853600061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>
        <f>((($W$25)^Q34)*((1-($W$25))^($U$34-Q34))*HLOOKUP($U$34,$AV$24:$BF$34,Q34+1))*V34</f>
        <v>2.079669533495773135E-06</v>
      </c>
      <c r="AR34" s="30" t="n">
        <v>9</v>
      </c>
      <c r="AS34" s="81">
        <f>((($W$25)^Q34)*((1-($W$25))^($U$35-Q34))*HLOOKUP($U$35,$AV$24:$BF$34,Q34+1))*V35</f>
        <v>1.103053625162998032E-06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>
        <f>$H$28*H46</f>
        <v>0.00795416188610099884</v>
      </c>
      <c r="BP34">
        <f>BP27+1</f>
        <v>8</v>
      </c>
      <c r="BQ34" t="n">
        <v>3</v>
      </c>
      <c r="BR34" s="109">
        <f>$H$33*H42</f>
        <v>0.000059662628012999992</v>
      </c>
    </row>
    <row r="35" spans="7:70">
      <c r="G35" s="90" t="n">
        <v>10</v>
      </c>
      <c r="H35" s="129">
        <f>J35*L25+J34*L26+J33*L27+J32*L28</f>
        <v>2.150744292272062912E-06</v>
      </c>
      <c r="I35" s="96" t="n">
        <v>10</v>
      </c>
      <c r="J35" s="91">
        <f>Y35+AA35+AC35+AE35+AG35+AI35+AK35+AM35+AO35+AQ35+AS35</f>
        <v>7.819178082552797086E-08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>
        <f>P30*N30</f>
        <v>0.000490307083618000128</v>
      </c>
      <c r="S35" s="74" t="n">
        <v>10</v>
      </c>
      <c r="T35" s="135">
        <f>(($B$33)^S35)*((1-($B$33))^(INT($C$23*2*(1-$C$31))-S35))*HLOOKUP(INT($C$23*2*(1-$C$31)),$AV$24:$BF$34,S35+1)</f>
        <v>0</v>
      </c>
      <c r="U35" s="96" t="n">
        <v>10</v>
      </c>
      <c r="V35" s="91">
        <f>IF(((T35*R25+T34*R26+T33*R27+T32*R28+T31*R29+T30*R30+T29*R31+T28*R32+T27*R33+T26*R34+T25*R35)+V23)&lt;&gt;1,1-V23,(T35*R25+T34*R26+T33*R27+T32*R28+T31*R29+T30*R30+T29*R31+T28*R32+T27*R33+T26*R34+T25*R35))</f>
        <v>0.000518319788668999948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>
        <f>((($W$25)^Q35)*((1-($W$25))^($U$35-Q35))*HLOOKUP($U$35,$AV$24:$BF$34,Q35+1))*V35</f>
        <v>7.819178082552797086E-08</v>
      </c>
      <c r="BH35">
        <f>BH28+1</f>
        <v>3</v>
      </c>
      <c r="BI35" t="n">
        <v>8</v>
      </c>
      <c r="BJ35" s="109">
        <f>$H$28*H47</f>
        <v>0.00236614566127899995</v>
      </c>
      <c r="BP35">
        <f>BP28+1</f>
        <v>8</v>
      </c>
      <c r="BQ35" t="n">
        <v>4</v>
      </c>
      <c r="BR35" s="109">
        <f>$H$33*H43</f>
        <v>0.0000614724624910000017</v>
      </c>
    </row>
    <row r="36" spans="1:70">
      <c r="A36" s="3"/>
      <c r="B36" s="110">
        <f>SUM(B37:B39)</f>
        <v>0.999952431050725998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>
        <f>SUM(V39:V49)</f>
        <v>1</v>
      </c>
      <c r="W36" s="15"/>
      <c r="X36" s="15"/>
      <c r="AS36" s="84">
        <f>Y37+AA37+AC37+AE37+AG37+AI37+AK37+AM37+AO37+AQ37+AS37</f>
        <v>1</v>
      </c>
      <c r="BH36">
        <f>BH29+1</f>
        <v>3</v>
      </c>
      <c r="BI36" t="n">
        <v>9</v>
      </c>
      <c r="BJ36" s="109">
        <f>$H$28*H48</f>
        <v>0.000519427208730999901</v>
      </c>
      <c r="BP36">
        <f>BP29+1</f>
        <v>8</v>
      </c>
      <c r="BQ36" t="n">
        <v>5</v>
      </c>
      <c r="BR36" s="109">
        <f>$H$33*H44</f>
        <v>0.0000451323252549999943</v>
      </c>
    </row>
    <row r="37" spans="1:70">
      <c r="A37" s="111" t="s">
        <v>127</v>
      </c>
      <c r="B37" s="109">
        <f>SUM(BN4:BN14)</f>
        <v>0.140489053711438006</v>
      </c>
      <c r="G37" s="15"/>
      <c r="H37" s="61">
        <f>SUM(H39:H49)</f>
        <v>0.999954700859701973</v>
      </c>
      <c r="I37" s="15"/>
      <c r="J37" s="61">
        <f>SUM(J39:J49)</f>
        <v>1</v>
      </c>
      <c r="K37" s="61"/>
      <c r="L37" s="61">
        <f>SUM(L39:L49)</f>
        <v>1</v>
      </c>
      <c r="M37" s="15"/>
      <c r="N37" s="76">
        <f>SUM(N39:N49)</f>
        <v>1.00000000000000999</v>
      </c>
      <c r="O37" s="15"/>
      <c r="P37" s="76">
        <f>SUM(P39:P49)</f>
        <v>1.00000000000000999</v>
      </c>
      <c r="Q37" s="15"/>
      <c r="R37" s="61">
        <f>SUM(R39:R49)</f>
        <v>1.00000000000001998</v>
      </c>
      <c r="S37" s="15"/>
      <c r="T37" s="61">
        <f>SUM(T39:T49)</f>
        <v>1</v>
      </c>
      <c r="U37" s="15"/>
      <c r="V37" s="61">
        <f>SUM(V39:V48)</f>
        <v>0.997975448257266073</v>
      </c>
      <c r="W37" s="15"/>
      <c r="X37" s="15"/>
      <c r="Y37" s="82">
        <f>SUM(Y39:Y49)</f>
        <v>0.000485416270458999932</v>
      </c>
      <c r="Z37" s="83"/>
      <c r="AA37" s="82">
        <f>SUM(AA39:AA49)</f>
        <v>0.0055515342224540003</v>
      </c>
      <c r="AB37" s="83"/>
      <c r="AC37" s="82">
        <f>SUM(AC39:AC49)</f>
        <v>0.0285764848672229999</v>
      </c>
      <c r="AD37" s="83"/>
      <c r="AE37" s="82">
        <f>SUM(AE39:AE49)</f>
        <v>0.0871920690396919973</v>
      </c>
      <c r="AF37" s="83"/>
      <c r="AG37" s="82">
        <f>SUM(AG39:AG49)</f>
        <v>0.174654675678367006</v>
      </c>
      <c r="AH37" s="83"/>
      <c r="AI37" s="82">
        <f>SUM(AI39:AI49)</f>
        <v>0.240035131434665994</v>
      </c>
      <c r="AJ37" s="83"/>
      <c r="AK37" s="82">
        <f>SUM(AK39:AK49)</f>
        <v>0.229299429630713991</v>
      </c>
      <c r="AL37" s="83"/>
      <c r="AM37" s="82">
        <f>SUM(AM39:AM49)</f>
        <v>0.150440534288873984</v>
      </c>
      <c r="AN37" s="83"/>
      <c r="AO37" s="82">
        <f>SUM(AO39:AO49)</f>
        <v>0.0649783611573959874</v>
      </c>
      <c r="AP37" s="83"/>
      <c r="AQ37" s="82">
        <f>SUM(AQ39:AQ49)</f>
        <v>0.0167618116674249968</v>
      </c>
      <c r="AR37" s="83"/>
      <c r="AS37" s="82">
        <f>SUM(AS39:AS49)</f>
        <v>0.00202455174273400029</v>
      </c>
      <c r="BH37">
        <f>BH30+1</f>
        <v>3</v>
      </c>
      <c r="BI37" t="n">
        <v>10</v>
      </c>
      <c r="BJ37" s="109">
        <f>$H$28*H49</f>
        <v>0.0000823914922630000035</v>
      </c>
      <c r="BP37">
        <f>BP30+1</f>
        <v>8</v>
      </c>
      <c r="BQ37" t="n">
        <v>6</v>
      </c>
      <c r="BR37" s="109">
        <f>$H$33*H45</f>
        <v>0.0000242906253919999982</v>
      </c>
    </row>
    <row r="38" spans="1:70">
      <c r="A38" s="112" t="s">
        <v>128</v>
      </c>
      <c r="B38" s="109">
        <f>SUM(BJ4:BJ59)</f>
        <v>0.706775388493992018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>
        <f>$H$29*H44</f>
        <v>0.0181736151636600027</v>
      </c>
      <c r="BP38">
        <f>BL11+1</f>
        <v>8</v>
      </c>
      <c r="BQ38" t="n">
        <v>7</v>
      </c>
      <c r="BR38" s="109">
        <f>$H$33*H46</f>
        <v>9.709960633910557899E-06</v>
      </c>
    </row>
    <row r="39" spans="1:70">
      <c r="A39" s="113" t="s">
        <v>129</v>
      </c>
      <c r="B39" s="109">
        <f>SUM(BR4:BR47)</f>
        <v>0.152687988845296001</v>
      </c>
      <c r="G39" s="130" t="n">
        <v>0</v>
      </c>
      <c r="H39" s="131">
        <f>L39*J39</f>
        <v>0.0107684186632810008</v>
      </c>
      <c r="I39" s="99" t="n">
        <v>0</v>
      </c>
      <c r="J39" s="100">
        <f>Y39+AA39+AC39+AE39+AG39+AI39+AK39+AM39+AO39+AQ39+AS39</f>
        <v>0.0171435406993579997</v>
      </c>
      <c r="K39" s="104" t="n">
        <v>0</v>
      </c>
      <c r="L39" s="100">
        <f>AC20</f>
        <v>0.628132709113227072</v>
      </c>
      <c r="M39" s="86" t="n">
        <v>0</v>
      </c>
      <c r="N39" s="73">
        <f>(1-$C$24)^$B$21</f>
        <v>0.0221428788466590021</v>
      </c>
      <c r="O39" s="72" t="n">
        <v>0</v>
      </c>
      <c r="P39" s="73">
        <f>N39</f>
        <v>0.0221428788466590021</v>
      </c>
      <c r="Q39" s="14" t="n">
        <v>0</v>
      </c>
      <c r="R39" s="75">
        <f>P39*N39</f>
        <v>0.000490307083618000128</v>
      </c>
      <c r="S39" s="72" t="n">
        <v>0</v>
      </c>
      <c r="T39" s="135">
        <f>(1-$C$33)^(INT(B23*2*(1-B31)))</f>
        <v>0.990024999999999977</v>
      </c>
      <c r="U39" s="140" t="n">
        <v>0</v>
      </c>
      <c r="V39" s="88">
        <f>R39*T39</f>
        <v>0.000485416270458999932</v>
      </c>
      <c r="W39" s="136">
        <f>C31</f>
        <v>0.625702295262748009</v>
      </c>
      <c r="X39" s="14" t="n">
        <v>0</v>
      </c>
      <c r="Y39" s="81">
        <f>V39</f>
        <v>0.000485416270458999932</v>
      </c>
      <c r="Z39" s="14" t="n">
        <v>0</v>
      </c>
      <c r="AA39" s="80">
        <f>((1-W39)^Z40)*V40</f>
        <v>0.00207792651723499988</v>
      </c>
      <c r="AB39" s="14" t="n">
        <v>0</v>
      </c>
      <c r="AC39" s="81">
        <f>(((1-$W$39)^AB41))*V41</f>
        <v>0.00400353043144700038</v>
      </c>
      <c r="AD39" s="14" t="n">
        <v>0</v>
      </c>
      <c r="AE39" s="81">
        <f>(((1-$W$39)^AB42))*V42</f>
        <v>0.00457223427872400023</v>
      </c>
      <c r="AF39" s="14" t="n">
        <v>0</v>
      </c>
      <c r="AG39" s="81">
        <f>(((1-$W$39)^AB43))*V43</f>
        <v>0.00342806361368799939</v>
      </c>
      <c r="AH39" s="14" t="n">
        <v>0</v>
      </c>
      <c r="AI39" s="81">
        <f>(((1-$W$39)^AB44))*V44</f>
        <v>0.00176343976290800004</v>
      </c>
      <c r="AJ39" s="14" t="n">
        <v>0</v>
      </c>
      <c r="AK39" s="81">
        <f>(((1-$W$39)^AB45))*V45</f>
        <v>0.000630530295353999826</v>
      </c>
      <c r="AL39" s="14" t="n">
        <v>0</v>
      </c>
      <c r="AM39" s="81">
        <f>(((1-$W$39)^AB46))*V46</f>
        <v>0.000154840660349000014</v>
      </c>
      <c r="AN39" s="14" t="n">
        <v>0</v>
      </c>
      <c r="AO39" s="81">
        <f>(((1-$W$39)^AB47))*V47</f>
        <v>0.0000250326060799999972</v>
      </c>
      <c r="AP39" s="14" t="n">
        <v>0</v>
      </c>
      <c r="AQ39" s="81">
        <f>(((1-$W$39)^AB48))*V48</f>
        <v>2.416993220440188914E-06</v>
      </c>
      <c r="AR39" s="14" t="n">
        <v>0</v>
      </c>
      <c r="AS39" s="81">
        <f>(((1-$W$39)^AB49))*V49</f>
        <v>1.092698936203227995E-07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>
        <f>$H$29*H45</f>
        <v>0.00978120394788999903</v>
      </c>
      <c r="BP39">
        <f>BP31+1</f>
        <v>9</v>
      </c>
      <c r="BQ39" t="n">
        <v>0</v>
      </c>
      <c r="BR39" s="109">
        <f>$H$34*H39</f>
        <v>2.993197270409475035E-07</v>
      </c>
    </row>
    <row r="40" spans="7:70">
      <c r="G40" s="93" t="n">
        <v>1</v>
      </c>
      <c r="H40" s="132">
        <f>L39*J40+L40*J39</f>
        <v>0.0593364377747009986</v>
      </c>
      <c r="I40" s="95" t="n">
        <v>1</v>
      </c>
      <c r="J40" s="88">
        <f>Y40+AA40+AC40+AE40+AG40+AI40+AK40+AM40+AO40+AQ40+AS40</f>
        <v>0.0859594789625369948</v>
      </c>
      <c r="K40" s="97" t="n">
        <v>1</v>
      </c>
      <c r="L40" s="88">
        <f>AD20</f>
        <v>0.31163208777528002</v>
      </c>
      <c r="M40" s="87" t="n">
        <v>1</v>
      </c>
      <c r="N40" s="73">
        <f>(($C$24)^M26)*((1-($C$24))^($B$21-M26))*HLOOKUP($B$21,$AV$24:$BF$34,M26+1)</f>
        <v>0.126508866628880012</v>
      </c>
      <c r="O40" s="74" t="n">
        <v>1</v>
      </c>
      <c r="P40" s="73">
        <f>N40</f>
        <v>0.126508866628880012</v>
      </c>
      <c r="Q40" s="30" t="n">
        <v>1</v>
      </c>
      <c r="R40" s="39">
        <f>P40*N39+P39*N40</f>
        <v>0.00560254101358199996</v>
      </c>
      <c r="S40" s="74" t="n">
        <v>1</v>
      </c>
      <c r="T40" s="135">
        <f>(($C$33)^S40)*((1-($C$33))^(INT($B$23*2*(1-$B$31))-S40))*HLOOKUP(INT($B$23*2*(1-$B$31)),$AV$24:$BF$34,S40+1)</f>
        <v>0.00995000000000000107</v>
      </c>
      <c r="U40" s="95" t="n">
        <v>1</v>
      </c>
      <c r="V40" s="88">
        <f>R40*T39+T40*R39</f>
        <v>0.0055515342224540003</v>
      </c>
      <c r="W40" s="137"/>
      <c r="X40" s="30" t="n">
        <v>1</v>
      </c>
      <c r="Y40" s="75"/>
      <c r="Z40" s="30" t="n">
        <v>1</v>
      </c>
      <c r="AA40" s="81">
        <f>(1-((1-W39)^Z40))*V40</f>
        <v>0.00347360770521899997</v>
      </c>
      <c r="AB40" s="30" t="n">
        <v>1</v>
      </c>
      <c r="AC40" s="81">
        <f>((($W$39)^M40)*((1-($W$39))^($U$27-M40))*HLOOKUP($U$27,$AV$24:$BF$34,M40+1))*V41</f>
        <v>0.0133851645276270004</v>
      </c>
      <c r="AD40" s="30" t="n">
        <v>1</v>
      </c>
      <c r="AE40" s="81">
        <f>((($W$39)^M40)*((1-($W$39))^($U$28-M40))*HLOOKUP($U$28,$AV$24:$BF$34,M40+1))*V42</f>
        <v>0.0229298025058790023</v>
      </c>
      <c r="AF40" s="30" t="n">
        <v>1</v>
      </c>
      <c r="AG40" s="81">
        <f>((($W$39)^M40)*((1-($W$39))^($U$29-M40))*HLOOKUP($U$29,$AV$24:$BF$34,M40+1))*V43</f>
        <v>0.0229223662795020022</v>
      </c>
      <c r="AH40" s="30" t="n">
        <v>1</v>
      </c>
      <c r="AI40" s="81">
        <f>((($W$39)^M40)*((1-($W$39))^($U$30-M40))*HLOOKUP($U$30,$AV$24:$BF$34,M40+1))*V44</f>
        <v>0.0147394479480449991</v>
      </c>
      <c r="AJ40" s="30" t="n">
        <v>1</v>
      </c>
      <c r="AK40" s="81">
        <f>((($W$39)^M40)*((1-($W$39))^($U$31-M40))*HLOOKUP($U$31,$AV$24:$BF$34,M40+1))*V45</f>
        <v>0.00632423199034600092</v>
      </c>
      <c r="AL40" s="30" t="n">
        <v>1</v>
      </c>
      <c r="AM40" s="81">
        <f>((($W$39)^Q40)*((1-($W$39))^($U$32-Q40))*HLOOKUP($U$32,$AV$24:$BF$34,Q40+1))*V46</f>
        <v>0.00181189755502299992</v>
      </c>
      <c r="AN40" s="30" t="n">
        <v>1</v>
      </c>
      <c r="AO40" s="81">
        <f>((($W$39)^Q40)*((1-($W$39))^($U$33-Q40))*HLOOKUP($U$33,$AV$24:$BF$34,Q40+1))*V47</f>
        <v>0.000334770080229999989</v>
      </c>
      <c r="AP40" s="30" t="n">
        <v>1</v>
      </c>
      <c r="AQ40" s="81">
        <f>((($W$39)^Q40)*((1-($W$39))^($U$34-Q40))*HLOOKUP($U$34,$AV$24:$BF$34,Q40+1))*V48</f>
        <v>0.0000363637384860000035</v>
      </c>
      <c r="AR40" s="30" t="n">
        <v>1</v>
      </c>
      <c r="AS40" s="81">
        <f>((($W$39)^Q40)*((1-($W$39))^($U$35-Q40))*HLOOKUP($U$35,$AV$24:$BF$34,Q40+1))*V49</f>
        <v>1.826632180091246054E-06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>
        <f>$H$29*H46</f>
        <v>0.00390994895159900047</v>
      </c>
      <c r="BP40">
        <f>BP32+1</f>
        <v>9</v>
      </c>
      <c r="BQ40" t="n">
        <v>1</v>
      </c>
      <c r="BR40" s="109">
        <f>$H$34*H40</f>
        <v>1.649319822497897975E-06</v>
      </c>
    </row>
    <row r="41" spans="7:70">
      <c r="G41" s="93" t="n">
        <v>2</v>
      </c>
      <c r="H41" s="132">
        <f>L39*J41+J40*L40+J39*L41</f>
        <v>0.149591762379894</v>
      </c>
      <c r="I41" s="95" t="n">
        <v>2</v>
      </c>
      <c r="J41" s="88">
        <f>Y41+AA41+AC41+AE41+AG41+AI41+AK41+AM41+AO41+AQ41+AS41</f>
        <v>0.194008139765355008</v>
      </c>
      <c r="K41" s="97" t="n">
        <v>2</v>
      </c>
      <c r="L41" s="88">
        <f>AE20</f>
        <v>0.0548995147734180033</v>
      </c>
      <c r="M41" s="87" t="n">
        <v>2</v>
      </c>
      <c r="N41" s="73">
        <f>(($C$24)^M27)*((1-($C$24))^($B$21-M27))*HLOOKUP($B$21,$AV$24:$BF$34,M27+1)</f>
        <v>0.28911314461965997</v>
      </c>
      <c r="O41" s="74" t="n">
        <v>2</v>
      </c>
      <c r="P41" s="73">
        <f>N41</f>
        <v>0.28911314461965997</v>
      </c>
      <c r="Q41" s="30" t="n">
        <v>2</v>
      </c>
      <c r="R41" s="39">
        <f>P41*N39+P40*N40+P39*N41</f>
        <v>0.0288080880043040022</v>
      </c>
      <c r="S41" s="74" t="n">
        <v>2</v>
      </c>
      <c r="T41" s="135">
        <f>(($C$33)^S41)*((1-($C$33))^(INT($B$23*2*(1-$B$31))-S41))*HLOOKUP(INT($B$23*2*(1-$B$31)),$AV$24:$BF$34,S41+1)</f>
        <v>0.000025</v>
      </c>
      <c r="U41" s="95" t="n">
        <v>2</v>
      </c>
      <c r="V41" s="88">
        <f>R41*T39+T40*R40+R39*T41</f>
        <v>0.0285764848672229999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>
        <f>((($W$39)^M41)*((1-($W$39))^($U$27-M41))*HLOOKUP($U$27,$AV$24:$BF$34,M41+1))*V41</f>
        <v>0.0111877899081490018</v>
      </c>
      <c r="AD41" s="30" t="n">
        <v>2</v>
      </c>
      <c r="AE41" s="81">
        <f>((($W$39)^M41)*((1-($W$39))^($U$28-M41))*HLOOKUP($U$28,$AV$24:$BF$34,M41+1))*V42</f>
        <v>0.0383310660906169964</v>
      </c>
      <c r="AF41" s="30" t="n">
        <v>2</v>
      </c>
      <c r="AG41" s="81">
        <f>((($W$39)^M41)*((1-($W$39))^($U$29-M41))*HLOOKUP($U$29,$AV$24:$BF$34,M41+1))*V43</f>
        <v>0.0574779527595799955</v>
      </c>
      <c r="AH41" s="30" t="n">
        <v>2</v>
      </c>
      <c r="AI41" s="81">
        <f>((($W$39)^M41)*((1-($W$39))^($U$30-M41))*HLOOKUP($U$30,$AV$24:$BF$34,M41+1))*V44</f>
        <v>0.0492789899338079973</v>
      </c>
      <c r="AJ41" s="30" t="n">
        <v>2</v>
      </c>
      <c r="AK41" s="81">
        <f>((($W$39)^M41)*((1-($W$39))^($U$31-M41))*HLOOKUP($U$31,$AV$24:$BF$34,M41+1))*V45</f>
        <v>0.0264300743903259949</v>
      </c>
      <c r="AL41" s="30" t="n">
        <v>2</v>
      </c>
      <c r="AM41" s="81">
        <f>((($W$39)^Q41)*((1-($W$39))^($U$32-Q41))*HLOOKUP($U$32,$AV$24:$BF$34,Q41+1))*V46</f>
        <v>0.0090866851007350018</v>
      </c>
      <c r="AN41" s="30" t="n">
        <v>2</v>
      </c>
      <c r="AO41" s="81">
        <f>((($W$39)^Q41)*((1-($W$39))^($U$33-Q41))*HLOOKUP($U$33,$AV$24:$BF$34,Q41+1))*V47</f>
        <v>0.00195868801029200021</v>
      </c>
      <c r="AP41" s="30" t="n">
        <v>2</v>
      </c>
      <c r="AQ41" s="81">
        <f>((($W$39)^Q41)*((1-($W$39))^($U$34-Q41))*HLOOKUP($U$34,$AV$24:$BF$34,Q41+1))*V48</f>
        <v>0.00024315270274999996</v>
      </c>
      <c r="AR41" s="30" t="n">
        <v>2</v>
      </c>
      <c r="AS41" s="81">
        <f>((($W$39)^Q41)*((1-($W$39))^($U$35-Q41))*HLOOKUP($U$35,$AV$24:$BF$34,Q41+1))*V49</f>
        <v>0.0000137408690979999992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>
        <f>$H$29*H47</f>
        <v>0.00116310289884999984</v>
      </c>
      <c r="BP41">
        <f>BP33+1</f>
        <v>9</v>
      </c>
      <c r="BQ41" t="n">
        <v>2</v>
      </c>
      <c r="BR41" s="109">
        <f>$H$34*H41</f>
        <v>4.158063210878313241E-06</v>
      </c>
    </row>
    <row r="42" spans="7:70" ht="15" customHeight="1">
      <c r="G42" s="93" t="n">
        <v>3</v>
      </c>
      <c r="H42" s="132">
        <f>J42*L39+J41*L40+L42*J39+L41*J40</f>
        <v>0.228319159690969986</v>
      </c>
      <c r="I42" s="95" t="n">
        <v>3</v>
      </c>
      <c r="J42" s="88">
        <f>Y42+AA42+AC42+AE42+AG42+AI42+AK42+AM42+AO42+AQ42+AS42</f>
        <v>0.259577935378144975</v>
      </c>
      <c r="K42" s="97" t="n">
        <v>3</v>
      </c>
      <c r="L42" s="88">
        <f>AF20</f>
        <v>0.0053356883380750002</v>
      </c>
      <c r="M42" s="87" t="n">
        <v>3</v>
      </c>
      <c r="N42" s="73">
        <f>(($C$24)^M28)*((1-($C$24))^($B$21-M28))*HLOOKUP($B$21,$AV$24:$BF$34,M28+1)</f>
        <v>0.330357913319509988</v>
      </c>
      <c r="O42" s="74" t="n">
        <v>3</v>
      </c>
      <c r="P42" s="73">
        <f>N42</f>
        <v>0.330357913319509988</v>
      </c>
      <c r="Q42" s="30" t="n">
        <v>3</v>
      </c>
      <c r="R42" s="39">
        <f>P42*N39+P41*N40+P40*N41+P39*N42</f>
        <v>0.0877809030080280017</v>
      </c>
      <c r="S42" s="74" t="n">
        <v>3</v>
      </c>
      <c r="T42" s="135">
        <f>(($C$33)^S42)*((1-($C$33))^(INT($B$23*2*(1-$B$31))-S42))*HLOOKUP(INT($B$23*2*(1-$B$31)),$AV$24:$BF$34,S42+1)</f>
        <v>0</v>
      </c>
      <c r="U42" s="95" t="n">
        <v>3</v>
      </c>
      <c r="V42" s="88">
        <f>R42*T39+R41*T40+R40*T41+R39*T42</f>
        <v>0.0871920690396910025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>
        <f>((($W$39)^M42)*((1-($W$39))^($U$28-M42))*HLOOKUP($U$28,$AV$24:$BF$34,M42+1))*V42</f>
        <v>0.0213589661644719975</v>
      </c>
      <c r="AF42" s="30" t="n">
        <v>3</v>
      </c>
      <c r="AG42" s="81">
        <f>((($W$39)^M42)*((1-($W$39))^($U$29-M42))*HLOOKUP($U$29,$AV$24:$BF$34,M42+1))*V43</f>
        <v>0.0640561180997509894</v>
      </c>
      <c r="AH42" s="30" t="n">
        <v>3</v>
      </c>
      <c r="AI42" s="81">
        <f>((($W$39)^M42)*((1-($W$39))^($U$30-M42))*HLOOKUP($U$30,$AV$24:$BF$34,M42+1))*V44</f>
        <v>0.0823782158414740096</v>
      </c>
      <c r="AJ42" s="30" t="n">
        <v>3</v>
      </c>
      <c r="AK42" s="81">
        <f>((($W$39)^M42)*((1-($W$39))^($U$31-M42))*HLOOKUP($U$31,$AV$24:$BF$34,M42+1))*V45</f>
        <v>0.058909821427129998</v>
      </c>
      <c r="AL42" s="30" t="n">
        <v>3</v>
      </c>
      <c r="AM42" s="81">
        <f>((($W$39)^Q42)*((1-($W$39))^($U$32-Q42))*HLOOKUP($U$32,$AV$24:$BF$34,Q42+1))*V46</f>
        <v>0.0253165668748930006</v>
      </c>
      <c r="AN42" s="30" t="n">
        <v>3</v>
      </c>
      <c r="AO42" s="81">
        <f>((($W$39)^Q42)*((1-($W$39))^($U$33-Q42))*HLOOKUP($U$33,$AV$24:$BF$34,Q42+1))*V47</f>
        <v>0.00654856050802600009</v>
      </c>
      <c r="AP42" s="30" t="n">
        <v>3</v>
      </c>
      <c r="AQ42" s="81">
        <f>((($W$39)^Q42)*((1-($W$39))^($U$34-Q42))*HLOOKUP($U$34,$AV$24:$BF$34,Q42+1))*V48</f>
        <v>0.00094843259433300009</v>
      </c>
      <c r="AR42" s="30" t="n">
        <v>3</v>
      </c>
      <c r="AS42" s="81">
        <f>((($W$39)^Q42)*((1-($W$39))^($U$35-Q42))*HLOOKUP($U$35,$AV$24:$BF$34,Q42+1))*V49</f>
        <v>0.000061253868065999999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>
        <f>$H$29*H48</f>
        <v>0.000255329712832999967</v>
      </c>
      <c r="BP42">
        <f>BP34+1</f>
        <v>9</v>
      </c>
      <c r="BQ42" t="n">
        <v>3</v>
      </c>
      <c r="BR42" s="109">
        <f>$H$34*H42</f>
        <v>6.34637551657906861E-06</v>
      </c>
    </row>
    <row r="43" spans="7:70" ht="15" customHeight="1">
      <c r="G43" s="93" t="n">
        <v>4</v>
      </c>
      <c r="H43" s="132">
        <f>J43*L39+J42*L40+J41*L41+J40*L42</f>
        <v>0.235245101456712025</v>
      </c>
      <c r="I43" s="95" t="n">
        <v>4</v>
      </c>
      <c r="J43" s="88">
        <f>Y43+AA43+AC43+AE43+AG43+AI43+AK43+AM43+AO43+AQ43+AS43</f>
        <v>0.228045251762147982</v>
      </c>
      <c r="K43" s="97" t="n">
        <v>4</v>
      </c>
      <c r="L43" s="88"/>
      <c r="M43" s="87" t="n">
        <v>4</v>
      </c>
      <c r="N43" s="73">
        <f>(($C$24)^M29)*((1-($C$24))^($B$21-M29))*HLOOKUP($B$21,$AV$24:$BF$34,M29+1)</f>
        <v>0.188743322335609989</v>
      </c>
      <c r="O43" s="74" t="n">
        <v>4</v>
      </c>
      <c r="P43" s="73">
        <f>N43</f>
        <v>0.188743322335609989</v>
      </c>
      <c r="Q43" s="30" t="n">
        <v>4</v>
      </c>
      <c r="R43" s="39">
        <f>P43*N39+P42*N40+P41*N41+P40*N42+P39*N43</f>
        <v>0.17553146182292001</v>
      </c>
      <c r="S43" s="74" t="n">
        <v>4</v>
      </c>
      <c r="T43" s="135">
        <f>(($C$33)^S43)*((1-($C$33))^(INT($B$23*2*(1-$B$31))-S43))*HLOOKUP(INT($B$23*2*(1-$B$31)),$AV$24:$BF$34,S43+1)</f>
        <v>0</v>
      </c>
      <c r="U43" s="95" t="n">
        <v>4</v>
      </c>
      <c r="V43" s="88">
        <f>T43*R39+T42*R40+T41*R41+T40*R42+T39*R43</f>
        <v>0.174654675678366011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>
        <f>((($W$39)^M43)*((1-($W$39))^($U$29-M43))*HLOOKUP($U$29,$AV$24:$BF$34,M43+1))*V43</f>
        <v>0.0267701749258459998</v>
      </c>
      <c r="AH43" s="30" t="n">
        <v>4</v>
      </c>
      <c r="AI43" s="81">
        <f>((($W$39)^M43)*((1-($W$39))^($U$30-M43))*HLOOKUP($U$30,$AV$24:$BF$34,M43+1))*V44</f>
        <v>0.0688546016704060015</v>
      </c>
      <c r="AJ43" s="30" t="n">
        <v>4</v>
      </c>
      <c r="AK43" s="81">
        <f>((($W$39)^M43)*((1-($W$39))^($U$31-M43))*HLOOKUP($U$31,$AV$24:$BF$34,M43+1))*V45</f>
        <v>0.0738583419306849898</v>
      </c>
      <c r="AL43" s="30" t="n">
        <v>4</v>
      </c>
      <c r="AM43" s="81">
        <f>((($W$39)^Q43)*((1-($W$39))^($U$32-Q43))*HLOOKUP($U$32,$AV$24:$BF$34,Q43+1))*V46</f>
        <v>0.0423209488097570041</v>
      </c>
      <c r="AN43" s="30" t="n">
        <v>4</v>
      </c>
      <c r="AO43" s="81">
        <f>((($W$39)^Q43)*((1-($W$39))^($U$33-Q43))*HLOOKUP($U$33,$AV$24:$BF$34,Q43+1))*V47</f>
        <v>0.0136837912999459999</v>
      </c>
      <c r="AP43" s="30" t="n">
        <v>4</v>
      </c>
      <c r="AQ43" s="81">
        <f>((($W$39)^Q43)*((1-($W$39))^($U$34-Q43))*HLOOKUP($U$34,$AV$24:$BF$34,Q43+1))*V48</f>
        <v>0.00237819966699799989</v>
      </c>
      <c r="AR43" s="30" t="n">
        <v>4</v>
      </c>
      <c r="AS43" s="81">
        <f>((($W$39)^Q43)*((1-($W$39))^($U$35-Q43))*HLOOKUP($U$35,$AV$24:$BF$34,Q43+1))*V49</f>
        <v>0.000179193458509999992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>
        <f>$H$29*H49</f>
        <v>0.0000405003736920000001</v>
      </c>
      <c r="BP43">
        <f>BP35+1</f>
        <v>9</v>
      </c>
      <c r="BQ43" t="n">
        <v>4</v>
      </c>
      <c r="BR43" s="109">
        <f>$H$34*H43</f>
        <v>6.538889483916939689E-06</v>
      </c>
    </row>
    <row r="44" spans="7:70" ht="15" customHeight="1">
      <c r="G44" s="93" t="n">
        <v>5</v>
      </c>
      <c r="H44" s="132">
        <f>J44*L39+J43*L40+J42*L41+J41*L42</f>
        <v>0.172714057699004986</v>
      </c>
      <c r="I44" s="95" t="n">
        <v>5</v>
      </c>
      <c r="J44" s="88">
        <f>Y44+AA44+AC44+AE44+AG44+AI44+AK44+AM44+AO44+AQ44+AS44</f>
        <v>0.137490006276006982</v>
      </c>
      <c r="K44" s="97" t="n">
        <v>5</v>
      </c>
      <c r="L44" s="88"/>
      <c r="M44" s="87" t="n">
        <v>5</v>
      </c>
      <c r="N44" s="73">
        <f>(($C$24)^M30)*((1-($C$24))^($B$21-M30))*HLOOKUP($B$21,$AV$24:$BF$34,M30+1)</f>
        <v>0.043133874249689006</v>
      </c>
      <c r="O44" s="74" t="n">
        <v>5</v>
      </c>
      <c r="P44" s="73">
        <f>N44</f>
        <v>0.043133874249689006</v>
      </c>
      <c r="Q44" s="30" t="n">
        <v>5</v>
      </c>
      <c r="R44" s="39">
        <f>P44*N39+P43*N40+P42*N41+P41*N42+P40*N43+P39*N44</f>
        <v>0.240687254227876002</v>
      </c>
      <c r="S44" s="74" t="n">
        <v>5</v>
      </c>
      <c r="T44" s="135">
        <f>(($C$33)^S44)*((1-($C$33))^(INT($B$23*2*(1-$B$31))-S44))*HLOOKUP(INT($B$23*2*(1-$B$31)),$AV$24:$BF$34,S44+1)</f>
        <v>0</v>
      </c>
      <c r="U44" s="95" t="n">
        <v>5</v>
      </c>
      <c r="V44" s="88">
        <f>T44*R39+T43*R40+T42*R41+T41*R42+T40*R43+T39*R44</f>
        <v>0.240035131434665994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>
        <f>((($W$39)^M44)*((1-($W$39))^($U$30-M44))*HLOOKUP($U$30,$AV$24:$BF$34,M44+1))*V44</f>
        <v>0.0230204362780250005</v>
      </c>
      <c r="AJ44" s="30" t="n">
        <v>5</v>
      </c>
      <c r="AK44" s="81">
        <f>((($W$39)^M44)*((1-($W$39))^($U$31-M44))*HLOOKUP($U$31,$AV$24:$BF$34,M44+1))*V45</f>
        <v>0.0493867138221120072</v>
      </c>
      <c r="AL44" s="30" t="n">
        <v>5</v>
      </c>
      <c r="AM44" s="81">
        <f>((($W$39)^Q44)*((1-($W$39))^($U$32-Q44))*HLOOKUP($U$32,$AV$24:$BF$34,Q44+1))*V46</f>
        <v>0.0424479997704780043</v>
      </c>
      <c r="AN44" s="30" t="n">
        <v>5</v>
      </c>
      <c r="AO44" s="81">
        <f>((($W$39)^Q44)*((1-($W$39))^($U$33-Q44))*HLOOKUP($U$33,$AV$24:$BF$34,Q44+1))*V47</f>
        <v>0.0182998282188969981</v>
      </c>
      <c r="AP44" s="30" t="n">
        <v>5</v>
      </c>
      <c r="AQ44" s="81">
        <f>((($W$39)^Q44)*((1-($W$39))^($U$34-Q44))*HLOOKUP($U$34,$AV$24:$BF$34,Q44+1))*V48</f>
        <v>0.00397556536254499981</v>
      </c>
      <c r="AR44" s="30" t="n">
        <v>5</v>
      </c>
      <c r="AS44" s="81">
        <f>((($W$39)^Q44)*((1-($W$39))^($U$35-Q44))*HLOOKUP($U$35,$AV$24:$BF$34,Q44+1))*V49</f>
        <v>0.000359462823949999954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>
        <f>$H$30*H45</f>
        <v>0.00343000835133099979</v>
      </c>
      <c r="BP44">
        <f>BP36+1</f>
        <v>9</v>
      </c>
      <c r="BQ44" t="n">
        <v>5</v>
      </c>
      <c r="BR44" s="109">
        <f>$H$34*H44</f>
        <v>4.800772167493839048E-06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>
        <f>J45*L39+J44*L40+J43*L41+J42*L42</f>
        <v>0.0929562669732159996</v>
      </c>
      <c r="I45" s="95" t="n">
        <v>6</v>
      </c>
      <c r="J45" s="88">
        <f>Y45+AA45+AC45+AE45+AG45+AI45+AK45+AM45+AO45+AQ45+AS45</f>
        <v>0.0576396804579049959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>
        <f>P44*N40+P43*N41+P42*N42+P41*N43+P40*N44</f>
        <v>0.229186336874923002</v>
      </c>
      <c r="S45" s="72" t="n">
        <v>6</v>
      </c>
      <c r="T45" s="135">
        <f>(($C$33)^S45)*((1-($C$33))^(INT($B$23*2*(1-$B$31))-S45))*HLOOKUP(INT($B$23*2*(1-$B$31)),$AV$24:$BF$34,S45+1)</f>
        <v>0</v>
      </c>
      <c r="U45" s="95" t="n">
        <v>6</v>
      </c>
      <c r="V45" s="88">
        <f>T45*R39+T44*R40+T43*R41+T42*R42+T41*R43+T40*R44+T39*R45</f>
        <v>0.229299429630709017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>
        <f>((($W$39)^Q45)*((1-($W$39))^($U$31-Q45))*HLOOKUP($U$31,$AV$24:$BF$34,Q45+1))*V45</f>
        <v>0.0137597157747610011</v>
      </c>
      <c r="AL45" s="30" t="n">
        <v>6</v>
      </c>
      <c r="AM45" s="81">
        <f>((($W$39)^Q45)*((1-($W$39))^($U$32-Q45))*HLOOKUP($U$32,$AV$24:$BF$34,Q45+1))*V46</f>
        <v>0.0236530178603379992</v>
      </c>
      <c r="AN45" s="30" t="n">
        <v>6</v>
      </c>
      <c r="AO45" s="81">
        <f>((($W$39)^Q45)*((1-($W$39))^($U$33-Q45))*HLOOKUP($U$33,$AV$24:$BF$34,Q45+1))*V47</f>
        <v>0.0152956381705769999</v>
      </c>
      <c r="AP45" s="30" t="n">
        <v>6</v>
      </c>
      <c r="AQ45" s="81">
        <f>((($W$39)^Q45)*((1-($W$39))^($U$34-Q45))*HLOOKUP($U$34,$AV$24:$BF$34,Q45+1))*V48</f>
        <v>0.0044305559288390004</v>
      </c>
      <c r="AR45" s="30" t="n">
        <v>6</v>
      </c>
      <c r="AS45" s="81">
        <f>((($W$39)^Q45)*((1-($W$39))^($U$35-Q45))*HLOOKUP($U$35,$AV$24:$BF$34,Q45+1))*V49</f>
        <v>0.000500752723389999943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>
        <f>$H$30*H46</f>
        <v>0.00137111521533599978</v>
      </c>
      <c r="BP45">
        <f>BP37+1</f>
        <v>9</v>
      </c>
      <c r="BQ45" t="n">
        <v>6</v>
      </c>
      <c r="BR45" s="109">
        <f>$H$34*H45</f>
        <v>2.583818973536355918E-06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>
        <f>J46*L39+J45*L40+J44*L41+J43*L42</f>
        <v>0.0371584378091669976</v>
      </c>
      <c r="I46" s="95" t="n">
        <v>7</v>
      </c>
      <c r="J46" s="88">
        <f>Y46+AA46+AC46+AE46+AG46+AI46+AK46+AM46+AO46+AQ46+AS46</f>
        <v>0.016606603472327004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>
        <f>P44*N41+P43*N42+P42*N43+P41*N44</f>
        <v>0.149646840287482004</v>
      </c>
      <c r="S46" s="74" t="n">
        <v>7</v>
      </c>
      <c r="T46" s="135">
        <f>(($C$33)^S46)*((1-($C$33))^(INT($B$23*2*(1-$B$31))-S46))*HLOOKUP(INT($B$23*2*(1-$B$31)),$AV$24:$BF$34,S46+1)</f>
        <v>0</v>
      </c>
      <c r="U46" s="95" t="n">
        <v>7</v>
      </c>
      <c r="V46" s="88">
        <f>T46*R39+T45*R40+T44*R41+T43*R42+T42*R43+T41*R44+T40*R45+T39*R46</f>
        <v>0.150440534288875005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>
        <f>((($W$39)^Q46)*((1-($W$39))^($U$32-Q46))*HLOOKUP($U$32,$AV$24:$BF$34,Q46+1))*V46</f>
        <v>0.0056485776573010007</v>
      </c>
      <c r="AN46" s="30" t="n">
        <v>7</v>
      </c>
      <c r="AO46" s="81">
        <f>((($W$39)^Q46)*((1-($W$39))^($U$33-Q46))*HLOOKUP($U$33,$AV$24:$BF$34,Q46+1))*V47</f>
        <v>0.0073055033006469996</v>
      </c>
      <c r="AP46" s="30" t="n">
        <v>7</v>
      </c>
      <c r="AQ46" s="81">
        <f>((($W$39)^Q46)*((1-($W$39))^($U$34-Q46))*HLOOKUP($U$34,$AV$24:$BF$34,Q46+1))*V48</f>
        <v>0.00317418344375800032</v>
      </c>
      <c r="AR46" s="30" t="n">
        <v>7</v>
      </c>
      <c r="AS46" s="81">
        <f>((($W$39)^Q46)*((1-($W$39))^($U$35-Q46))*HLOOKUP($U$35,$AV$24:$BF$34,Q46+1))*V49</f>
        <v>0.000478339070620999962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>
        <f>$H$30*H47</f>
        <v>0.000407869284574999913</v>
      </c>
      <c r="BP46">
        <f>BP38+1</f>
        <v>9</v>
      </c>
      <c r="BQ46" t="n">
        <v>7</v>
      </c>
      <c r="BR46" s="109">
        <f>$H$34*H46</f>
        <v>1.032858566340239091E-06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>
        <f>J47*L39+J46*L40+J45*L41+J44*L42</f>
        <v>0.0110536191821390006</v>
      </c>
      <c r="I47" s="95" t="n">
        <v>8</v>
      </c>
      <c r="J47" s="88">
        <f>Y47+AA47+AC47+AE47+AG47+AI47+AK47+AM47+AO47+AQ47+AS47</f>
        <v>0.00315295530792299994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>
        <f>P44*N42+P43*N43+P42*N44</f>
        <v>0.0641232751073100005</v>
      </c>
      <c r="S47" s="74" t="n">
        <v>8</v>
      </c>
      <c r="T47" s="135">
        <f>(($C$33)^S47)*((1-($C$33))^(INT($B$23*2*(1-$B$31))-S47))*HLOOKUP(INT($B$23*2*(1-$B$31)),$AV$24:$BF$34,S47+1)</f>
        <v>0</v>
      </c>
      <c r="U47" s="95" t="n">
        <v>8</v>
      </c>
      <c r="V47" s="88">
        <f>T47*R39+T46*R40+T45*R41+T44*R42+T43*R43+T42*R44+T41*R45+T40*R46+T39*R47</f>
        <v>0.064978361157396991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>
        <f>((($W$39)^Q47)*((1-($W$39))^($U$33-Q47))*HLOOKUP($U$33,$AV$24:$BF$34,Q47+1))*V47</f>
        <v>0.00152654896270099982</v>
      </c>
      <c r="AP47" s="30" t="n">
        <v>8</v>
      </c>
      <c r="AQ47" s="81">
        <f>((($W$39)^Q47)*((1-($W$39))^($U$34-Q47))*HLOOKUP($U$34,$AV$24:$BF$34,Q47+1))*V48</f>
        <v>0.00132654691787300028</v>
      </c>
      <c r="AR47" s="30" t="n">
        <v>8</v>
      </c>
      <c r="AS47" s="81">
        <f>((($W$39)^Q47)*((1-($W$39))^($U$35-Q47))*HLOOKUP($U$35,$AV$24:$BF$34,Q47+1))*V49</f>
        <v>0.000299859427349000018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>
        <f>$H$30*H48</f>
        <v>0.0000895373465299999971</v>
      </c>
      <c r="BP47">
        <f>BL12+1</f>
        <v>9</v>
      </c>
      <c r="BQ47" t="n">
        <v>8</v>
      </c>
      <c r="BR47" s="109">
        <f>$H$34*H47</f>
        <v>3.072471808413463811E-07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>
        <f>J48*L39+J47*L40+J46*L41+J45*L42</f>
        <v>0.00242654146450399999</v>
      </c>
      <c r="I48" s="95" t="n">
        <v>9</v>
      </c>
      <c r="J48" s="88">
        <f>Y48+AA48+AC48+AE48+AG48+AI48+AK48+AM48+AO48+AQ48+AS48</f>
        <v>0.000357786774160999954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>
        <f>P44*N43+P43*N44</f>
        <v>0.0162824614621859975</v>
      </c>
      <c r="S48" s="74" t="n">
        <v>9</v>
      </c>
      <c r="T48" s="135">
        <f>(($C$33)^S48)*((1-($C$33))^(INT($B$23*2*(1-$B$31))-S48))*HLOOKUP(INT($B$23*2*(1-$B$31)),$AV$24:$BF$34,S48+1)</f>
        <v>0</v>
      </c>
      <c r="U48" s="95" t="n">
        <v>9</v>
      </c>
      <c r="V48" s="88">
        <f>T48*R39+T47*R40+T46*R41+T45*R42+T44*R43+T43*R44+T42*R45+T41*R46+T40*R47+T39*R48</f>
        <v>0.0167618116674260031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>
        <f>((($W$39)^Q48)*((1-($W$39))^($U$34-Q48))*HLOOKUP($U$34,$AV$24:$BF$34,Q48+1))*V48</f>
        <v>0.000246394318622999986</v>
      </c>
      <c r="AR48" s="30" t="n">
        <v>9</v>
      </c>
      <c r="AS48" s="81">
        <f>((($W$39)^Q48)*((1-($W$39))^($U$35-Q48))*HLOOKUP($U$35,$AV$24:$BF$34,Q48+1))*V49</f>
        <v>0.000111392455538000013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>
        <f>$H$30*H49</f>
        <v>0.0000142024050139999964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>
        <f>J49*L39+J48*L40+J47*L41+J46*L42</f>
        <v>0.000384897766112999982</v>
      </c>
      <c r="I49" s="96" t="n">
        <v>10</v>
      </c>
      <c r="J49" s="91">
        <f>Y49+AA49+AC49+AE49+AG49+AI49+AK49+AM49+AO49+AQ49+AS49</f>
        <v>0.0000186211441380000018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>
        <f>P44*N44</f>
        <v>0.00186053110778799979</v>
      </c>
      <c r="S49" s="74" t="n">
        <v>10</v>
      </c>
      <c r="T49" s="135">
        <f>(($C$33)^S49)*((1-($C$33))^(INT($B$23*2*(1-$B$31))-S49))*HLOOKUP(INT($B$23*2*(1-$B$31)),$AV$24:$BF$34,S49+1)</f>
        <v>0</v>
      </c>
      <c r="U49" s="96" t="n">
        <v>10</v>
      </c>
      <c r="V49" s="91">
        <f>IF(((T49*R39+T48*R40+T47*R41+T46*R42+T45*R43+T44*R44+T43*R45+T42*R46+T41*R47+T40*R48+T39*R49)+V37)&lt;&gt;1,1-V37,(T49*R39+T48*R40+T47*R41+T46*R42+T45*R43+T44*R44+T43*R45+T42*R46+T41*R47+T40*R48+T39*R49))</f>
        <v>0.00202455174273400029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>
        <f>((($W$39)^Q49)*((1-($W$39))^($U$35-Q49))*HLOOKUP($U$35,$AV$24:$BF$34,Q49+1))*V49</f>
        <v>0.0000186211441380000018</v>
      </c>
      <c r="BH49">
        <f>BP14+1</f>
        <v>6</v>
      </c>
      <c r="BI49" t="n">
        <v>0</v>
      </c>
      <c r="BJ49" s="109">
        <f>$H$31*H39</f>
        <v>0.000102334305831000005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>
        <f>$H$31*H46</f>
        <v>0.000353123616183000033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>
        <f>$H$31*H47</f>
        <v>0.000105044619948000006</v>
      </c>
    </row>
    <row r="52" spans="8:62">
      <c r="H52" s="109"/>
      <c r="BH52">
        <f>BH47+1</f>
        <v>6</v>
      </c>
      <c r="BI52" t="n">
        <v>9</v>
      </c>
      <c r="BJ52" s="109">
        <f>$H$31*H48</f>
        <v>0.0000230598794590000011</v>
      </c>
    </row>
    <row r="53" spans="60:62">
      <c r="BH53">
        <f>BH48+1</f>
        <v>6</v>
      </c>
      <c r="BI53" t="n">
        <v>10</v>
      </c>
      <c r="BJ53" s="109">
        <f>$H$31*H49</f>
        <v>3.657755789647992886E-06</v>
      </c>
    </row>
    <row r="54" spans="60:62">
      <c r="BH54">
        <f>BH51+1</f>
        <v>7</v>
      </c>
      <c r="BI54" t="n">
        <v>8</v>
      </c>
      <c r="BJ54" s="109">
        <f>$H$32*H47</f>
        <v>0.0000201506877899999992</v>
      </c>
    </row>
    <row r="55" spans="60:62">
      <c r="BH55">
        <f>BH52+1</f>
        <v>7</v>
      </c>
      <c r="BI55" t="n">
        <v>9</v>
      </c>
      <c r="BJ55" s="109">
        <f>$H$32*H48</f>
        <v>4.423571923020103684E-06</v>
      </c>
    </row>
    <row r="56" spans="60:62">
      <c r="BH56">
        <f>BH53+1</f>
        <v>7</v>
      </c>
      <c r="BI56" t="n">
        <v>10</v>
      </c>
      <c r="BJ56" s="109">
        <f>$H$32*H49</f>
        <v>7.016665391121401223E-07</v>
      </c>
    </row>
    <row r="57" spans="60:62">
      <c r="BH57">
        <f>BH55+1</f>
        <v>8</v>
      </c>
      <c r="BI57" t="n">
        <v>9</v>
      </c>
      <c r="BJ57" s="109">
        <f>$H$33*H48</f>
        <v>6.340853783436732401E-07</v>
      </c>
    </row>
    <row r="58" spans="60:62">
      <c r="BH58">
        <f>BH56+1</f>
        <v>8</v>
      </c>
      <c r="BI58" t="n">
        <v>10</v>
      </c>
      <c r="BJ58" s="109">
        <f>$H$33*H49</f>
        <v>1.005785597400797963E-07</v>
      </c>
    </row>
    <row r="59" spans="60:62">
      <c r="BH59">
        <f>BH58+1</f>
        <v>9</v>
      </c>
      <c r="BI59" t="n">
        <v>10</v>
      </c>
      <c r="BJ59" s="109">
        <f>$H$34*H49</f>
        <v>1.06986455387787994E-08</v>
      </c>
    </row>
  </sheetData>
  <mergeCells count="2">
    <mergeCell ref="P1:Q1"/>
    <mergeCell ref="B3:C3"/>
  </mergeCells>
  <conditionalFormatting sqref="H49">
    <cfRule type="cellIs" dxfId="42" priority="1" operator="greaterThan">
      <formula>0.15</formula>
    </cfRule>
  </conditionalFormatting>
  <conditionalFormatting sqref="H39:H49">
    <cfRule type="cellIs" dxfId="43" priority="2" operator="greaterThan">
      <formula>0.15</formula>
    </cfRule>
  </conditionalFormatting>
  <conditionalFormatting sqref="H49">
    <cfRule type="cellIs" dxfId="44" priority="3" operator="greaterThan">
      <formula>0.15</formula>
    </cfRule>
  </conditionalFormatting>
  <conditionalFormatting sqref="H39:H49">
    <cfRule type="cellIs" dxfId="45" priority="4" operator="greaterThan">
      <formula>0.15</formula>
    </cfRule>
  </conditionalFormatting>
  <conditionalFormatting sqref="H35">
    <cfRule type="cellIs" dxfId="46" priority="5" operator="greaterThan">
      <formula>0.15</formula>
    </cfRule>
  </conditionalFormatting>
  <conditionalFormatting sqref="H25:H35">
    <cfRule type="cellIs" dxfId="47" priority="6" operator="greaterThan">
      <formula>0.15</formula>
    </cfRule>
  </conditionalFormatting>
  <conditionalFormatting sqref="H35">
    <cfRule type="cellIs" dxfId="48" priority="7" operator="greaterThan">
      <formula>0.15</formula>
    </cfRule>
  </conditionalFormatting>
  <conditionalFormatting sqref="H25:H35">
    <cfRule type="cellIs" dxfId="49" priority="8" operator="greaterThan">
      <formula>0.15</formula>
    </cfRule>
  </conditionalFormatting>
  <conditionalFormatting sqref="V49">
    <cfRule type="cellIs" dxfId="50" priority="9" operator="greaterThan">
      <formula>0.15</formula>
    </cfRule>
  </conditionalFormatting>
  <conditionalFormatting sqref="V35">
    <cfRule type="cellIs" dxfId="51" priority="10" operator="greaterThan">
      <formula>0.15</formula>
    </cfRule>
  </conditionalFormatting>
  <conditionalFormatting sqref="V25:V35 V39:V49">
    <cfRule type="cellIs" dxfId="52" priority="11" operator="greaterThan">
      <formula>0.15</formula>
    </cfRule>
  </conditionalFormatting>
  <conditionalFormatting sqref="V49">
    <cfRule type="cellIs" dxfId="53" priority="12" operator="greaterThan">
      <formula>0.15</formula>
    </cfRule>
  </conditionalFormatting>
  <conditionalFormatting sqref="V35">
    <cfRule type="cellIs" dxfId="54" priority="13" operator="greaterThan">
      <formula>0.15</formula>
    </cfRule>
  </conditionalFormatting>
  <conditionalFormatting sqref="V25:V35 V39:V49">
    <cfRule type="cellIs" dxfId="55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"/>
  </sheetPr>
  <dimension ref="A1:BR59"/>
  <sheetViews>
    <sheetView view="normal" zoomScale="80" workbookViewId="0">
      <selection activeCell="Z14" sqref="Z14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5" max="35" width="8.428571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5">
      <c r="A1" s="155" t="s">
        <v>146</v>
      </c>
      <c r="B1" t="s">
        <v>1</v>
      </c>
      <c r="F1" s="196" t="s">
        <v>2</v>
      </c>
      <c r="G1" s="194">
        <f>IF(D3="SI",COUNTIF($F$6:$F$18,"RAP"),0)</f>
        <v>0</v>
      </c>
      <c r="H1" s="15"/>
      <c r="J1" s="197" t="s">
        <v>2</v>
      </c>
      <c r="K1" s="194">
        <f>IF(D3="SI",COUNTIF($J$6:$J$18,"RAP"),0)</f>
        <v>0</v>
      </c>
      <c r="L1" s="15"/>
      <c r="P1" s="155"/>
      <c r="Q1" s="155"/>
      <c r="R1" s="152" t="n">
        <v>0</v>
      </c>
      <c r="S1" s="153">
        <f>1+R1</f>
        <v>1</v>
      </c>
      <c r="AI1" s="158" t="s">
        <v>152</v>
      </c>
    </row>
    <row r="2" spans="1:35">
      <c r="A2" s="155" t="s">
        <v>151</v>
      </c>
      <c r="B2" t="s">
        <v>1</v>
      </c>
      <c r="F2" s="196" t="s">
        <v>5</v>
      </c>
      <c r="G2" s="194">
        <f>IF(D3="SI",COUNTIF($F$6:$F$18,"TEC"),0)</f>
        <v>0</v>
      </c>
      <c r="H2" s="15"/>
      <c r="J2" s="197" t="s">
        <v>5</v>
      </c>
      <c r="K2" s="194">
        <f>IF(D3="SI",COUNTIF($J$6:$J$18,"TEC"),0)</f>
        <v>0</v>
      </c>
      <c r="L2" s="15"/>
      <c r="M2" s="160"/>
      <c r="O2" t="s">
        <v>6</v>
      </c>
      <c r="P2" s="192" t="s">
        <v>153</v>
      </c>
      <c r="R2" s="152" t="n">
        <v>0</v>
      </c>
      <c r="S2" s="153">
        <f>1+R2</f>
        <v>1</v>
      </c>
      <c r="Y2" t="s">
        <v>6</v>
      </c>
      <c r="Z2" s="193" t="s">
        <v>153</v>
      </c>
      <c r="AI2" s="15">
        <f>IF(B17="JC",IF(C17="JC",4,3),IF(C17="JC",3,2))</f>
        <v>2</v>
      </c>
    </row>
    <row r="3" spans="1:28">
      <c r="A3" s="159" t="s">
        <v>7</v>
      </c>
      <c r="B3" s="206" t="s">
        <v>8</v>
      </c>
      <c r="C3" s="206"/>
      <c r="D3" t="str">
        <f>IF(B3="Sol","SI",IF(B3="Lluvia","SI","NO"))</f>
        <v>SI</v>
      </c>
      <c r="F3" s="196" t="s">
        <v>9</v>
      </c>
      <c r="G3" s="194">
        <f>IF(D3="SI",COUNTIF($F$6:$F$18,"POT"),0)</f>
        <v>0</v>
      </c>
      <c r="H3" s="15"/>
      <c r="J3" s="197" t="s">
        <v>9</v>
      </c>
      <c r="K3" s="194">
        <f>IF(D3="SI",COUNTIF($J$6:$J$18,"POT"),0)</f>
        <v>0</v>
      </c>
      <c r="L3" s="15"/>
      <c r="O3" t="s">
        <v>10</v>
      </c>
      <c r="P3" s="192" t="s">
        <v>154</v>
      </c>
      <c r="Q3" t="s">
        <v>11</v>
      </c>
      <c r="R3" s="192" t="s">
        <v>155</v>
      </c>
      <c r="Y3" t="s">
        <v>10</v>
      </c>
      <c r="Z3" s="193" t="s">
        <v>154</v>
      </c>
      <c r="AA3" t="s">
        <v>11</v>
      </c>
      <c r="AB3" s="193" t="s">
        <v>155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G4" s="10" t="s">
        <v>93</v>
      </c>
      <c r="AI4" s="155" t="s">
        <v>21</v>
      </c>
      <c r="AK4" s="11" t="s">
        <v>18</v>
      </c>
      <c r="AM4" s="15" t="s">
        <v>156</v>
      </c>
      <c r="BH4" t="n">
        <v>0</v>
      </c>
      <c r="BI4" t="n">
        <v>1</v>
      </c>
      <c r="BJ4" s="109" t="e">
        <f>$H$25*H40</f>
        <v>#DIV/0!</v>
      </c>
      <c r="BL4" t="n">
        <v>0</v>
      </c>
      <c r="BM4" t="n">
        <v>0</v>
      </c>
      <c r="BN4" s="109" t="e">
        <f>H25*H39</f>
        <v>#DIV/0!</v>
      </c>
      <c r="BP4" t="n">
        <v>1</v>
      </c>
      <c r="BQ4" t="n">
        <v>0</v>
      </c>
      <c r="BR4" s="109" t="e">
        <f>$H$26*H39</f>
        <v>#DIV/0!</v>
      </c>
    </row>
    <row r="5" spans="1:70">
      <c r="A5" s="42" t="s">
        <v>33</v>
      </c>
      <c r="B5" s="156" t="n">
        <v>352</v>
      </c>
      <c r="C5" s="156" t="n">
        <v>352</v>
      </c>
      <c r="E5" s="189" t="s">
        <v>34</v>
      </c>
      <c r="F5" s="164"/>
      <c r="G5" s="164" t="n">
        <v>12</v>
      </c>
      <c r="H5" s="12"/>
      <c r="I5" s="12"/>
      <c r="J5" s="163"/>
      <c r="K5" s="163" t="n">
        <v>12</v>
      </c>
      <c r="L5" s="12"/>
      <c r="M5" s="12"/>
      <c r="O5" s="69">
        <f>COUNTIF(F5:F10,"IMP")*AI5*AG5</f>
        <v>0</v>
      </c>
      <c r="P5" s="190" t="str">
        <f>P3</f>
        <v>0,6</v>
      </c>
      <c r="Q5" s="18">
        <f>P5*O5</f>
        <v>0</v>
      </c>
      <c r="R5" s="157" t="e">
        <f>IF($M$2="SI",Q5*$B$22/0.5*$S$1,Q5*$B$22/0.5*$S$2)</f>
        <v>#DIV/0!</v>
      </c>
      <c r="S5" s="173" t="e">
        <f>(1-R5)</f>
        <v>#DIV/0!</v>
      </c>
      <c r="T5" s="174" t="e">
        <f>R5*PRODUCT(S6:S19)</f>
        <v>#DIV/0!</v>
      </c>
      <c r="U5" s="174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V5" s="20"/>
      <c r="W5" s="183" t="s">
        <v>36</v>
      </c>
      <c r="X5" s="17" t="s">
        <v>37</v>
      </c>
      <c r="Y5" s="71">
        <f>COUNTIF(J5:J10,"IMP")*AI5*AK5</f>
        <v>0</v>
      </c>
      <c r="Z5" s="191" t="str">
        <f>Z3</f>
        <v>0,6</v>
      </c>
      <c r="AA5" s="21">
        <f>Z5*Y5</f>
        <v>0</v>
      </c>
      <c r="AB5" s="157" t="e">
        <f>IF($M$2="SI",AA5*$C$22/0.5*$S$1,AA5*$C$22/0.5*$S$2)</f>
        <v>#DIV/0!</v>
      </c>
      <c r="AC5" s="173" t="e">
        <f>(1-AB5)</f>
        <v>#DIV/0!</v>
      </c>
      <c r="AD5" s="174" t="e">
        <f>AB5*PRODUCT(AC6:AC19)</f>
        <v>#DIV/0!</v>
      </c>
      <c r="AE5" s="174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AF5" s="20"/>
      <c r="AG5" s="195">
        <f>IF(COUNTIF(F5:F10,"IMP")+COUNTIF(J5:J10,"IMP")=0,0,COUNTIF(F5:F10,"IMP")/(COUNTIF(F5:F10,"IMP")+COUNTIF(J5:J10,"IMP")))</f>
        <v>0</v>
      </c>
      <c r="AI5" s="155">
        <f>IF(AN5=0,(AM5*2*$AI$2/2)+SUM($AN$5:$AN$19),0)</f>
        <v>0</v>
      </c>
      <c r="AK5" s="195">
        <f>IF(COUNTIF(F5:F10,"IMP")+COUNTIF(J5:J10,"IMP")=0,0,COUNTIF(J5:J10,"IMP")/(COUNTIF(F5:F10,"IMP")+COUNTIF(J5:J10,"IMP")))</f>
        <v>0</v>
      </c>
      <c r="AM5" s="15" t="n">
        <v>0.05</v>
      </c>
      <c r="AN5">
        <f>IF(AK5+AG5=0,AM5*2/10,0)</f>
        <v>0.01</v>
      </c>
      <c r="BH5" t="n">
        <v>0</v>
      </c>
      <c r="BI5" t="n">
        <v>2</v>
      </c>
      <c r="BJ5" s="109" t="e">
        <f>$H$25*H41</f>
        <v>#DIV/0!</v>
      </c>
      <c r="BL5" t="n">
        <v>1</v>
      </c>
      <c r="BM5" t="n">
        <v>1</v>
      </c>
      <c r="BN5" s="109" t="e">
        <f>$H$26*H40</f>
        <v>#DIV/0!</v>
      </c>
      <c r="BP5">
        <f>BP4+1</f>
        <v>2</v>
      </c>
      <c r="BQ5" t="n">
        <v>0</v>
      </c>
      <c r="BR5" s="109" t="e">
        <f>$H$27*H39</f>
        <v>#DIV/0!</v>
      </c>
    </row>
    <row r="6" spans="1:70">
      <c r="A6" s="4" t="s">
        <v>38</v>
      </c>
      <c r="B6" s="165"/>
      <c r="C6" s="166"/>
      <c r="E6" s="189" t="s">
        <v>39</v>
      </c>
      <c r="F6" s="164"/>
      <c r="G6" s="164"/>
      <c r="H6" s="12"/>
      <c r="I6" s="12"/>
      <c r="J6" s="163"/>
      <c r="K6" s="163"/>
      <c r="L6" s="12"/>
      <c r="M6" s="12"/>
      <c r="O6" s="69">
        <f>COUNTIF(F11:F18,"IMP")*AI6*AG6</f>
        <v>0</v>
      </c>
      <c r="P6" s="190" t="str">
        <f>P3</f>
        <v>0,6</v>
      </c>
      <c r="Q6" s="18">
        <f>P6*O6</f>
        <v>0</v>
      </c>
      <c r="R6" s="157" t="e">
        <f>IF($M$2="SI",Q6*$B$22/0.5*$S$1,Q6*$B$22/0.5*$S$2)</f>
        <v>#DIV/0!</v>
      </c>
      <c r="S6" s="173" t="e">
        <f>(1-R6)</f>
        <v>#DIV/0!</v>
      </c>
      <c r="T6" s="174" t="e">
        <f>R6*S5*PRODUCT(S7:S19)</f>
        <v>#DIV/0!</v>
      </c>
      <c r="U6" s="174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V6" s="20"/>
      <c r="W6" s="183" t="s">
        <v>41</v>
      </c>
      <c r="X6" s="17" t="s">
        <v>42</v>
      </c>
      <c r="Y6" s="71">
        <f>COUNTIF(J11:J18,"IMP")*AI6*AK6</f>
        <v>0</v>
      </c>
      <c r="Z6" s="191" t="str">
        <f>Z3</f>
        <v>0,6</v>
      </c>
      <c r="AA6" s="21">
        <f>Z6*Y6</f>
        <v>0</v>
      </c>
      <c r="AB6" s="157" t="e">
        <f>IF($M$2="SI",AA6*$C$22/0.5*$S$1,AA6*$C$22/0.5*$S$2)</f>
        <v>#DIV/0!</v>
      </c>
      <c r="AC6" s="173" t="e">
        <f>(1-AB6)</f>
        <v>#DIV/0!</v>
      </c>
      <c r="AD6" s="174" t="e">
        <f>AB6*AC5*PRODUCT(AC7:AC19)</f>
        <v>#DIV/0!</v>
      </c>
      <c r="AE6" s="174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AF6" s="20"/>
      <c r="AG6" s="195">
        <f>IF(COUNTIF(F11:F18,"IMP")+COUNTIF(J11:J18,"IMP")=0,0,COUNTIF(F11:F18,"IMP")/(COUNTIF(F11:F18,"IMP")+COUNTIF(J11:J18,"IMP")))</f>
        <v>0</v>
      </c>
      <c r="AI6" s="155">
        <f>IF(AN6=0,(AM6*2*$AI$2/2)+SUM($AN$5:$AN$19),0)</f>
        <v>0</v>
      </c>
      <c r="AK6" s="195">
        <f>IF(COUNTIF(F11:F18,"IMP")+COUNTIF(J11:J18,"IMP")=0,0,COUNTIF(J11:J18,"IMP")/(COUNTIF(F11:F18,"IMP")+COUNTIF(J11:J18,"IMP")))</f>
        <v>0</v>
      </c>
      <c r="AM6" s="15" t="n">
        <v>0.05</v>
      </c>
      <c r="AN6">
        <f>IF(AK6+AG6=0,AM6*2/10,0)</f>
        <v>0.01</v>
      </c>
      <c r="BH6" t="n">
        <v>0</v>
      </c>
      <c r="BI6" t="n">
        <v>3</v>
      </c>
      <c r="BJ6" s="109" t="e">
        <f>$H$25*H42</f>
        <v>#DIV/0!</v>
      </c>
      <c r="BL6">
        <f>BH14+1</f>
        <v>2</v>
      </c>
      <c r="BM6" t="n">
        <v>2</v>
      </c>
      <c r="BN6" s="109" t="e">
        <f>$H$27*H41</f>
        <v>#DIV/0!</v>
      </c>
      <c r="BP6">
        <f>BL5+1</f>
        <v>2</v>
      </c>
      <c r="BQ6" t="n">
        <v>1</v>
      </c>
      <c r="BR6" s="109" t="e">
        <f>$H$27*H40</f>
        <v>#DIV/0!</v>
      </c>
    </row>
    <row r="7" spans="1:70">
      <c r="A7" s="7" t="s">
        <v>43</v>
      </c>
      <c r="B7" s="165"/>
      <c r="C7" s="166"/>
      <c r="E7" s="189" t="s">
        <v>44</v>
      </c>
      <c r="F7" s="164"/>
      <c r="G7" s="164"/>
      <c r="H7" s="12"/>
      <c r="I7" s="12"/>
      <c r="J7" s="163"/>
      <c r="K7" s="163"/>
      <c r="L7" s="12"/>
      <c r="M7" s="12"/>
      <c r="O7" s="69"/>
      <c r="P7" s="190">
        <f>B30</f>
        <v>0.15</v>
      </c>
      <c r="Q7" s="18">
        <f>P7*O7</f>
        <v>0</v>
      </c>
      <c r="R7" s="157" t="e">
        <f>IF($M$2="SI",Q7*$B$22/0.5*$S$1,Q7*$B$22/0.5*$S$2)</f>
        <v>#DIV/0!</v>
      </c>
      <c r="S7" s="173" t="e">
        <f>(1-R7)</f>
        <v>#DIV/0!</v>
      </c>
      <c r="T7" s="174" t="e">
        <f>R7*PRODUCT(S5:S6)*PRODUCT(S8:S19)</f>
        <v>#DIV/0!</v>
      </c>
      <c r="U7" s="174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183" t="s">
        <v>157</v>
      </c>
      <c r="X7" s="17" t="s">
        <v>158</v>
      </c>
      <c r="Y7" s="71"/>
      <c r="Z7" s="191">
        <f>C30</f>
        <v>0.15</v>
      </c>
      <c r="AA7" s="21">
        <f>Z7*Y7</f>
        <v>0</v>
      </c>
      <c r="AB7" s="157" t="e">
        <f>IF($M$2="SI",AA7*$C$22/0.5*$S$1,AA7*$C$22/0.5*$S$2)</f>
        <v>#DIV/0!</v>
      </c>
      <c r="AC7" s="173" t="e">
        <f>(1-AB7)</f>
        <v>#DIV/0!</v>
      </c>
      <c r="AD7" s="174" t="e">
        <f>AB7*PRODUCT(AC5:AC6)*PRODUCT(AC8:AC19)</f>
        <v>#DIV/0!</v>
      </c>
      <c r="AE7" s="174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AG7" s="15"/>
      <c r="AI7" s="155"/>
      <c r="AK7" s="15"/>
      <c r="AM7" s="15" t="n">
        <v>0</v>
      </c>
      <c r="BH7" t="n">
        <v>0</v>
      </c>
      <c r="BI7" t="n">
        <v>4</v>
      </c>
      <c r="BJ7" s="109" t="e">
        <f>$H$25*H43</f>
        <v>#DIV/0!</v>
      </c>
      <c r="BL7">
        <f>BH23+1</f>
        <v>3</v>
      </c>
      <c r="BM7" t="n">
        <v>3</v>
      </c>
      <c r="BN7" s="109" t="e">
        <f>$H$28*H42</f>
        <v>#DIV/0!</v>
      </c>
      <c r="BP7">
        <f>BP5+1</f>
        <v>3</v>
      </c>
      <c r="BQ7" t="n">
        <v>0</v>
      </c>
      <c r="BR7" s="109" t="e">
        <f>$H$28*H39</f>
        <v>#DIV/0!</v>
      </c>
    </row>
    <row r="8" spans="1:70">
      <c r="A8" s="7" t="s">
        <v>47</v>
      </c>
      <c r="B8" s="165"/>
      <c r="C8" s="166"/>
      <c r="E8" s="189" t="s">
        <v>44</v>
      </c>
      <c r="F8" s="164"/>
      <c r="G8" s="164"/>
      <c r="H8" s="12"/>
      <c r="I8" s="12"/>
      <c r="J8" s="163"/>
      <c r="K8" s="163"/>
      <c r="L8" s="12"/>
      <c r="M8" s="12"/>
      <c r="O8" s="69">
        <f>COUNTIF(F6:F18,"IMP")*AI8*AG8</f>
        <v>0</v>
      </c>
      <c r="P8" s="190" t="str">
        <f>P3</f>
        <v>0,6</v>
      </c>
      <c r="Q8" s="18">
        <f>P8*O8</f>
        <v>0</v>
      </c>
      <c r="R8" s="157" t="e">
        <f>IF($M$2="SI",Q8*$B$22/0.5*$S$1,Q8*$B$22/0.5*$S$2)</f>
        <v>#DIV/0!</v>
      </c>
      <c r="S8" s="173" t="e">
        <f>(1-R8)</f>
        <v>#DIV/0!</v>
      </c>
      <c r="T8" s="174" t="e">
        <f>R8*PRODUCT(S5:S7)*PRODUCT(S9:S19)</f>
        <v>#DIV/0!</v>
      </c>
      <c r="U8" s="174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183" t="s">
        <v>48</v>
      </c>
      <c r="X8" s="17" t="s">
        <v>49</v>
      </c>
      <c r="Y8" s="71">
        <f>COUNTIF(J6:J18,"IMP")*AI8*AK8</f>
        <v>0</v>
      </c>
      <c r="Z8" s="191" t="str">
        <f>Z3</f>
        <v>0,6</v>
      </c>
      <c r="AA8" s="21">
        <f>Z8*Y8</f>
        <v>0</v>
      </c>
      <c r="AB8" s="157" t="e">
        <f>IF($M$2="SI",AA8*$C$22/0.5*$S$1,AA8*$C$22/0.5*$S$2)</f>
        <v>#DIV/0!</v>
      </c>
      <c r="AC8" s="173" t="e">
        <f>(1-AB8)</f>
        <v>#DIV/0!</v>
      </c>
      <c r="AD8" s="174" t="e">
        <f>AB8*PRODUCT(AC5:AC7)*PRODUCT(AC9:AC19)</f>
        <v>#DIV/0!</v>
      </c>
      <c r="AE8" s="174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AG8" s="195">
        <f>IF(COUNTIF(F6:F18,"IMP")+COUNTIF(J6:J18,"IMP")=0,0,COUNTIF(F6:F18,"IMP")/(COUNTIF(F6:F18,"IMP")+COUNTIF(J6:J18,"IMP")))</f>
        <v>0</v>
      </c>
      <c r="AI8" s="155">
        <f>IF(AN8=0,(AM8*2*$AI$2/2)+SUM($AN$5:$AN$19),0)</f>
        <v>0</v>
      </c>
      <c r="AK8" s="195">
        <f>IF(COUNTIF(F6:F18,"IMP")+COUNTIF(J6:J18,"IMP")=0,0,COUNTIF(J6:J18,"IMP")/(COUNTIF(F6:F18,"IMP")+COUNTIF(J6:J18,"IMP")))</f>
        <v>0</v>
      </c>
      <c r="AM8" s="15" t="n">
        <v>0.05</v>
      </c>
      <c r="AN8">
        <f>IF(AK8+AG8=0,AM8*2/10,0)</f>
        <v>0.01</v>
      </c>
      <c r="BH8" t="n">
        <v>0</v>
      </c>
      <c r="BI8" t="n">
        <v>5</v>
      </c>
      <c r="BJ8" s="109" t="e">
        <f>$H$25*H44</f>
        <v>#DIV/0!</v>
      </c>
      <c r="BL8">
        <f>BH31+1</f>
        <v>4</v>
      </c>
      <c r="BM8" t="n">
        <v>4</v>
      </c>
      <c r="BN8" s="109" t="e">
        <f>$H$29*H43</f>
        <v>#DIV/0!</v>
      </c>
      <c r="BP8">
        <f>BP6+1</f>
        <v>3</v>
      </c>
      <c r="BQ8" t="n">
        <v>1</v>
      </c>
      <c r="BR8" s="109" t="e">
        <f>$H$28*H40</f>
        <v>#DIV/0!</v>
      </c>
    </row>
    <row r="9" spans="1:70">
      <c r="A9" s="7" t="s">
        <v>50</v>
      </c>
      <c r="B9" s="165"/>
      <c r="C9" s="166"/>
      <c r="E9" s="189" t="s">
        <v>44</v>
      </c>
      <c r="F9" s="164"/>
      <c r="G9" s="164"/>
      <c r="H9" s="12"/>
      <c r="I9" s="12"/>
      <c r="J9" s="163"/>
      <c r="K9" s="163"/>
      <c r="L9" s="12"/>
      <c r="M9" s="12"/>
      <c r="O9" s="69">
        <f>COUNTIF(J6:J13,"IMP")*AI9*AG9</f>
        <v>0</v>
      </c>
      <c r="P9" s="190" t="str">
        <f>Z3</f>
        <v>0,6</v>
      </c>
      <c r="Q9" s="18">
        <f>P9*O9</f>
        <v>0</v>
      </c>
      <c r="R9" s="157" t="e">
        <f>IF($M$2="SI",Q9*$B$22/0.5*$S$1,Q9*$B$22/0.5*$S$2)</f>
        <v>#DIV/0!</v>
      </c>
      <c r="S9" s="173" t="e">
        <f>(1-R9)</f>
        <v>#DIV/0!</v>
      </c>
      <c r="T9" s="174" t="e">
        <f>R9*PRODUCT(S5:S8)*PRODUCT(S10:S19)</f>
        <v>#DIV/0!</v>
      </c>
      <c r="U9" s="174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184" t="s">
        <v>51</v>
      </c>
      <c r="X9" s="17" t="s">
        <v>52</v>
      </c>
      <c r="Y9" s="71">
        <f>COUNTIF(F6:F13,"IMP")*AI9*AK9</f>
        <v>0</v>
      </c>
      <c r="Z9" s="191" t="str">
        <f>P3</f>
        <v>0,6</v>
      </c>
      <c r="AA9" s="21">
        <f>Z9*Y9</f>
        <v>0</v>
      </c>
      <c r="AB9" s="157" t="e">
        <f>IF($M$2="SI",AA9*$C$22/0.5*$S$1,AA9*$C$22/0.5*$S$2)</f>
        <v>#DIV/0!</v>
      </c>
      <c r="AC9" s="173" t="e">
        <f>(1-AB9)</f>
        <v>#DIV/0!</v>
      </c>
      <c r="AD9" s="174" t="e">
        <f>AB9*PRODUCT(AC5:AC8)*PRODUCT(AC10:AC19)</f>
        <v>#DIV/0!</v>
      </c>
      <c r="AE9" s="174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AG9" s="195">
        <f>IF(COUNTIF(J6:J13,"IMP")+COUNTIF(F6:F13,"IMP")=0,0,COUNTIF(J6:J13,"IMP")/(COUNTIF(J6:J13,"IMP")+COUNTIF(F6:F13,"IMP")))</f>
        <v>0</v>
      </c>
      <c r="AI9" s="155">
        <f>IF(AN9=0,(AM9*2*$AI$2/2)+SUM($AN$5:$AN$19),0)</f>
        <v>0</v>
      </c>
      <c r="AK9" s="195">
        <f>IF(COUNTIF(J6:J13,"IMP")+COUNTIF(F6:F13,"IMP")=0,0,COUNTIF(F6:F13,"IMP")/(COUNTIF(J6:J13,"IMP")+COUNTIF(F6:F13,"IMP")))</f>
        <v>0</v>
      </c>
      <c r="AM9" s="15" t="n">
        <v>0.025</v>
      </c>
      <c r="AN9">
        <f>IF(AK9+AG9=0,AM9*2/10,0)</f>
        <v>0.005</v>
      </c>
      <c r="BH9" t="n">
        <v>0</v>
      </c>
      <c r="BI9" t="n">
        <v>6</v>
      </c>
      <c r="BJ9" s="109" t="e">
        <f>$H$25*H45</f>
        <v>#DIV/0!</v>
      </c>
      <c r="BL9">
        <f>BH38+1</f>
        <v>5</v>
      </c>
      <c r="BM9" t="n">
        <v>5</v>
      </c>
      <c r="BN9" s="109" t="e">
        <f>$H$30*H44</f>
        <v>#DIV/0!</v>
      </c>
      <c r="BP9">
        <f>BL6+1</f>
        <v>3</v>
      </c>
      <c r="BQ9" t="n">
        <v>2</v>
      </c>
      <c r="BR9" s="109" t="e">
        <f>$H$28*H41</f>
        <v>#DIV/0!</v>
      </c>
    </row>
    <row r="10" spans="1:70">
      <c r="A10" s="8" t="s">
        <v>53</v>
      </c>
      <c r="B10" s="165"/>
      <c r="C10" s="166"/>
      <c r="E10" s="189" t="s">
        <v>39</v>
      </c>
      <c r="F10" s="164"/>
      <c r="G10" s="164"/>
      <c r="H10" s="12"/>
      <c r="I10" s="12"/>
      <c r="J10" s="163"/>
      <c r="K10" s="163"/>
      <c r="L10" s="12"/>
      <c r="M10" s="12"/>
      <c r="O10" s="69">
        <f>COUNTIF(F11:F18,"RAP")*AI10*AG10</f>
        <v>0</v>
      </c>
      <c r="P10" s="190" t="str">
        <f>R3</f>
        <v>0,72</v>
      </c>
      <c r="Q10" s="18">
        <f>P10*O10</f>
        <v>0</v>
      </c>
      <c r="R10" s="157" t="e">
        <f>IF($M$2="SI",Q10*$B$22/0.5*$S$1,Q10*$B$22/0.5*$S$2)</f>
        <v>#DIV/0!</v>
      </c>
      <c r="S10" s="173" t="e">
        <f>(1-R10)</f>
        <v>#DIV/0!</v>
      </c>
      <c r="T10" s="174" t="e">
        <f>R10*PRODUCT(S5:S9)*PRODUCT(S11:S19)</f>
        <v>#DIV/0!</v>
      </c>
      <c r="U10" s="174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183" t="s">
        <v>54</v>
      </c>
      <c r="X10" s="17" t="s">
        <v>55</v>
      </c>
      <c r="Y10" s="71">
        <f>COUNTIF(J11:J18,"RAP")*AI10*AK10</f>
        <v>0</v>
      </c>
      <c r="Z10" s="191" t="str">
        <f>AB3</f>
        <v>0,72</v>
      </c>
      <c r="AA10" s="21">
        <f>Z10*Y10</f>
        <v>0</v>
      </c>
      <c r="AB10" s="157" t="e">
        <f>IF($M$2="SI",AA10*$C$22/0.5*$S$1,AA10*$C$22/0.5*$S$2)</f>
        <v>#DIV/0!</v>
      </c>
      <c r="AC10" s="173" t="e">
        <f>(1-AB10)</f>
        <v>#DIV/0!</v>
      </c>
      <c r="AD10" s="174" t="e">
        <f>AB10*PRODUCT(AC5:AC9)*PRODUCT(AC11:AC19)</f>
        <v>#DIV/0!</v>
      </c>
      <c r="AE10" s="174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AG10" s="195">
        <f>IF(COUNTIF(F11:F18,"RAP")+COUNTIF(J11:J18,"RAP")=0,0,COUNTIF(F11:F18,"RAP")/(COUNTIF(F11:F18,"RAP")+COUNTIF(J11:J18,"RAP")))</f>
        <v>0</v>
      </c>
      <c r="AI10" s="155">
        <f>IF(AN10=0,(AM10*2*$AI$2/2)+SUM($AN$5:$AN$19),0)</f>
        <v>0</v>
      </c>
      <c r="AK10" s="195">
        <f>IF(COUNTIF(F11:F18,"RAP")+COUNTIF(J11:J18,"RAP")=0,0,COUNTIF(J11:J18,"RAP")/(COUNTIF(F11:F18,"RAP")+COUNTIF(J11:J18,"RAP")))</f>
        <v>0</v>
      </c>
      <c r="AM10" s="15" t="n">
        <v>0.05</v>
      </c>
      <c r="AN10">
        <f>IF(AK10+AG10=0,AM10*2/10,0)</f>
        <v>0.01</v>
      </c>
      <c r="BH10" t="n">
        <v>0</v>
      </c>
      <c r="BI10" t="n">
        <v>7</v>
      </c>
      <c r="BJ10" s="109" t="e">
        <f>$H$25*H46</f>
        <v>#DIV/0!</v>
      </c>
      <c r="BL10">
        <f>BH44+1</f>
        <v>6</v>
      </c>
      <c r="BM10" t="n">
        <v>6</v>
      </c>
      <c r="BN10" s="109" t="e">
        <f>$H$31*H45</f>
        <v>#DIV/0!</v>
      </c>
      <c r="BP10">
        <f>BP7+1</f>
        <v>4</v>
      </c>
      <c r="BQ10" t="n">
        <v>0</v>
      </c>
      <c r="BR10" s="109" t="e">
        <f>$H$29*H39</f>
        <v>#DIV/0!</v>
      </c>
    </row>
    <row r="11" spans="1:70">
      <c r="A11" s="8" t="s">
        <v>56</v>
      </c>
      <c r="B11" s="165"/>
      <c r="C11" s="166"/>
      <c r="E11" s="189" t="s">
        <v>57</v>
      </c>
      <c r="F11" s="164"/>
      <c r="G11" s="164"/>
      <c r="H11" s="12"/>
      <c r="I11" s="12"/>
      <c r="J11" s="163"/>
      <c r="K11" s="163"/>
      <c r="L11" s="12"/>
      <c r="M11" s="12"/>
      <c r="O11" s="69">
        <f>COUNTIF(F11:F18,"RAP")*AI11*AG11</f>
        <v>0</v>
      </c>
      <c r="P11" s="190" t="str">
        <f>R3</f>
        <v>0,72</v>
      </c>
      <c r="Q11" s="18">
        <f>P11*O11</f>
        <v>0</v>
      </c>
      <c r="R11" s="157" t="e">
        <f>IF($M$2="SI",Q11*$B$22/0.5*$S$1,Q11*$B$22/0.5*$S$2)</f>
        <v>#DIV/0!</v>
      </c>
      <c r="S11" s="173" t="e">
        <f>(1-R11)</f>
        <v>#DIV/0!</v>
      </c>
      <c r="T11" s="174" t="e">
        <f>R11*PRODUCT(S5:S10)*PRODUCT(S12:S19)</f>
        <v>#DIV/0!</v>
      </c>
      <c r="U11" s="174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183" t="s">
        <v>58</v>
      </c>
      <c r="X11" s="17" t="s">
        <v>59</v>
      </c>
      <c r="Y11" s="71">
        <f>COUNTIF(J11:J18,"RAP")*AI11*AK11</f>
        <v>0</v>
      </c>
      <c r="Z11" s="191" t="str">
        <f>AB3</f>
        <v>0,72</v>
      </c>
      <c r="AA11" s="21">
        <f>Z11*Y11</f>
        <v>0</v>
      </c>
      <c r="AB11" s="157" t="e">
        <f>IF($M$2="SI",AA11*$C$22/0.5*$S$1,AA11*$C$22/0.5*$S$2)</f>
        <v>#DIV/0!</v>
      </c>
      <c r="AC11" s="173" t="e">
        <f>(1-AB11)</f>
        <v>#DIV/0!</v>
      </c>
      <c r="AD11" s="174" t="e">
        <f>AB11*PRODUCT(AC5:AC10)*PRODUCT(AC12:AC19)</f>
        <v>#DIV/0!</v>
      </c>
      <c r="AE11" s="174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AG11" s="195">
        <f>IF(COUNTIF(F11:F18,"RAP")+COUNTIF(J11:J18,"RAP")=0,0,COUNTIF(F11:F18,"RAP")/(COUNTIF(F11:F18,"RAP")+COUNTIF(J11:J18,"RAP")))</f>
        <v>0</v>
      </c>
      <c r="AI11" s="155">
        <f>IF(AN11=0,(AM11*2*$AI$2/2)+SUM($AN$5:$AN$19),0)</f>
        <v>0</v>
      </c>
      <c r="AK11" s="195">
        <f>IF(COUNTIF(F11:F18,"RAP")+COUNTIF(J11:J18,"RAP")=0,0,COUNTIF(J11:J18,"RAP")/(COUNTIF(F11:F18,"RAP")+COUNTIF(J11:J18,"RAP")))</f>
        <v>0</v>
      </c>
      <c r="AM11" s="15" t="n">
        <v>0.05</v>
      </c>
      <c r="AN11">
        <f>IF(AK11+AG11=0,AM11*2/10,0)</f>
        <v>0.01</v>
      </c>
      <c r="BH11" t="n">
        <v>0</v>
      </c>
      <c r="BI11" t="n">
        <v>8</v>
      </c>
      <c r="BJ11" s="109" t="e">
        <f>$H$25*H47</f>
        <v>#DIV/0!</v>
      </c>
      <c r="BL11">
        <f>BH50+1</f>
        <v>7</v>
      </c>
      <c r="BM11" t="n">
        <v>7</v>
      </c>
      <c r="BN11" s="109" t="e">
        <f>$H$32*H46</f>
        <v>#DIV/0!</v>
      </c>
      <c r="BP11">
        <f>BP8+1</f>
        <v>4</v>
      </c>
      <c r="BQ11" t="n">
        <v>1</v>
      </c>
      <c r="BR11" s="109" t="e">
        <f>$H$29*H40</f>
        <v>#DIV/0!</v>
      </c>
    </row>
    <row r="12" spans="1:70">
      <c r="A12" s="8" t="s">
        <v>60</v>
      </c>
      <c r="B12" s="165"/>
      <c r="C12" s="166"/>
      <c r="E12" s="189" t="s">
        <v>57</v>
      </c>
      <c r="F12" s="164"/>
      <c r="G12" s="164"/>
      <c r="H12" s="12"/>
      <c r="I12" s="12"/>
      <c r="J12" s="163"/>
      <c r="K12" s="163"/>
      <c r="L12" s="12"/>
      <c r="M12" s="12"/>
      <c r="O12" s="69"/>
      <c r="P12" s="190" t="n">
        <v>0.5</v>
      </c>
      <c r="Q12" s="18">
        <f>P12*O12</f>
        <v>0</v>
      </c>
      <c r="R12" s="157" t="e">
        <f>IF($M$2="SI",Q12*$B$22/0.5*$S$1,Q12*$B$22/0.5*$S$2)</f>
        <v>#DIV/0!</v>
      </c>
      <c r="S12" s="173" t="e">
        <f>(1-R12)</f>
        <v>#DIV/0!</v>
      </c>
      <c r="T12" s="174" t="e">
        <f>R12*PRODUCT(S5:S11)*PRODUCT(S13:S19)</f>
        <v>#DIV/0!</v>
      </c>
      <c r="U12" s="174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184" t="s">
        <v>61</v>
      </c>
      <c r="X12" s="17" t="s">
        <v>62</v>
      </c>
      <c r="Y12" s="71"/>
      <c r="Z12" s="191" t="n">
        <v>0.5</v>
      </c>
      <c r="AA12" s="21">
        <f>Z12*Y12</f>
        <v>0</v>
      </c>
      <c r="AB12" s="157" t="e">
        <f>IF($M$2="SI",AA12*$C$22/0.5*$S$1,AA12*$C$22/0.5*$S$2)</f>
        <v>#DIV/0!</v>
      </c>
      <c r="AC12" s="173" t="e">
        <f>(1-AB12)</f>
        <v>#DIV/0!</v>
      </c>
      <c r="AD12" s="174" t="e">
        <f>AB12*PRODUCT(AC5:AC11)*PRODUCT(AC13:AC19)</f>
        <v>#DIV/0!</v>
      </c>
      <c r="AE12" s="174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AG12" s="15"/>
      <c r="AI12" s="155"/>
      <c r="AK12" s="15"/>
      <c r="AM12" s="15" t="n">
        <v>0</v>
      </c>
      <c r="BH12" t="n">
        <v>0</v>
      </c>
      <c r="BI12" t="n">
        <v>9</v>
      </c>
      <c r="BJ12" s="109" t="e">
        <f>$H$25*H48</f>
        <v>#DIV/0!</v>
      </c>
      <c r="BL12">
        <f>BH54+1</f>
        <v>8</v>
      </c>
      <c r="BM12" t="n">
        <v>8</v>
      </c>
      <c r="BN12" s="109" t="e">
        <f>$H$33*H47</f>
        <v>#DIV/0!</v>
      </c>
      <c r="BP12">
        <f>BP9+1</f>
        <v>4</v>
      </c>
      <c r="BQ12" t="n">
        <v>2</v>
      </c>
      <c r="BR12" s="109" t="e">
        <f>$H$29*H41</f>
        <v>#DIV/0!</v>
      </c>
    </row>
    <row r="13" spans="1:70">
      <c r="A13" s="9" t="s">
        <v>63</v>
      </c>
      <c r="B13" s="165" t="n">
        <v>3</v>
      </c>
      <c r="C13" s="166" t="n">
        <v>12.5</v>
      </c>
      <c r="E13" s="189" t="s">
        <v>57</v>
      </c>
      <c r="F13" s="164"/>
      <c r="G13" s="164"/>
      <c r="H13" s="12"/>
      <c r="I13" s="12"/>
      <c r="J13" s="163"/>
      <c r="K13" s="163"/>
      <c r="L13" s="12"/>
      <c r="M13" s="12"/>
      <c r="O13" s="69" t="e">
        <f>AI13*B22/0.5</f>
        <v>#DIV/0!</v>
      </c>
      <c r="P13" s="190" t="str">
        <f>P2</f>
        <v>0,4</v>
      </c>
      <c r="Q13" s="18" t="e">
        <f>P13*O13</f>
        <v>#DIV/0!</v>
      </c>
      <c r="R13" s="157" t="e">
        <f>IF($M$2="SI",Q13*$B$22/0.5*$S$1,Q13*$B$22/0.5*$S$2)</f>
        <v>#DIV/0!</v>
      </c>
      <c r="S13" s="173" t="e">
        <f>(1-R13)</f>
        <v>#DIV/0!</v>
      </c>
      <c r="T13" s="174" t="e">
        <f>R13*PRODUCT(S5:S12)*PRODUCT(S14:S19)</f>
        <v>#DIV/0!</v>
      </c>
      <c r="U13" s="174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183" t="s">
        <v>64</v>
      </c>
      <c r="X13" s="17" t="s">
        <v>65</v>
      </c>
      <c r="Y13" s="71" t="e">
        <f>AI13*C22/0.5</f>
        <v>#DIV/0!</v>
      </c>
      <c r="Z13" s="191" t="str">
        <f>Z2</f>
        <v>0,4</v>
      </c>
      <c r="AA13" s="21" t="e">
        <f>Z13*Y13</f>
        <v>#DIV/0!</v>
      </c>
      <c r="AB13" s="157" t="e">
        <f>IF($M$2="SI",AA13*$C$22/0.5*$S$1,AA13*$C$22/0.5*$S$2)</f>
        <v>#DIV/0!</v>
      </c>
      <c r="AC13" s="173" t="e">
        <f>(1-AB13)</f>
        <v>#DIV/0!</v>
      </c>
      <c r="AD13" s="174" t="e">
        <f>AB13*PRODUCT(AC5:AC12)*PRODUCT(AC14:AC19)</f>
        <v>#DIV/0!</v>
      </c>
      <c r="AE13" s="174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AG13" s="15"/>
      <c r="AI13" s="155">
        <f>(AM13*$AI$2/2)+SUM($AN$5:$AN$19)</f>
        <v>0.328000000000000025</v>
      </c>
      <c r="AK13" s="15"/>
      <c r="AM13" s="15" t="n">
        <v>0.220000000000000018</v>
      </c>
      <c r="BH13" t="n">
        <v>0</v>
      </c>
      <c r="BI13" t="n">
        <v>10</v>
      </c>
      <c r="BJ13" s="109" t="e">
        <f>$H$25*H49</f>
        <v>#DIV/0!</v>
      </c>
      <c r="BL13">
        <f>BH57+1</f>
        <v>9</v>
      </c>
      <c r="BM13" t="n">
        <v>9</v>
      </c>
      <c r="BN13" s="109" t="e">
        <f>$H$34*H48</f>
        <v>#DIV/0!</v>
      </c>
      <c r="BP13">
        <f>BL7+1</f>
        <v>4</v>
      </c>
      <c r="BQ13" t="n">
        <v>3</v>
      </c>
      <c r="BR13" s="109" t="e">
        <f>$H$29*H42</f>
        <v>#DIV/0!</v>
      </c>
    </row>
    <row r="14" spans="1:70">
      <c r="A14" s="9" t="s">
        <v>66</v>
      </c>
      <c r="B14" s="165" t="n">
        <v>3</v>
      </c>
      <c r="C14" s="166" t="n">
        <v>10.75</v>
      </c>
      <c r="E14" s="189" t="s">
        <v>67</v>
      </c>
      <c r="F14" s="164"/>
      <c r="G14" s="164"/>
      <c r="H14" s="12"/>
      <c r="I14" s="12"/>
      <c r="J14" s="163"/>
      <c r="K14" s="163"/>
      <c r="L14" s="12"/>
      <c r="M14" s="12"/>
      <c r="O14" s="69">
        <f>IF(COUNTIF(F6:F18,"CAB")&gt;0,AI14*B22/0.5,0)</f>
        <v>0</v>
      </c>
      <c r="P14" s="190">
        <f>IF(COUNTIF(F6:F18,"CAB")-COUNTIF(J6:J18,"CAB")&gt;3,0.8,IF(COUNTIF(F6:F18,"CAB")-COUNTIF(J6:J18,"CAB")&gt;0,0.6,IF(COUNTIF(F6:F18,"CAB")-COUNTIF(J6:J18,"CAB")=0,0.4,0.15)))</f>
        <v>0.4</v>
      </c>
      <c r="Q14" s="18">
        <f>P14*O14</f>
        <v>0</v>
      </c>
      <c r="R14" s="157" t="e">
        <f>IF($M$2="SI",Q14*$B$22/0.5*$S$1,Q14*$B$22/0.5*$S$2)</f>
        <v>#DIV/0!</v>
      </c>
      <c r="S14" s="173" t="e">
        <f>(1-R14)</f>
        <v>#DIV/0!</v>
      </c>
      <c r="T14" s="174" t="e">
        <f>R14*PRODUCT(S5:S13)*PRODUCT(S15:S19)</f>
        <v>#DIV/0!</v>
      </c>
      <c r="U14" s="174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183" t="s">
        <v>68</v>
      </c>
      <c r="X14" s="17" t="s">
        <v>69</v>
      </c>
      <c r="Y14" s="71">
        <f>IF(COUNTIF(J6:J18,"CAB")&gt;0,AI14*C22/0.5,0)</f>
        <v>0</v>
      </c>
      <c r="Z14" s="191">
        <f>IF(COUNTIF(J6:J18,"CAB")-COUNTIF(F6:F18,"CAB")&gt;3,0.8,IF(COUNTIF(J6:J18,"CAB")-COUNTIF(F6:F18,"CAB")&gt;0,0.6,IF(COUNTIF(J6:J18,"CAB")-COUNTIF(F6:F18,"CAB")=0,0.4,0.15)))</f>
        <v>0.4</v>
      </c>
      <c r="AA14" s="21">
        <f>Z14*Y14</f>
        <v>0</v>
      </c>
      <c r="AB14" s="157" t="e">
        <f>IF($M$2="SI",AA14*$C$22/0.5*$S$1,AA14*$C$22/0.5*$S$2)</f>
        <v>#DIV/0!</v>
      </c>
      <c r="AC14" s="173" t="e">
        <f>(1-AB14)</f>
        <v>#DIV/0!</v>
      </c>
      <c r="AD14" s="174" t="e">
        <f>AB14*PRODUCT(AC5:AC13)*PRODUCT(AC15:AC19)</f>
        <v>#DIV/0!</v>
      </c>
      <c r="AE14" s="174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AG14" s="15"/>
      <c r="AI14" s="155">
        <f>IF(COUNTIF(J6:J18,"CAB")+COUNTIF(F6:F18,"CAB")=0,0,(AM14*$AI$2/2)+SUM($AN$5:$AN$19))</f>
        <v>0</v>
      </c>
      <c r="AK14" s="15"/>
      <c r="AM14" s="15" t="n">
        <v>0.125</v>
      </c>
      <c r="AN14">
        <f>IF(COUNTIF(J6:J18,"CAB")+COUNTIF(F6:F18,"CAB")=0,AM14*2/10,0)</f>
        <v>0.025</v>
      </c>
      <c r="BH14" t="n">
        <v>1</v>
      </c>
      <c r="BI14" t="n">
        <v>2</v>
      </c>
      <c r="BJ14" s="109" t="e">
        <f>$H$26*H41</f>
        <v>#DIV/0!</v>
      </c>
      <c r="BL14">
        <f>BP39+1</f>
        <v>10</v>
      </c>
      <c r="BM14" t="n">
        <v>10</v>
      </c>
      <c r="BN14" s="109" t="e">
        <f>$H$35*H49</f>
        <v>#DIV/0!</v>
      </c>
      <c r="BP14">
        <f>BP10+1</f>
        <v>5</v>
      </c>
      <c r="BQ14" t="n">
        <v>0</v>
      </c>
      <c r="BR14" s="109" t="e">
        <f>$H$30*H39</f>
        <v>#DIV/0!</v>
      </c>
    </row>
    <row r="15" spans="1:70">
      <c r="A15" s="186" t="s">
        <v>70</v>
      </c>
      <c r="B15" s="167" t="n">
        <v>3</v>
      </c>
      <c r="C15" s="168" t="n">
        <v>8.25</v>
      </c>
      <c r="E15" s="189" t="s">
        <v>67</v>
      </c>
      <c r="F15" s="164"/>
      <c r="G15" s="164"/>
      <c r="H15" s="12"/>
      <c r="I15" s="12"/>
      <c r="J15" s="163"/>
      <c r="K15" s="163"/>
      <c r="L15" s="12"/>
      <c r="M15" s="12"/>
      <c r="O15" s="69"/>
      <c r="P15" s="190" t="n">
        <v>0.5</v>
      </c>
      <c r="Q15" s="18">
        <f>P15*O15</f>
        <v>0</v>
      </c>
      <c r="R15" s="157" t="e">
        <f>IF($M$2="SI",Q15*$B$22/0.5*$S$1,Q15*$B$22/0.5*$S$2)</f>
        <v>#DIV/0!</v>
      </c>
      <c r="S15" s="173" t="e">
        <f>(1-R15)</f>
        <v>#DIV/0!</v>
      </c>
      <c r="T15" s="174" t="e">
        <f>R15*PRODUCT(S5:S14)*PRODUCT(S16:S19)</f>
        <v>#DIV/0!</v>
      </c>
      <c r="U15" s="174" t="e">
        <f>R15*R16*PRODUCT(S5:S14)*PRODUCT(S17:S19)+R15*R17*PRODUCT(S5:S14)*S16*PRODUCT(S18:S19)+R15*R18*PRODUCT(S5:S14)*S16*S17*S19+R15*R19*PRODUCT(S5:S14)*S16*S17*S18</f>
        <v>#DIV/0!</v>
      </c>
      <c r="W15" s="183" t="s">
        <v>71</v>
      </c>
      <c r="X15" s="17" t="s">
        <v>72</v>
      </c>
      <c r="Y15" s="71"/>
      <c r="Z15" s="191" t="n">
        <v>0.5</v>
      </c>
      <c r="AA15" s="21">
        <f>Z15*Y15</f>
        <v>0</v>
      </c>
      <c r="AB15" s="157" t="e">
        <f>IF($M$2="SI",AA15*$C$22/0.5*$S$1,AA15*$C$22/0.5*$S$2)</f>
        <v>#DIV/0!</v>
      </c>
      <c r="AC15" s="173" t="e">
        <f>(1-AB15)</f>
        <v>#DIV/0!</v>
      </c>
      <c r="AD15" s="174" t="e">
        <f>AB15*PRODUCT(AC5:AC14)*PRODUCT(AC16:AC19)</f>
        <v>#DIV/0!</v>
      </c>
      <c r="AE15" s="174" t="e">
        <f>AB15*AB16*PRODUCT(AC5:AC14)*PRODUCT(AC17:AC19)+AB15*AB17*PRODUCT(AC5:AC14)*AC16*PRODUCT(AC18:AC19)+AB15*AB18*PRODUCT(AC5:AC14)*AC16*AC17*AC19+AB15*AB19*PRODUCT(AC5:AC14)*AC16*AC17*AC18</f>
        <v>#DIV/0!</v>
      </c>
      <c r="AG15" s="15"/>
      <c r="AI15" s="155"/>
      <c r="AK15" s="15"/>
      <c r="AM15" s="15" t="n">
        <v>0</v>
      </c>
      <c r="BH15" t="n">
        <v>1</v>
      </c>
      <c r="BI15" t="n">
        <v>3</v>
      </c>
      <c r="BJ15" s="109" t="e">
        <f>$H$26*H42</f>
        <v>#DIV/0!</v>
      </c>
      <c r="BP15">
        <f>BP11+1</f>
        <v>5</v>
      </c>
      <c r="BQ15" t="n">
        <v>1</v>
      </c>
      <c r="BR15" s="109" t="e">
        <f>$H$30*H40</f>
        <v>#DIV/0!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/>
      <c r="G16" s="164"/>
      <c r="H16" s="12"/>
      <c r="I16" s="12"/>
      <c r="J16" s="163"/>
      <c r="K16" s="163"/>
      <c r="L16" s="12"/>
      <c r="M16" s="12"/>
      <c r="O16" s="69"/>
      <c r="P16" s="190" t="n">
        <v>0.25</v>
      </c>
      <c r="Q16" s="18">
        <f>P16*O16</f>
        <v>0</v>
      </c>
      <c r="R16" s="157" t="e">
        <f>IF($M$2="SI",Q16*$B$22/0.5*$S$1,Q16*$B$22/0.5*$S$2)</f>
        <v>#DIV/0!</v>
      </c>
      <c r="S16" s="173" t="e">
        <f>(1-R16)</f>
        <v>#DIV/0!</v>
      </c>
      <c r="T16" s="174" t="e">
        <f>R16*PRODUCT(S5:S15)*PRODUCT(S17:S19)</f>
        <v>#DIV/0!</v>
      </c>
      <c r="U16" s="174" t="e">
        <f>R16*R17*PRODUCT(S5:S15)*PRODUCT(S18:S19)+R16*R18*PRODUCT(S5:S15)*S17*S19+R16*R19*PRODUCT(S5:S15)*S17*S18</f>
        <v>#DIV/0!</v>
      </c>
      <c r="W16" s="184" t="s">
        <v>75</v>
      </c>
      <c r="X16" s="17" t="s">
        <v>76</v>
      </c>
      <c r="Y16" s="71"/>
      <c r="Z16" s="191" t="n">
        <v>0.25</v>
      </c>
      <c r="AA16" s="21">
        <f>Z16*Y16</f>
        <v>0</v>
      </c>
      <c r="AB16" s="157" t="e">
        <f>IF($M$2="SI",AA16*$C$22/0.5*$S$1,AA16*$C$22/0.5*$S$2)</f>
        <v>#DIV/0!</v>
      </c>
      <c r="AC16" s="173" t="e">
        <f>(1-AB16)</f>
        <v>#DIV/0!</v>
      </c>
      <c r="AD16" s="174" t="e">
        <f>AB16*PRODUCT(AC5:AC15)*PRODUCT(AC17:AC19)</f>
        <v>#DIV/0!</v>
      </c>
      <c r="AE16" s="174" t="e">
        <f>AB16*AB17*PRODUCT(AC5:AC15)*PRODUCT(AC18:AC19)+AB16*AB18*PRODUCT(AC5:AC15)*AC17*AC19+AB16*AB19*PRODUCT(AC5:AC15)*AC17*AC18</f>
        <v>#DIV/0!</v>
      </c>
      <c r="AG16" s="15"/>
      <c r="AI16" s="155"/>
      <c r="AK16" s="15"/>
      <c r="AM16" s="15" t="n">
        <v>0</v>
      </c>
      <c r="BH16" t="n">
        <v>1</v>
      </c>
      <c r="BI16" t="n">
        <v>4</v>
      </c>
      <c r="BJ16" s="109" t="e">
        <f>$H$26*H43</f>
        <v>#DIV/0!</v>
      </c>
      <c r="BP16">
        <f>BP12+1</f>
        <v>5</v>
      </c>
      <c r="BQ16" t="n">
        <v>2</v>
      </c>
      <c r="BR16" s="109" t="e">
        <f>$H$30*H41</f>
        <v>#DIV/0!</v>
      </c>
    </row>
    <row r="17" spans="1:70">
      <c r="A17" s="185" t="s">
        <v>77</v>
      </c>
      <c r="B17" s="169" t="s">
        <v>78</v>
      </c>
      <c r="C17" s="170" t="s">
        <v>78</v>
      </c>
      <c r="E17" s="189" t="s">
        <v>74</v>
      </c>
      <c r="F17" s="164"/>
      <c r="G17" s="164"/>
      <c r="H17" s="12"/>
      <c r="I17" s="12"/>
      <c r="J17" s="163"/>
      <c r="K17" s="163"/>
      <c r="L17" s="12"/>
      <c r="M17" s="12"/>
      <c r="O17" s="69">
        <f>(AI17*2)*IF(COUNTBLANK(F14:F15)&lt;&gt;0,(2-COUNTBLANK(F14:F15))/2,1)*AG17</f>
        <v>0</v>
      </c>
      <c r="P17" s="190" t="str">
        <f>IF(COUNTIF(F14:F18,"CAB")&gt;0,0.95,P3)</f>
        <v>0,6</v>
      </c>
      <c r="Q17" s="18">
        <f>P17*O17</f>
        <v>0</v>
      </c>
      <c r="R17" s="157" t="e">
        <f>IF($M$2="SI",Q17*$B$22/0.5*$S$1,Q17*$B$22/0.5*$S$2)</f>
        <v>#DIV/0!</v>
      </c>
      <c r="S17" s="173" t="e">
        <f>(1-R17)</f>
        <v>#DIV/0!</v>
      </c>
      <c r="T17" s="174" t="e">
        <f>R17*PRODUCT(S5:S16)*PRODUCT(S18:S19)</f>
        <v>#DIV/0!</v>
      </c>
      <c r="U17" s="174" t="e">
        <f>R17*R18*PRODUCT(S5:S16)*S19+R17*R19*PRODUCT(S5:S16)*S18</f>
        <v>#DIV/0!</v>
      </c>
      <c r="W17" s="183" t="s">
        <v>79</v>
      </c>
      <c r="X17" s="17" t="s">
        <v>80</v>
      </c>
      <c r="Y17" s="71">
        <f>(AI17*2)*IF(COUNTBLANK(J14:J15)&lt;&gt;0,(2-COUNTBLANK(J14:J15))/2,1)*AK17</f>
        <v>0</v>
      </c>
      <c r="Z17" s="191" t="str">
        <f>IF(COUNTIF(J14:J18,"CAB")&gt;0,0.95,Z3)</f>
        <v>0,6</v>
      </c>
      <c r="AA17" s="21">
        <f>Z17*Y17</f>
        <v>0</v>
      </c>
      <c r="AB17" s="157" t="e">
        <f>IF($M$2="SI",AA17*$C$22/0.5*$S$1,AA17*$C$22/0.5*$S$2)</f>
        <v>#DIV/0!</v>
      </c>
      <c r="AC17" s="173" t="e">
        <f>(1-AB17)</f>
        <v>#DIV/0!</v>
      </c>
      <c r="AD17" s="174" t="e">
        <f>AB17*PRODUCT(AC5:AC16)*PRODUCT(AC18:AC19)</f>
        <v>#DIV/0!</v>
      </c>
      <c r="AE17" s="174" t="e">
        <f>AB17*AB18*PRODUCT(AC5:AC16)*AC19+AB17*AB19*PRODUCT(AC5:AC16)*AC18</f>
        <v>#DIV/0!</v>
      </c>
      <c r="AG17" s="195">
        <f>IF(IF(COUNTBLANK(F14:F15)&lt;&gt;0,(2-COUNTBLANK(F14:F15))/2,1)+IF(COUNTBLANK(J14:J15)&lt;&gt;0,(2-COUNTBLANK(J14:J15))/2,1)=0,0,IF(COUNTBLANK(F14:F15)&lt;&gt;0,(2-COUNTBLANK(F14:F15))/2,1)/(IF(COUNTBLANK(F14:F15)&lt;&gt;0,(2-COUNTBLANK(F14:F15))/2,1)+IF(COUNTBLANK(J14:J15)&lt;&gt;0,(2-COUNTBLANK(J14:J15))/2,1)))</f>
        <v>0</v>
      </c>
      <c r="AI17" s="155">
        <f>IF(AN17=0,(AM17*2*$AI$2/2)+SUM($AN$5:$AN$19),0)</f>
        <v>0</v>
      </c>
      <c r="AK17" s="195">
        <f>IF(IF(COUNTBLANK(F14:F15)&lt;&gt;0,(2-COUNTBLANK(F14:F15))/2,1)+IF(COUNTBLANK(J14:J15)&lt;&gt;0,(2-COUNTBLANK(J14:J15))/2,1)=0,0,IF(COUNTBLANK(J14:J15)&lt;&gt;0,(2-COUNTBLANK(J14:J15))/2,1)/(IF(COUNTBLANK(F14:F15)&lt;&gt;0,(2-COUNTBLANK(F14:F15))/2,1)+IF(COUNTBLANK(J14:J15)&lt;&gt;0,(2-COUNTBLANK(J14:J15))/2,1)))</f>
        <v>0</v>
      </c>
      <c r="AM17" s="15" t="n">
        <v>0.08</v>
      </c>
      <c r="AN17">
        <f>IF(AK17+AG17=0,AM17*2/10,0)</f>
        <v>0.0160000000000000009</v>
      </c>
      <c r="BH17" t="n">
        <v>1</v>
      </c>
      <c r="BI17" t="n">
        <v>5</v>
      </c>
      <c r="BJ17" s="109" t="e">
        <f>$H$26*H44</f>
        <v>#DIV/0!</v>
      </c>
      <c r="BP17">
        <f>BP13+1</f>
        <v>5</v>
      </c>
      <c r="BQ17" t="n">
        <v>3</v>
      </c>
      <c r="BR17" s="109" t="e">
        <f>$H$30*H42</f>
        <v>#DIV/0!</v>
      </c>
    </row>
    <row r="18" spans="1:70">
      <c r="A18" s="185" t="s">
        <v>81</v>
      </c>
      <c r="B18" s="169" t="n">
        <v>20</v>
      </c>
      <c r="C18" s="170" t="n">
        <v>20</v>
      </c>
      <c r="E18" s="189" t="s">
        <v>74</v>
      </c>
      <c r="F18" s="164"/>
      <c r="G18" s="164"/>
      <c r="H18" s="12"/>
      <c r="I18" s="12"/>
      <c r="J18" s="163"/>
      <c r="K18" s="163"/>
      <c r="L18" s="12"/>
      <c r="M18" s="12"/>
      <c r="O18" s="69"/>
      <c r="P18" s="190"/>
      <c r="Q18" s="18">
        <f>P18*O18</f>
        <v>0</v>
      </c>
      <c r="R18" s="157" t="e">
        <f>IF($M$2="SI",Q18*$B$22/0.5*$S$1,Q18*$B$22/0.5*$S$2)</f>
        <v>#DIV/0!</v>
      </c>
      <c r="S18" s="173" t="e">
        <f>(1-R18)</f>
        <v>#DIV/0!</v>
      </c>
      <c r="T18" s="174" t="e">
        <f>R18*PRODUCT(S5:S17)*PRODUCT(S19)</f>
        <v>#DIV/0!</v>
      </c>
      <c r="U18" s="174" t="e">
        <f>R18*R19*PRODUCT(S5:S17)</f>
        <v>#DIV/0!</v>
      </c>
      <c r="W18" s="183" t="s">
        <v>82</v>
      </c>
      <c r="X18" s="17" t="s">
        <v>83</v>
      </c>
      <c r="Y18" s="71"/>
      <c r="Z18" s="191"/>
      <c r="AA18" s="21">
        <f>Z18*Y18</f>
        <v>0</v>
      </c>
      <c r="AB18" s="157" t="e">
        <f>IF($M$2="SI",AA18*$C$22/0.5*$S$1,AA18*$C$22/0.5*$S$2)</f>
        <v>#DIV/0!</v>
      </c>
      <c r="AC18" s="173" t="e">
        <f>(1-AB18)</f>
        <v>#DIV/0!</v>
      </c>
      <c r="AD18" s="174" t="e">
        <f>AB18*PRODUCT(AC5:AC17)*PRODUCT(AC19)</f>
        <v>#DIV/0!</v>
      </c>
      <c r="AE18" s="174" t="e">
        <f>AB18*AB19*PRODUCT(AC5:AC17)</f>
        <v>#DIV/0!</v>
      </c>
      <c r="AG18" s="195"/>
      <c r="AI18" s="155"/>
      <c r="AK18" s="195"/>
      <c r="AM18" s="15" t="n">
        <v>0</v>
      </c>
      <c r="BH18" t="n">
        <v>1</v>
      </c>
      <c r="BI18" t="n">
        <v>6</v>
      </c>
      <c r="BJ18" s="109" t="e">
        <f>$H$26*H45</f>
        <v>#DIV/0!</v>
      </c>
      <c r="BP18">
        <f>BL8+1</f>
        <v>5</v>
      </c>
      <c r="BQ18" t="n">
        <v>4</v>
      </c>
      <c r="BR18" s="109" t="e">
        <f>$H$30*H43</f>
        <v>#DIV/0!</v>
      </c>
    </row>
    <row r="19" spans="8:70">
      <c r="H19" s="15" t="s">
        <v>84</v>
      </c>
      <c r="L19" s="15" t="s">
        <v>84</v>
      </c>
      <c r="O19" s="69">
        <f>COUNTIF(F11:F18,"TEC")*AG19*AI19</f>
        <v>0</v>
      </c>
      <c r="P19" s="190" t="str">
        <f>P3</f>
        <v>0,6</v>
      </c>
      <c r="Q19" s="18">
        <f>P19*O19</f>
        <v>0</v>
      </c>
      <c r="R19" s="157" t="e">
        <f>IF($M$2="SI",Q19*$B$22/0.5*$S$1,Q19*$B$22/0.5*$S$2)</f>
        <v>#DIV/0!</v>
      </c>
      <c r="S19" s="175" t="e">
        <f>(1-R19)</f>
        <v>#DIV/0!</v>
      </c>
      <c r="T19" s="176" t="e">
        <f>R19*PRODUCT(S5:S18)</f>
        <v>#DIV/0!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COUNTIF(J11:J18,"TEC")*AI19*AK19</f>
        <v>0</v>
      </c>
      <c r="Z19" s="191" t="str">
        <f>Z3</f>
        <v>0,6</v>
      </c>
      <c r="AA19" s="21">
        <f>Z19*Y19</f>
        <v>0</v>
      </c>
      <c r="AB19" s="157" t="e">
        <f>IF($M$2="SI",AA19*$C$22/0.5*$S$1,AA19*$C$22/0.5*$S$2)</f>
        <v>#DIV/0!</v>
      </c>
      <c r="AC19" s="175" t="e">
        <f>(1-AB19)</f>
        <v>#DIV/0!</v>
      </c>
      <c r="AD19" s="176" t="e">
        <f>AB19*PRODUCT(AC5:AC18)</f>
        <v>#DIV/0!</v>
      </c>
      <c r="AE19" s="176" t="n">
        <v>0</v>
      </c>
      <c r="AF19" s="3" t="s">
        <v>85</v>
      </c>
      <c r="AG19" s="195">
        <f>IF(COUNTIF(F11:F18,"TEC")&gt;0,IF(COUNTIF(J6:J13,"CAB")&gt;0,IF(COUNTIF(F11:F18,"TEC")+COUNTIF(J11:J18,"TEC")&gt;0,COUNTIF(F11:F18,"TEC")/(COUNTIF(F11:F18,"TEC")+COUNTIF(J11:J18,"TEC")),0),0),0)</f>
        <v>0</v>
      </c>
      <c r="AI19" s="155">
        <f>IF(AN19=0,(AM19*2*$AI$2/2)+SUM($AN$5:$AN$19),0)</f>
        <v>0</v>
      </c>
      <c r="AK19" s="195">
        <f>IF(COUNTIF(J11:J18,"TEC")&gt;0,IF(COUNTIF(F6:F13,"CAB")&gt;0,IF(COUNTIF(F11:F18,"TEC")+COUNTIF(J11:J18,"TEC")&gt;0,COUNTIF(J11:J18,"TEC")/(COUNTIF(F11:F18,"TEC")+COUNTIF(J11:J18,"TEC")),0),0),0)</f>
        <v>0</v>
      </c>
      <c r="AM19" s="15" t="n">
        <v>0.06</v>
      </c>
      <c r="AN19">
        <f>IF(AK19+AG19=0,AM19*2/10,0)</f>
        <v>0.0119999999999999996</v>
      </c>
      <c r="BH19" t="n">
        <v>1</v>
      </c>
      <c r="BI19" t="n">
        <v>7</v>
      </c>
      <c r="BJ19" s="109" t="e">
        <f>$H$26*H46</f>
        <v>#DIV/0!</v>
      </c>
      <c r="BP19">
        <f>BP15+1</f>
        <v>6</v>
      </c>
      <c r="BQ19" t="n">
        <v>1</v>
      </c>
      <c r="BR19" s="109" t="e">
        <f>$H$31*H40</f>
        <v>#DIV/0!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 t="e">
        <f>PRODUCT(S5:S19)</f>
        <v>#DIV/0!</v>
      </c>
      <c r="T20" s="178" t="e">
        <f>SUM(T5:T19)</f>
        <v>#DIV/0!</v>
      </c>
      <c r="U20" s="178" t="e">
        <f>SUM(U5:U19)</f>
        <v>#DIV/0!</v>
      </c>
      <c r="V20" s="178" t="e">
        <f>1-S20-T20-U20</f>
        <v>#DIV/0!</v>
      </c>
      <c r="W20" s="23"/>
      <c r="X20" s="24"/>
      <c r="Y20" s="24"/>
      <c r="Z20" s="24"/>
      <c r="AA20" s="24"/>
      <c r="AB20" s="25"/>
      <c r="AC20" s="181" t="e">
        <f>PRODUCT(AC5:AC19)</f>
        <v>#DIV/0!</v>
      </c>
      <c r="AD20" s="178" t="e">
        <f>SUM(AD5:AD19)</f>
        <v>#DIV/0!</v>
      </c>
      <c r="AE20" s="178" t="e">
        <f>SUM(AE5:AE19)</f>
        <v>#DIV/0!</v>
      </c>
      <c r="AF20" s="178" t="e">
        <f>1-AC20-AD20-AE20</f>
        <v>#DIV/0!</v>
      </c>
      <c r="BH20" t="n">
        <v>1</v>
      </c>
      <c r="BI20" t="n">
        <v>8</v>
      </c>
      <c r="BJ20" s="109" t="e">
        <f>$H$26*H47</f>
        <v>#DIV/0!</v>
      </c>
      <c r="BP20">
        <f>BP16+1</f>
        <v>6</v>
      </c>
      <c r="BQ20" t="n">
        <v>2</v>
      </c>
      <c r="BR20" s="109" t="e">
        <f>$H$31*H41</f>
        <v>#DIV/0!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BH21" s="20" t="n">
        <v>1</v>
      </c>
      <c r="BI21" t="n">
        <v>9</v>
      </c>
      <c r="BJ21" s="109" t="e">
        <f>$H$26*H48</f>
        <v>#DIV/0!</v>
      </c>
      <c r="BP21">
        <f>BP17+1</f>
        <v>6</v>
      </c>
      <c r="BQ21" t="n">
        <v>3</v>
      </c>
      <c r="BR21" s="109" t="e">
        <f>$H$31*H42</f>
        <v>#DIV/0!</v>
      </c>
    </row>
    <row r="22" spans="1:70">
      <c r="A22" s="28" t="s">
        <v>90</v>
      </c>
      <c r="B22" s="64" t="e">
        <f>(B6)/((B6)+(C6))</f>
        <v>#DIV/0!</v>
      </c>
      <c r="C22" s="65" t="e">
        <f>1-B22</f>
        <v>#DIV/0!</v>
      </c>
      <c r="D22" s="26"/>
      <c r="E22" s="26"/>
      <c r="V22" s="61" t="e">
        <f>SUM(V25:V35)</f>
        <v>#DIV/0!</v>
      </c>
      <c r="AS22" s="84" t="e">
        <f>Y23+AA23+AC23+AE23+AG23+AI23+AK23+AM23+AO23+AQ23+AS23</f>
        <v>#DIV/0!</v>
      </c>
      <c r="BH22" t="n">
        <v>1</v>
      </c>
      <c r="BI22" t="n">
        <v>10</v>
      </c>
      <c r="BJ22" s="109" t="e">
        <f>$H$26*H49</f>
        <v>#DIV/0!</v>
      </c>
      <c r="BP22">
        <f>BP18+1</f>
        <v>6</v>
      </c>
      <c r="BQ22" t="n">
        <v>4</v>
      </c>
      <c r="BR22" s="109" t="e">
        <f>$H$31*H43</f>
        <v>#DIV/0!</v>
      </c>
    </row>
    <row r="23" spans="1:70">
      <c r="A23" s="42" t="s">
        <v>91</v>
      </c>
      <c r="B23" s="58" t="e">
        <f>((B22^2.8)/((B22^2.8)+(C22^2.8)))*B21</f>
        <v>#DIV/0!</v>
      </c>
      <c r="C23" s="59" t="e">
        <f>B21-B23</f>
        <v>#DIV/0!</v>
      </c>
      <c r="D23" s="151">
        <f>SUM(D25:D30)</f>
        <v>1</v>
      </c>
      <c r="E23" s="151">
        <f>SUM(E25:E30)</f>
        <v>1</v>
      </c>
      <c r="H23" s="61" t="e">
        <f>SUM(H25:H35)</f>
        <v>#DIV/0!</v>
      </c>
      <c r="J23" s="61" t="e">
        <f>SUM(J25:J35)</f>
        <v>#DIV/0!</v>
      </c>
      <c r="K23" s="61"/>
      <c r="L23" s="61" t="e">
        <f>SUM(L25:L35)</f>
        <v>#DIV/0!</v>
      </c>
      <c r="N23" s="61" t="e">
        <f>SUM(N25:N35)</f>
        <v>#DIV/0!</v>
      </c>
      <c r="O23" s="36"/>
      <c r="P23" s="61" t="e">
        <f>SUM(P25:P35)</f>
        <v>#DIV/0!</v>
      </c>
      <c r="R23" s="61" t="e">
        <f>SUM(R25:R35)</f>
        <v>#DIV/0!</v>
      </c>
      <c r="T23" s="61" t="e">
        <f>SUM(T25:T35)</f>
        <v>#DIV/0!</v>
      </c>
      <c r="V23" s="61" t="e">
        <f>SUM(V25:V34)</f>
        <v>#DIV/0!</v>
      </c>
      <c r="Y23" s="82" t="e">
        <f>SUM(Y25:Y35)</f>
        <v>#DIV/0!</v>
      </c>
      <c r="Z23" s="83"/>
      <c r="AA23" s="82" t="e">
        <f>SUM(AA25:AA35)</f>
        <v>#DIV/0!</v>
      </c>
      <c r="AB23" s="83"/>
      <c r="AC23" s="82" t="e">
        <f>SUM(AC25:AC35)</f>
        <v>#DIV/0!</v>
      </c>
      <c r="AD23" s="83"/>
      <c r="AE23" s="82" t="e">
        <f>SUM(AE25:AE35)</f>
        <v>#DIV/0!</v>
      </c>
      <c r="AF23" s="83"/>
      <c r="AG23" s="82" t="e">
        <f>SUM(AG25:AG35)</f>
        <v>#DIV/0!</v>
      </c>
      <c r="AH23" s="83"/>
      <c r="AI23" s="82" t="e">
        <f>SUM(AI25:AI35)</f>
        <v>#DIV/0!</v>
      </c>
      <c r="AJ23" s="83"/>
      <c r="AK23" s="82" t="e">
        <f>SUM(AK25:AK35)</f>
        <v>#DIV/0!</v>
      </c>
      <c r="AL23" s="83"/>
      <c r="AM23" s="82" t="e">
        <f>SUM(AM25:AM35)</f>
        <v>#DIV/0!</v>
      </c>
      <c r="AN23" s="83"/>
      <c r="AO23" s="82" t="e">
        <f>SUM(AO25:AO35)</f>
        <v>#DIV/0!</v>
      </c>
      <c r="AP23" s="83"/>
      <c r="AQ23" s="82" t="e">
        <f>SUM(AQ25:AQ35)</f>
        <v>#DIV/0!</v>
      </c>
      <c r="AR23" s="83"/>
      <c r="AS23" s="82" t="e">
        <f>SUM(AS25:AS35)</f>
        <v>#DIV/0!</v>
      </c>
      <c r="BH23">
        <f>BH15+1</f>
        <v>2</v>
      </c>
      <c r="BI23" t="n">
        <v>3</v>
      </c>
      <c r="BJ23" s="109" t="e">
        <f>$H$27*H42</f>
        <v>#DIV/0!</v>
      </c>
      <c r="BP23">
        <f>BL9+1</f>
        <v>6</v>
      </c>
      <c r="BQ23" t="n">
        <v>5</v>
      </c>
      <c r="BR23" s="109" t="e">
        <f>$H$31*H44</f>
        <v>#DIV/0!</v>
      </c>
    </row>
    <row r="24" spans="1:70">
      <c r="A24" s="28" t="s">
        <v>92</v>
      </c>
      <c r="B24" s="66" t="e">
        <f>B23/B21</f>
        <v>#DIV/0!</v>
      </c>
      <c r="C24" s="67" t="e">
        <f>C23/B21</f>
        <v>#DIV/0!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 t="e">
        <f>$H$27*H43</f>
        <v>#DIV/0!</v>
      </c>
      <c r="BP24">
        <f>BH49+1</f>
        <v>7</v>
      </c>
      <c r="BQ24" t="n">
        <v>0</v>
      </c>
      <c r="BR24" s="109" t="e">
        <f>$H$32*H39</f>
        <v>#DIV/0!</v>
      </c>
    </row>
    <row r="25" spans="1:70">
      <c r="A25" s="28" t="s">
        <v>117</v>
      </c>
      <c r="B25" s="119" t="e">
        <f>1/(1+EXP(-3.1416*4*((B11/(B11+C8))-(3.1416/6))))</f>
        <v>#DIV/0!</v>
      </c>
      <c r="C25" s="120" t="e">
        <f>1/(1+EXP(-3.1416*4*((C11/(C11+B8))-(3.1416/6))))</f>
        <v>#DIV/0!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 t="e">
        <f>L25*J25</f>
        <v>#DIV/0!</v>
      </c>
      <c r="I25" s="99" t="n">
        <v>0</v>
      </c>
      <c r="J25" s="100" t="e">
        <f>Y25+AA25+AC25+AE25+AG25+AI25+AK25+AM25+AO25+AQ25+AS25</f>
        <v>#DIV/0!</v>
      </c>
      <c r="K25" s="99" t="n">
        <v>0</v>
      </c>
      <c r="L25" s="100" t="e">
        <f>S20</f>
        <v>#DIV/0!</v>
      </c>
      <c r="M25" s="86" t="n">
        <v>0</v>
      </c>
      <c r="N25" s="73" t="e">
        <f>(1-$B$24)^$B$21</f>
        <v>#DIV/0!</v>
      </c>
      <c r="O25" s="72" t="n">
        <v>0</v>
      </c>
      <c r="P25" s="73" t="e">
        <f>N25</f>
        <v>#DIV/0!</v>
      </c>
      <c r="Q25" s="14" t="n">
        <v>0</v>
      </c>
      <c r="R25" s="75" t="e">
        <f>P25*N25</f>
        <v>#DIV/0!</v>
      </c>
      <c r="S25" s="72" t="n">
        <v>0</v>
      </c>
      <c r="T25" s="135" t="e">
        <f>(1-$B$33)^(INT(C23*2*(1-C31)))</f>
        <v>#DIV/0!</v>
      </c>
      <c r="U25" s="140" t="n">
        <v>0</v>
      </c>
      <c r="V25" s="88" t="e">
        <f>R25*T25</f>
        <v>#DIV/0!</v>
      </c>
      <c r="W25" s="136" t="e">
        <f>B31</f>
        <v>#DIV/0!</v>
      </c>
      <c r="X25" s="14" t="n">
        <v>0</v>
      </c>
      <c r="Y25" s="81" t="e">
        <f>V25</f>
        <v>#DIV/0!</v>
      </c>
      <c r="Z25" s="14" t="n">
        <v>0</v>
      </c>
      <c r="AA25" s="80" t="e">
        <f>((1-W25)^Z26)*V26</f>
        <v>#DIV/0!</v>
      </c>
      <c r="AB25" s="14" t="n">
        <v>0</v>
      </c>
      <c r="AC25" s="81" t="e">
        <f>(((1-$W$25)^AB27))*V27</f>
        <v>#DIV/0!</v>
      </c>
      <c r="AD25" s="14" t="n">
        <v>0</v>
      </c>
      <c r="AE25" s="81" t="e">
        <f>(((1-$W$25)^AB28))*V28</f>
        <v>#DIV/0!</v>
      </c>
      <c r="AF25" s="14" t="n">
        <v>0</v>
      </c>
      <c r="AG25" s="81" t="e">
        <f>(((1-$W$25)^AB29))*V29</f>
        <v>#DIV/0!</v>
      </c>
      <c r="AH25" s="14" t="n">
        <v>0</v>
      </c>
      <c r="AI25" s="81" t="e">
        <f>(((1-$W$25)^AB30))*V30</f>
        <v>#DIV/0!</v>
      </c>
      <c r="AJ25" s="14" t="n">
        <v>0</v>
      </c>
      <c r="AK25" s="81" t="e">
        <f>(((1-$W$25)^AB31))*V31</f>
        <v>#DIV/0!</v>
      </c>
      <c r="AL25" s="14" t="n">
        <v>0</v>
      </c>
      <c r="AM25" s="81" t="e">
        <f>(((1-$W$25)^AB32))*V32</f>
        <v>#DIV/0!</v>
      </c>
      <c r="AN25" s="14" t="n">
        <v>0</v>
      </c>
      <c r="AO25" s="81" t="e">
        <f>(((1-$W$25)^AB33))*V33</f>
        <v>#DIV/0!</v>
      </c>
      <c r="AP25" s="14" t="n">
        <v>0</v>
      </c>
      <c r="AQ25" s="81" t="e">
        <f>(((1-$W$25)^AB34))*V34</f>
        <v>#DIV/0!</v>
      </c>
      <c r="AR25" s="14" t="n">
        <v>0</v>
      </c>
      <c r="AS25" s="81" t="e">
        <f>(((1-$W$25)^AB35))*V35</f>
        <v>#DIV/0!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 t="e">
        <f>$H$27*H44</f>
        <v>#DIV/0!</v>
      </c>
      <c r="BP25">
        <f>BP19+1</f>
        <v>7</v>
      </c>
      <c r="BQ25" t="n">
        <v>1</v>
      </c>
      <c r="BR25" s="109" t="e">
        <f>$H$32*H40</f>
        <v>#DIV/0!</v>
      </c>
    </row>
    <row r="26" spans="1:70">
      <c r="A26" s="42" t="s">
        <v>118</v>
      </c>
      <c r="B26" s="121" t="e">
        <f>1/(1+EXP(-3.1416*4*((B10/(B10+C9))-(3.1416/6))))</f>
        <v>#DIV/0!</v>
      </c>
      <c r="C26" s="120" t="e">
        <f>1/(1+EXP(-3.1416*4*((C10/(C10+B9))-(3.1416/6))))</f>
        <v>#DIV/0!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 t="e">
        <f>L25*J26+L26*J25</f>
        <v>#DIV/0!</v>
      </c>
      <c r="I26" s="95" t="n">
        <v>1</v>
      </c>
      <c r="J26" s="88" t="e">
        <f>Y26+AA26+AC26+AE26+AG26+AI26+AK26+AM26+AO26+AQ26+AS26</f>
        <v>#DIV/0!</v>
      </c>
      <c r="K26" s="95" t="n">
        <v>1</v>
      </c>
      <c r="L26" s="88" t="e">
        <f>T20</f>
        <v>#DIV/0!</v>
      </c>
      <c r="M26" s="87" t="n">
        <v>1</v>
      </c>
      <c r="N26" s="73" t="e">
        <f>(($B$24)^M26)*((1-($B$24))^($B$21-M26))*HLOOKUP($B$21,$AV$24:$BF$34,M26+1)</f>
        <v>#DIV/0!</v>
      </c>
      <c r="O26" s="74" t="n">
        <v>1</v>
      </c>
      <c r="P26" s="73" t="e">
        <f>N26</f>
        <v>#DIV/0!</v>
      </c>
      <c r="Q26" s="30" t="n">
        <v>1</v>
      </c>
      <c r="R26" s="39" t="e">
        <f>N26*P25+P26*N25</f>
        <v>#DIV/0!</v>
      </c>
      <c r="S26" s="74" t="n">
        <v>1</v>
      </c>
      <c r="T26" s="135" t="e">
        <f>(($B$33)^S26)*((1-($B$33))^(INT($C$23*2*(1-$C$31))-S26))*HLOOKUP(INT($C$23*2*(1-$C$31)),$AV$24:$BF$34,S26+1)</f>
        <v>#DIV/0!</v>
      </c>
      <c r="U26" s="95" t="n">
        <v>1</v>
      </c>
      <c r="V26" s="88" t="e">
        <f>R26*T25+T26*R25</f>
        <v>#DIV/0!</v>
      </c>
      <c r="W26" s="137"/>
      <c r="X26" s="30" t="n">
        <v>1</v>
      </c>
      <c r="Y26" s="75"/>
      <c r="Z26" s="30" t="n">
        <v>1</v>
      </c>
      <c r="AA26" s="81" t="e">
        <f>(1-((1-W25)^Z26))*V26</f>
        <v>#DIV/0!</v>
      </c>
      <c r="AB26" s="30" t="n">
        <v>1</v>
      </c>
      <c r="AC26" s="81" t="e">
        <f>((($W$25)^M26)*((1-($W$25))^($U$27-M26))*HLOOKUP($U$27,$AV$24:$BF$34,M26+1))*V27</f>
        <v>#DIV/0!</v>
      </c>
      <c r="AD26" s="30" t="n">
        <v>1</v>
      </c>
      <c r="AE26" s="81" t="e">
        <f>((($W$25)^M26)*((1-($W$25))^($U$28-M26))*HLOOKUP($U$28,$AV$24:$BF$34,M26+1))*V28</f>
        <v>#DIV/0!</v>
      </c>
      <c r="AF26" s="30" t="n">
        <v>1</v>
      </c>
      <c r="AG26" s="81" t="e">
        <f>((($W$25)^M26)*((1-($W$25))^($U$29-M26))*HLOOKUP($U$29,$AV$24:$BF$34,M26+1))*V29</f>
        <v>#DIV/0!</v>
      </c>
      <c r="AH26" s="30" t="n">
        <v>1</v>
      </c>
      <c r="AI26" s="81" t="e">
        <f>((($W$25)^M26)*((1-($W$25))^($U$30-M26))*HLOOKUP($U$30,$AV$24:$BF$34,M26+1))*V30</f>
        <v>#DIV/0!</v>
      </c>
      <c r="AJ26" s="30" t="n">
        <v>1</v>
      </c>
      <c r="AK26" s="81" t="e">
        <f>((($W$25)^M26)*((1-($W$25))^($U$31-M26))*HLOOKUP($U$31,$AV$24:$BF$34,M26+1))*V31</f>
        <v>#DIV/0!</v>
      </c>
      <c r="AL26" s="30" t="n">
        <v>1</v>
      </c>
      <c r="AM26" s="81" t="e">
        <f>((($W$25)^Q26)*((1-($W$25))^($U$32-Q26))*HLOOKUP($U$32,$AV$24:$BF$34,Q26+1))*V32</f>
        <v>#DIV/0!</v>
      </c>
      <c r="AN26" s="30" t="n">
        <v>1</v>
      </c>
      <c r="AO26" s="81" t="e">
        <f>((($W$25)^Q26)*((1-($W$25))^($U$33-Q26))*HLOOKUP($U$33,$AV$24:$BF$34,Q26+1))*V33</f>
        <v>#DIV/0!</v>
      </c>
      <c r="AP26" s="30" t="n">
        <v>1</v>
      </c>
      <c r="AQ26" s="81" t="e">
        <f>((($W$25)^Q26)*((1-($W$25))^($U$34-Q26))*HLOOKUP($U$34,$AV$24:$BF$34,Q26+1))*V34</f>
        <v>#DIV/0!</v>
      </c>
      <c r="AR26" s="30" t="n">
        <v>1</v>
      </c>
      <c r="AS26" s="81" t="e">
        <f>((($W$25)^Q26)*((1-($W$25))^($U$35-Q26))*HLOOKUP($U$35,$AV$24:$BF$34,Q26+1))*V35</f>
        <v>#DIV/0!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 t="e">
        <f>$H$27*H45</f>
        <v>#DIV/0!</v>
      </c>
      <c r="BP26">
        <f>BP20+1</f>
        <v>7</v>
      </c>
      <c r="BQ26" t="n">
        <v>2</v>
      </c>
      <c r="BR26" s="109" t="e">
        <f>$H$32*H41</f>
        <v>#DIV/0!</v>
      </c>
    </row>
    <row r="27" spans="1:70">
      <c r="A27" s="28" t="s">
        <v>119</v>
      </c>
      <c r="B27" s="121" t="e">
        <f>1/(1+EXP(-3.1416*4*((B12/(B12+C7))-(3.1416/6))))</f>
        <v>#DIV/0!</v>
      </c>
      <c r="C27" s="120" t="e">
        <f>1/(1+EXP(-3.1416*4*((C12/(C12+B7))-(3.1416/6))))</f>
        <v>#DIV/0!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 t="e">
        <f>L25*J27+J26*L26+J25*L27</f>
        <v>#DIV/0!</v>
      </c>
      <c r="I27" s="95" t="n">
        <v>2</v>
      </c>
      <c r="J27" s="88" t="e">
        <f>Y27+AA27+AC27+AE27+AG27+AI27+AK27+AM27+AO27+AQ27+AS27</f>
        <v>#DIV/0!</v>
      </c>
      <c r="K27" s="95" t="n">
        <v>2</v>
      </c>
      <c r="L27" s="88" t="e">
        <f>U20</f>
        <v>#DIV/0!</v>
      </c>
      <c r="M27" s="87" t="n">
        <v>2</v>
      </c>
      <c r="N27" s="73" t="e">
        <f>(($B$24)^M27)*((1-($B$24))^($B$21-M27))*HLOOKUP($B$21,$AV$24:$BF$34,M27+1)</f>
        <v>#DIV/0!</v>
      </c>
      <c r="O27" s="74" t="n">
        <v>2</v>
      </c>
      <c r="P27" s="73" t="e">
        <f>N27</f>
        <v>#DIV/0!</v>
      </c>
      <c r="Q27" s="30" t="n">
        <v>2</v>
      </c>
      <c r="R27" s="39" t="e">
        <f>P25*N27+P26*N26+P27*N25</f>
        <v>#DIV/0!</v>
      </c>
      <c r="S27" s="74" t="n">
        <v>2</v>
      </c>
      <c r="T27" s="135" t="e">
        <f>(($B$33)^S27)*((1-($B$33))^(INT($C$23*2*(1-$C$31))-S27))*HLOOKUP(INT($C$23*2*(1-$C$31)),$AV$24:$BF$34,S27+1)</f>
        <v>#DIV/0!</v>
      </c>
      <c r="U27" s="95" t="n">
        <v>2</v>
      </c>
      <c r="V27" s="88" t="e">
        <f>R27*T25+T26*R26+R25*T27</f>
        <v>#DIV/0!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 t="e">
        <f>((($W$25)^M27)*((1-($W$25))^($U$27-M27))*HLOOKUP($U$27,$AV$24:$BF$34,M27+1))*V27</f>
        <v>#DIV/0!</v>
      </c>
      <c r="AD27" s="30" t="n">
        <v>2</v>
      </c>
      <c r="AE27" s="81" t="e">
        <f>((($W$25)^M27)*((1-($W$25))^($U$28-M27))*HLOOKUP($U$28,$AV$24:$BF$34,M27+1))*V28</f>
        <v>#DIV/0!</v>
      </c>
      <c r="AF27" s="30" t="n">
        <v>2</v>
      </c>
      <c r="AG27" s="81" t="e">
        <f>((($W$25)^M27)*((1-($W$25))^($U$29-M27))*HLOOKUP($U$29,$AV$24:$BF$34,M27+1))*V29</f>
        <v>#DIV/0!</v>
      </c>
      <c r="AH27" s="30" t="n">
        <v>2</v>
      </c>
      <c r="AI27" s="81" t="e">
        <f>((($W$25)^M27)*((1-($W$25))^($U$30-M27))*HLOOKUP($U$30,$AV$24:$BF$34,M27+1))*V30</f>
        <v>#DIV/0!</v>
      </c>
      <c r="AJ27" s="30" t="n">
        <v>2</v>
      </c>
      <c r="AK27" s="81" t="e">
        <f>((($W$25)^M27)*((1-($W$25))^($U$31-M27))*HLOOKUP($U$31,$AV$24:$BF$34,M27+1))*V31</f>
        <v>#DIV/0!</v>
      </c>
      <c r="AL27" s="30" t="n">
        <v>2</v>
      </c>
      <c r="AM27" s="81" t="e">
        <f>((($W$25)^Q27)*((1-($W$25))^($U$32-Q27))*HLOOKUP($U$32,$AV$24:$BF$34,Q27+1))*V32</f>
        <v>#DIV/0!</v>
      </c>
      <c r="AN27" s="30" t="n">
        <v>2</v>
      </c>
      <c r="AO27" s="81" t="e">
        <f>((($W$25)^Q27)*((1-($W$25))^($U$33-Q27))*HLOOKUP($U$33,$AV$24:$BF$34,Q27+1))*V33</f>
        <v>#DIV/0!</v>
      </c>
      <c r="AP27" s="30" t="n">
        <v>2</v>
      </c>
      <c r="AQ27" s="81" t="e">
        <f>((($W$25)^Q27)*((1-($W$25))^($U$34-Q27))*HLOOKUP($U$34,$AV$24:$BF$34,Q27+1))*V34</f>
        <v>#DIV/0!</v>
      </c>
      <c r="AR27" s="30" t="n">
        <v>2</v>
      </c>
      <c r="AS27" s="81" t="e">
        <f>((($W$25)^Q27)*((1-($W$25))^($U$35-Q27))*HLOOKUP($U$35,$AV$24:$BF$34,Q27+1))*V35</f>
        <v>#DIV/0!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 t="e">
        <f>$H$27*H46</f>
        <v>#DIV/0!</v>
      </c>
      <c r="BP27">
        <f>BP21+1</f>
        <v>7</v>
      </c>
      <c r="BQ27" t="n">
        <v>3</v>
      </c>
      <c r="BR27" s="109" t="e">
        <f>$H$32*H42</f>
        <v>#DIV/0!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 t="e">
        <f>J28*L25+J27*L26+L28*J25+L27*J26</f>
        <v>#DIV/0!</v>
      </c>
      <c r="I28" s="95" t="n">
        <v>3</v>
      </c>
      <c r="J28" s="88" t="e">
        <f>Y28+AA28+AC28+AE28+AG28+AI28+AK28+AM28+AO28+AQ28+AS28</f>
        <v>#DIV/0!</v>
      </c>
      <c r="K28" s="95" t="n">
        <v>3</v>
      </c>
      <c r="L28" s="88" t="e">
        <f>V20</f>
        <v>#DIV/0!</v>
      </c>
      <c r="M28" s="87" t="n">
        <v>3</v>
      </c>
      <c r="N28" s="73" t="e">
        <f>(($B$24)^M28)*((1-($B$24))^($B$21-M28))*HLOOKUP($B$21,$AV$24:$BF$34,M28+1)</f>
        <v>#DIV/0!</v>
      </c>
      <c r="O28" s="74" t="n">
        <v>3</v>
      </c>
      <c r="P28" s="73" t="e">
        <f>N28</f>
        <v>#DIV/0!</v>
      </c>
      <c r="Q28" s="30" t="n">
        <v>3</v>
      </c>
      <c r="R28" s="39" t="e">
        <f>P25*N28+P26*N27+P27*N26+P28*N25</f>
        <v>#DIV/0!</v>
      </c>
      <c r="S28" s="74" t="n">
        <v>3</v>
      </c>
      <c r="T28" s="135" t="e">
        <f>(($B$33)^S28)*((1-($B$33))^(INT($C$23*2*(1-$C$31))-S28))*HLOOKUP(INT($C$23*2*(1-$C$31)),$AV$24:$BF$34,S28+1)</f>
        <v>#DIV/0!</v>
      </c>
      <c r="U28" s="95" t="n">
        <v>3</v>
      </c>
      <c r="V28" s="88" t="e">
        <f>R28*T25+R27*T26+R26*T27+R25*T28</f>
        <v>#DIV/0!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 t="e">
        <f>((($W$25)^M28)*((1-($W$25))^($U$28-M28))*HLOOKUP($U$28,$AV$24:$BF$34,M28+1))*V28</f>
        <v>#DIV/0!</v>
      </c>
      <c r="AF28" s="30" t="n">
        <v>3</v>
      </c>
      <c r="AG28" s="81" t="e">
        <f>((($W$25)^M28)*((1-($W$25))^($U$29-M28))*HLOOKUP($U$29,$AV$24:$BF$34,M28+1))*V29</f>
        <v>#DIV/0!</v>
      </c>
      <c r="AH28" s="30" t="n">
        <v>3</v>
      </c>
      <c r="AI28" s="81" t="e">
        <f>((($W$25)^M28)*((1-($W$25))^($U$30-M28))*HLOOKUP($U$30,$AV$24:$BF$34,M28+1))*V30</f>
        <v>#DIV/0!</v>
      </c>
      <c r="AJ28" s="30" t="n">
        <v>3</v>
      </c>
      <c r="AK28" s="81" t="e">
        <f>((($W$25)^M28)*((1-($W$25))^($U$31-M28))*HLOOKUP($U$31,$AV$24:$BF$34,M28+1))*V31</f>
        <v>#DIV/0!</v>
      </c>
      <c r="AL28" s="30" t="n">
        <v>3</v>
      </c>
      <c r="AM28" s="81" t="e">
        <f>((($W$25)^Q28)*((1-($W$25))^($U$32-Q28))*HLOOKUP($U$32,$AV$24:$BF$34,Q28+1))*V32</f>
        <v>#DIV/0!</v>
      </c>
      <c r="AN28" s="30" t="n">
        <v>3</v>
      </c>
      <c r="AO28" s="81" t="e">
        <f>((($W$25)^Q28)*((1-($W$25))^($U$33-Q28))*HLOOKUP($U$33,$AV$24:$BF$34,Q28+1))*V33</f>
        <v>#DIV/0!</v>
      </c>
      <c r="AP28" s="30" t="n">
        <v>3</v>
      </c>
      <c r="AQ28" s="81" t="e">
        <f>((($W$25)^Q28)*((1-($W$25))^($U$34-Q28))*HLOOKUP($U$34,$AV$24:$BF$34,Q28+1))*V34</f>
        <v>#DIV/0!</v>
      </c>
      <c r="AR28" s="30" t="n">
        <v>3</v>
      </c>
      <c r="AS28" s="81" t="e">
        <f>((($W$25)^Q28)*((1-($W$25))^($U$35-Q28))*HLOOKUP($U$35,$AV$24:$BF$34,Q28+1))*V35</f>
        <v>#DIV/0!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 t="e">
        <f>$H$27*H47</f>
        <v>#DIV/0!</v>
      </c>
      <c r="BP28">
        <f>BP22+1</f>
        <v>7</v>
      </c>
      <c r="BQ28" t="n">
        <v>4</v>
      </c>
      <c r="BR28" s="109" t="e">
        <f>$H$32*H43</f>
        <v>#DIV/0!</v>
      </c>
    </row>
    <row r="29" spans="1:70">
      <c r="A29" s="28" t="s">
        <v>121</v>
      </c>
      <c r="B29" s="121">
        <f>1/(1+EXP(-3.1416*4*((B14/(B14+C13))-(3.1416/6))))</f>
        <v>0.0155570721720240002</v>
      </c>
      <c r="C29" s="120">
        <f>1/(1+EXP(-3.1416*4*((C14/(C14+B13))-(3.1416/6))))</f>
        <v>0.962488442037681935</v>
      </c>
      <c r="D29" s="153" t="n">
        <v>0.04</v>
      </c>
      <c r="E29" s="153" t="n">
        <v>0.04</v>
      </c>
      <c r="G29" s="89" t="n">
        <v>4</v>
      </c>
      <c r="H29" s="128" t="e">
        <f>J29*L25+J28*L26+J27*L27+J26*L28</f>
        <v>#DIV/0!</v>
      </c>
      <c r="I29" s="95" t="n">
        <v>4</v>
      </c>
      <c r="J29" s="88" t="e">
        <f>Y29+AA29+AC29+AE29+AG29+AI29+AK29+AM29+AO29+AQ29+AS29</f>
        <v>#DIV/0!</v>
      </c>
      <c r="K29" s="95" t="n">
        <v>4</v>
      </c>
      <c r="L29" s="88"/>
      <c r="M29" s="87" t="n">
        <v>4</v>
      </c>
      <c r="N29" s="73" t="e">
        <f>(($B$24)^M29)*((1-($B$24))^($B$21-M29))*HLOOKUP($B$21,$AV$24:$BF$34,M29+1)</f>
        <v>#DIV/0!</v>
      </c>
      <c r="O29" s="74" t="n">
        <v>4</v>
      </c>
      <c r="P29" s="73" t="e">
        <f>N29</f>
        <v>#DIV/0!</v>
      </c>
      <c r="Q29" s="30" t="n">
        <v>4</v>
      </c>
      <c r="R29" s="39" t="e">
        <f>P25*N29+P26*N28+P27*N27+P28*N26+P29*N25</f>
        <v>#DIV/0!</v>
      </c>
      <c r="S29" s="74" t="n">
        <v>4</v>
      </c>
      <c r="T29" s="135" t="e">
        <f>(($B$33)^S29)*((1-($B$33))^(INT($C$23*2*(1-$C$31))-S29))*HLOOKUP(INT($C$23*2*(1-$C$31)),$AV$24:$BF$34,S29+1)</f>
        <v>#DIV/0!</v>
      </c>
      <c r="U29" s="95" t="n">
        <v>4</v>
      </c>
      <c r="V29" s="88" t="e">
        <f>T29*R25+T28*R26+T27*R27+T26*R28+T25*R29</f>
        <v>#DIV/0!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 t="e">
        <f>((($W$25)^M29)*((1-($W$25))^($U$29-M29))*HLOOKUP($U$29,$AV$24:$BF$34,M29+1))*V29</f>
        <v>#DIV/0!</v>
      </c>
      <c r="AH29" s="30" t="n">
        <v>4</v>
      </c>
      <c r="AI29" s="81" t="e">
        <f>((($W$25)^M29)*((1-($W$25))^($U$30-M29))*HLOOKUP($U$30,$AV$24:$BF$34,M29+1))*V30</f>
        <v>#DIV/0!</v>
      </c>
      <c r="AJ29" s="30" t="n">
        <v>4</v>
      </c>
      <c r="AK29" s="81" t="e">
        <f>((($W$25)^M29)*((1-($W$25))^($U$31-M29))*HLOOKUP($U$31,$AV$24:$BF$34,M29+1))*V31</f>
        <v>#DIV/0!</v>
      </c>
      <c r="AL29" s="30" t="n">
        <v>4</v>
      </c>
      <c r="AM29" s="81" t="e">
        <f>((($W$25)^Q29)*((1-($W$25))^($U$32-Q29))*HLOOKUP($U$32,$AV$24:$BF$34,Q29+1))*V32</f>
        <v>#DIV/0!</v>
      </c>
      <c r="AN29" s="30" t="n">
        <v>4</v>
      </c>
      <c r="AO29" s="81" t="e">
        <f>((($W$25)^Q29)*((1-($W$25))^($U$33-Q29))*HLOOKUP($U$33,$AV$24:$BF$34,Q29+1))*V33</f>
        <v>#DIV/0!</v>
      </c>
      <c r="AP29" s="30" t="n">
        <v>4</v>
      </c>
      <c r="AQ29" s="81" t="e">
        <f>((($W$25)^Q29)*((1-($W$25))^($U$34-Q29))*HLOOKUP($U$34,$AV$24:$BF$34,Q29+1))*V34</f>
        <v>#DIV/0!</v>
      </c>
      <c r="AR29" s="30" t="n">
        <v>4</v>
      </c>
      <c r="AS29" s="81" t="e">
        <f>((($W$25)^Q29)*((1-($W$25))^($U$35-Q29))*HLOOKUP($U$35,$AV$24:$BF$34,Q29+1))*V35</f>
        <v>#DIV/0!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 t="e">
        <f>$H$27*H48</f>
        <v>#DIV/0!</v>
      </c>
      <c r="BP29">
        <f>BP23+1</f>
        <v>7</v>
      </c>
      <c r="BQ29" t="n">
        <v>5</v>
      </c>
      <c r="BR29" s="109" t="e">
        <f>$H$32*H44</f>
        <v>#DIV/0!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 t="e">
        <f>J30*L25+J29*L26+J28*L27+J27*L28</f>
        <v>#DIV/0!</v>
      </c>
      <c r="I30" s="95" t="n">
        <v>5</v>
      </c>
      <c r="J30" s="88" t="e">
        <f>Y30+AA30+AC30+AE30+AG30+AI30+AK30+AM30+AO30+AQ30+AS30</f>
        <v>#DIV/0!</v>
      </c>
      <c r="K30" s="95" t="n">
        <v>5</v>
      </c>
      <c r="L30" s="88"/>
      <c r="M30" s="87" t="n">
        <v>5</v>
      </c>
      <c r="N30" s="73" t="e">
        <f>(($B$24)^M30)*((1-($B$24))^($B$21-M30))*HLOOKUP($B$21,$AV$24:$BF$34,M30+1)</f>
        <v>#DIV/0!</v>
      </c>
      <c r="O30" s="74" t="n">
        <v>5</v>
      </c>
      <c r="P30" s="73" t="e">
        <f>N30</f>
        <v>#DIV/0!</v>
      </c>
      <c r="Q30" s="30" t="n">
        <v>5</v>
      </c>
      <c r="R30" s="39" t="e">
        <f>P25*N30+P26*N29+P27*N28+P28*N27+P29*N26+P30*N25</f>
        <v>#DIV/0!</v>
      </c>
      <c r="S30" s="74" t="n">
        <v>5</v>
      </c>
      <c r="T30" s="135" t="e">
        <f>(($B$33)^S30)*((1-($B$33))^(INT($C$23*2*(1-$C$31))-S30))*HLOOKUP(INT($C$23*2*(1-$C$31)),$AV$24:$BF$34,S30+1)</f>
        <v>#DIV/0!</v>
      </c>
      <c r="U30" s="95" t="n">
        <v>5</v>
      </c>
      <c r="V30" s="88" t="e">
        <f>T30*R25+T29*R26+T28*R27+T27*R28+T26*R29+T25*R30</f>
        <v>#DIV/0!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 t="e">
        <f>((($W$25)^M30)*((1-($W$25))^($U$30-M30))*HLOOKUP($U$30,$AV$24:$BF$34,M30+1))*V30</f>
        <v>#DIV/0!</v>
      </c>
      <c r="AJ30" s="30" t="n">
        <v>5</v>
      </c>
      <c r="AK30" s="81" t="e">
        <f>((($W$25)^M30)*((1-($W$25))^($U$31-M30))*HLOOKUP($U$31,$AV$24:$BF$34,M30+1))*V31</f>
        <v>#DIV/0!</v>
      </c>
      <c r="AL30" s="30" t="n">
        <v>5</v>
      </c>
      <c r="AM30" s="81" t="e">
        <f>((($W$25)^Q30)*((1-($W$25))^($U$32-Q30))*HLOOKUP($U$32,$AV$24:$BF$34,Q30+1))*V32</f>
        <v>#DIV/0!</v>
      </c>
      <c r="AN30" s="30" t="n">
        <v>5</v>
      </c>
      <c r="AO30" s="81" t="e">
        <f>((($W$25)^Q30)*((1-($W$25))^($U$33-Q30))*HLOOKUP($U$33,$AV$24:$BF$34,Q30+1))*V33</f>
        <v>#DIV/0!</v>
      </c>
      <c r="AP30" s="30" t="n">
        <v>5</v>
      </c>
      <c r="AQ30" s="81" t="e">
        <f>((($W$25)^Q30)*((1-($W$25))^($U$34-Q30))*HLOOKUP($U$34,$AV$24:$BF$34,Q30+1))*V34</f>
        <v>#DIV/0!</v>
      </c>
      <c r="AR30" s="30" t="n">
        <v>5</v>
      </c>
      <c r="AS30" s="81" t="e">
        <f>((($W$25)^Q30)*((1-($W$25))^($U$35-Q30))*HLOOKUP($U$35,$AV$24:$BF$34,Q30+1))*V35</f>
        <v>#DIV/0!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 t="e">
        <f>$H$27*H49</f>
        <v>#DIV/0!</v>
      </c>
      <c r="BP30">
        <f>BL10+1</f>
        <v>7</v>
      </c>
      <c r="BQ30" t="n">
        <v>6</v>
      </c>
      <c r="BR30" s="109" t="e">
        <f>$H$32*H45</f>
        <v>#DIV/0!</v>
      </c>
    </row>
    <row r="31" spans="1:70">
      <c r="A31" s="186" t="s">
        <v>123</v>
      </c>
      <c r="B31" s="62" t="e">
        <f>(B25*D25)+(B26*D26)+(B27*D27)+(B28*D28)+(B29*D29)+(B30*D30)/(B25+B26+B27+B28+B29+B30)</f>
        <v>#DIV/0!</v>
      </c>
      <c r="C31" s="63" t="e">
        <f>(C25*E25)+(C26*E26)+(C27*E27)+(C28*E28)+(C29*E29)+(C30*E30)/(C25+C26+C27+C28+C29+C30)</f>
        <v>#DIV/0!</v>
      </c>
      <c r="G31" s="89" t="n">
        <v>6</v>
      </c>
      <c r="H31" s="128" t="e">
        <f>J31*L25+J30*L26+J29*L27+J28*L28</f>
        <v>#DIV/0!</v>
      </c>
      <c r="I31" s="95" t="n">
        <v>6</v>
      </c>
      <c r="J31" s="88" t="e">
        <f>Y31+AA31+AC31+AE31+AG31+AI31+AK31+AM31+AO31+AQ31+AS31</f>
        <v>#DIV/0!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 t="e">
        <f>P26*N30+P27*N29+P28*N28+P29*N27+P30*N26</f>
        <v>#DIV/0!</v>
      </c>
      <c r="S31" s="72" t="n">
        <v>6</v>
      </c>
      <c r="T31" s="135" t="e">
        <f>(($B$33)^S31)*((1-($B$33))^(INT($C$23*2*(1-$C$31))-S31))*HLOOKUP(INT($C$23*2*(1-$C$31)),$AV$24:$BF$34,S31+1)</f>
        <v>#DIV/0!</v>
      </c>
      <c r="U31" s="95" t="n">
        <v>6</v>
      </c>
      <c r="V31" s="88" t="e">
        <f>T31*R25+T30*R26+T29*R27+T28*R28+T27*R29+T26*R30+T25*R31</f>
        <v>#DIV/0!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 t="e">
        <f>((($W$25)^Q31)*((1-($W$25))^($U$31-Q31))*HLOOKUP($U$31,$AV$24:$BF$34,Q31+1))*V31</f>
        <v>#DIV/0!</v>
      </c>
      <c r="AL31" s="30" t="n">
        <v>6</v>
      </c>
      <c r="AM31" s="81" t="e">
        <f>((($W$25)^Q31)*((1-($W$25))^($U$32-Q31))*HLOOKUP($U$32,$AV$24:$BF$34,Q31+1))*V32</f>
        <v>#DIV/0!</v>
      </c>
      <c r="AN31" s="30" t="n">
        <v>6</v>
      </c>
      <c r="AO31" s="81" t="e">
        <f>((($W$25)^Q31)*((1-($W$25))^($U$33-Q31))*HLOOKUP($U$33,$AV$24:$BF$34,Q31+1))*V33</f>
        <v>#DIV/0!</v>
      </c>
      <c r="AP31" s="30" t="n">
        <v>6</v>
      </c>
      <c r="AQ31" s="81" t="e">
        <f>((($W$25)^Q31)*((1-($W$25))^($U$34-Q31))*HLOOKUP($U$34,$AV$24:$BF$34,Q31+1))*V34</f>
        <v>#DIV/0!</v>
      </c>
      <c r="AR31" s="30" t="n">
        <v>6</v>
      </c>
      <c r="AS31" s="81" t="e">
        <f>((($W$25)^Q31)*((1-($W$25))^($U$35-Q31))*HLOOKUP($U$35,$AV$24:$BF$34,Q31+1))*V35</f>
        <v>#DIV/0!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 t="e">
        <f>$H$28*H43</f>
        <v>#DIV/0!</v>
      </c>
      <c r="BP31">
        <f>BP24+1</f>
        <v>8</v>
      </c>
      <c r="BQ31" t="n">
        <v>0</v>
      </c>
      <c r="BR31" s="109" t="e">
        <f>$H$33*H39</f>
        <v>#DIV/0!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 t="e">
        <f>J32*L25+J31*L26+J30*L27+J29*L28</f>
        <v>#DIV/0!</v>
      </c>
      <c r="I32" s="95" t="n">
        <v>7</v>
      </c>
      <c r="J32" s="88" t="e">
        <f>Y32+AA32+AC32+AE32+AG32+AI32+AK32+AM32+AO32+AQ32+AS32</f>
        <v>#DIV/0!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 t="e">
        <f>P27*N30+P28*N29+P29*N28+P30*N27</f>
        <v>#DIV/0!</v>
      </c>
      <c r="S32" s="74" t="n">
        <v>7</v>
      </c>
      <c r="T32" s="135" t="e">
        <f>(($B$33)^S32)*((1-($B$33))^(INT($C$23*2*(1-$C$31))-S32))*HLOOKUP(INT($C$23*2*(1-$C$31)),$AV$24:$BF$34,S32+1)</f>
        <v>#DIV/0!</v>
      </c>
      <c r="U32" s="95" t="n">
        <v>7</v>
      </c>
      <c r="V32" s="88" t="e">
        <f>T32*R25+T31*R26+T30*R27+T29*R28+T28*R29+T27*R30+T26*R31+T25*R32</f>
        <v>#DIV/0!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 t="e">
        <f>((($W$25)^Q32)*((1-($W$25))^($U$32-Q32))*HLOOKUP($U$32,$AV$24:$BF$34,Q32+1))*V32</f>
        <v>#DIV/0!</v>
      </c>
      <c r="AN32" s="30" t="n">
        <v>7</v>
      </c>
      <c r="AO32" s="81" t="e">
        <f>((($W$25)^Q32)*((1-($W$25))^($U$33-Q32))*HLOOKUP($U$33,$AV$24:$BF$34,Q32+1))*V33</f>
        <v>#DIV/0!</v>
      </c>
      <c r="AP32" s="30" t="n">
        <v>7</v>
      </c>
      <c r="AQ32" s="81" t="e">
        <f>((($W$25)^Q32)*((1-($W$25))^($U$34-Q32))*HLOOKUP($U$34,$AV$24:$BF$34,Q32+1))*V34</f>
        <v>#DIV/0!</v>
      </c>
      <c r="AR32" s="30" t="n">
        <v>7</v>
      </c>
      <c r="AS32" s="81" t="e">
        <f>((($W$25)^Q32)*((1-($W$25))^($U$35-Q32))*HLOOKUP($U$35,$AV$24:$BF$34,Q32+1))*V35</f>
        <v>#DIV/0!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 t="e">
        <f>$H$28*H44</f>
        <v>#DIV/0!</v>
      </c>
      <c r="BP32">
        <f>BP25+1</f>
        <v>8</v>
      </c>
      <c r="BQ32" t="n">
        <v>1</v>
      </c>
      <c r="BR32" s="109" t="e">
        <f>$H$33*H40</f>
        <v>#DIV/0!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8</v>
      </c>
      <c r="H33" s="128" t="e">
        <f>J33*L25+J32*L26+J31*L27+J30*L28</f>
        <v>#DIV/0!</v>
      </c>
      <c r="I33" s="95" t="n">
        <v>8</v>
      </c>
      <c r="J33" s="88" t="e">
        <f>Y33+AA33+AC33+AE33+AG33+AI33+AK33+AM33+AO33+AQ33+AS33</f>
        <v>#DIV/0!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 t="e">
        <f>P28*N30+P29*N29+P30*N28</f>
        <v>#DIV/0!</v>
      </c>
      <c r="S33" s="74" t="n">
        <v>8</v>
      </c>
      <c r="T33" s="135" t="e">
        <f>(($B$33)^S33)*((1-($B$33))^(INT($C$23*2*(1-$C$31))-S33))*HLOOKUP(INT($C$23*2*(1-$C$31)),$AV$24:$BF$34,S33+1)</f>
        <v>#DIV/0!</v>
      </c>
      <c r="U33" s="95" t="n">
        <v>8</v>
      </c>
      <c r="V33" s="88" t="e">
        <f>T33*R25+T32*R26+T31*R27+T30*R28+T29*R29+T28*R30+T27*R31+T26*R32+T25*R33</f>
        <v>#DIV/0!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 t="e">
        <f>((($W$25)^Q33)*((1-($W$25))^($U$33-Q33))*HLOOKUP($U$33,$AV$24:$BF$34,Q33+1))*V33</f>
        <v>#DIV/0!</v>
      </c>
      <c r="AP33" s="30" t="n">
        <v>8</v>
      </c>
      <c r="AQ33" s="81" t="e">
        <f>((($W$25)^Q33)*((1-($W$25))^($U$34-Q33))*HLOOKUP($U$34,$AV$24:$BF$34,Q33+1))*V34</f>
        <v>#DIV/0!</v>
      </c>
      <c r="AR33" s="30" t="n">
        <v>8</v>
      </c>
      <c r="AS33" s="81" t="e">
        <f>((($W$25)^Q33)*((1-($W$25))^($U$35-Q33))*HLOOKUP($U$35,$AV$24:$BF$34,Q33+1))*V35</f>
        <v>#DIV/0!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 t="e">
        <f>$H$28*H45</f>
        <v>#DIV/0!</v>
      </c>
      <c r="BP33">
        <f>BP26+1</f>
        <v>8</v>
      </c>
      <c r="BQ33" t="n">
        <v>2</v>
      </c>
      <c r="BR33" s="109" t="e">
        <f>$H$33*H41</f>
        <v>#DIV/0!</v>
      </c>
    </row>
    <row r="34" spans="1:70">
      <c r="A34" s="42" t="s">
        <v>126</v>
      </c>
      <c r="B34" s="58" t="e">
        <f>B23*2</f>
        <v>#DIV/0!</v>
      </c>
      <c r="C34" s="59" t="e">
        <f>C23*2</f>
        <v>#DIV/0!</v>
      </c>
      <c r="G34" s="89" t="n">
        <v>9</v>
      </c>
      <c r="H34" s="128" t="e">
        <f>J34*L25+J33*L26+J32*L27+J31*L28</f>
        <v>#DIV/0!</v>
      </c>
      <c r="I34" s="95" t="n">
        <v>9</v>
      </c>
      <c r="J34" s="88" t="e">
        <f>Y34+AA34+AC34+AE34+AG34+AI34+AK34+AM34+AO34+AQ34+AS34</f>
        <v>#DIV/0!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 t="e">
        <f>P29*N30+P30*N29</f>
        <v>#DIV/0!</v>
      </c>
      <c r="S34" s="74" t="n">
        <v>9</v>
      </c>
      <c r="T34" s="135" t="e">
        <f>(($B$33)^S34)*((1-($B$33))^(INT($C$23*2*(1-$C$31))-S34))*HLOOKUP(INT($C$23*2*(1-$C$31)),$AV$24:$BF$34,S34+1)</f>
        <v>#DIV/0!</v>
      </c>
      <c r="U34" s="95" t="n">
        <v>9</v>
      </c>
      <c r="V34" s="88" t="e">
        <f>T34*R25+T33*R26+T32*R27+T31*R28+T30*R29+T29*R30+T28*R31+T27*R32+T26*R33+T25*R34</f>
        <v>#DIV/0!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 t="e">
        <f>((($W$25)^Q34)*((1-($W$25))^($U$34-Q34))*HLOOKUP($U$34,$AV$24:$BF$34,Q34+1))*V34</f>
        <v>#DIV/0!</v>
      </c>
      <c r="AR34" s="30" t="n">
        <v>9</v>
      </c>
      <c r="AS34" s="81" t="e">
        <f>((($W$25)^Q34)*((1-($W$25))^($U$35-Q34))*HLOOKUP($U$35,$AV$24:$BF$34,Q34+1))*V35</f>
        <v>#DIV/0!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 t="e">
        <f>$H$28*H46</f>
        <v>#DIV/0!</v>
      </c>
      <c r="BP34">
        <f>BP27+1</f>
        <v>8</v>
      </c>
      <c r="BQ34" t="n">
        <v>3</v>
      </c>
      <c r="BR34" s="109" t="e">
        <f>$H$33*H42</f>
        <v>#DIV/0!</v>
      </c>
    </row>
    <row r="35" spans="7:70">
      <c r="G35" s="90" t="n">
        <v>10</v>
      </c>
      <c r="H35" s="129" t="e">
        <f>J35*L25+J34*L26+J33*L27+J32*L28</f>
        <v>#DIV/0!</v>
      </c>
      <c r="I35" s="96" t="n">
        <v>10</v>
      </c>
      <c r="J35" s="91" t="e">
        <f>Y35+AA35+AC35+AE35+AG35+AI35+AK35+AM35+AO35+AQ35+AS35</f>
        <v>#DIV/0!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 t="e">
        <f>P30*N30</f>
        <v>#DIV/0!</v>
      </c>
      <c r="S35" s="74" t="n">
        <v>10</v>
      </c>
      <c r="T35" s="135" t="e">
        <f>(($B$33)^S35)*((1-($B$33))^(INT($C$23*2*(1-$C$31))-S35))*HLOOKUP(INT($C$23*2*(1-$C$31)),$AV$24:$BF$34,S35+1)</f>
        <v>#DIV/0!</v>
      </c>
      <c r="U35" s="96" t="n">
        <v>10</v>
      </c>
      <c r="V35" s="91" t="e">
        <f>IF(((T35*R25+T34*R26+T33*R27+T32*R28+T31*R29+T30*R30+T29*R31+T28*R32+T27*R33+T26*R34+T25*R35)+V23)&lt;&gt;1,1-V23,(T35*R25+T34*R26+T33*R27+T32*R28+T31*R29+T30*R30+T29*R31+T28*R32+T27*R33+T26*R34+T25*R35))</f>
        <v>#DIV/0!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 t="e">
        <f>((($W$25)^Q35)*((1-($W$25))^($U$35-Q35))*HLOOKUP($U$35,$AV$24:$BF$34,Q35+1))*V35</f>
        <v>#DIV/0!</v>
      </c>
      <c r="BH35">
        <f>BH28+1</f>
        <v>3</v>
      </c>
      <c r="BI35" t="n">
        <v>8</v>
      </c>
      <c r="BJ35" s="109" t="e">
        <f>$H$28*H47</f>
        <v>#DIV/0!</v>
      </c>
      <c r="BP35">
        <f>BP28+1</f>
        <v>8</v>
      </c>
      <c r="BQ35" t="n">
        <v>4</v>
      </c>
      <c r="BR35" s="109" t="e">
        <f>$H$33*H43</f>
        <v>#DIV/0!</v>
      </c>
    </row>
    <row r="36" spans="1:70">
      <c r="A36" s="3"/>
      <c r="B36" s="110" t="e">
        <f>SUM(B37:B39)</f>
        <v>#DIV/0!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 t="e">
        <f>SUM(V39:V49)</f>
        <v>#DIV/0!</v>
      </c>
      <c r="W36" s="15"/>
      <c r="X36" s="15"/>
      <c r="AS36" s="84" t="e">
        <f>Y37+AA37+AC37+AE37+AG37+AI37+AK37+AM37+AO37+AQ37+AS37</f>
        <v>#DIV/0!</v>
      </c>
      <c r="BH36">
        <f>BH29+1</f>
        <v>3</v>
      </c>
      <c r="BI36" t="n">
        <v>9</v>
      </c>
      <c r="BJ36" s="109" t="e">
        <f>$H$28*H48</f>
        <v>#DIV/0!</v>
      </c>
      <c r="BP36">
        <f>BP29+1</f>
        <v>8</v>
      </c>
      <c r="BQ36" t="n">
        <v>5</v>
      </c>
      <c r="BR36" s="109" t="e">
        <f>$H$33*H44</f>
        <v>#DIV/0!</v>
      </c>
    </row>
    <row r="37" spans="1:70">
      <c r="A37" s="111" t="s">
        <v>127</v>
      </c>
      <c r="B37" s="109" t="e">
        <f>SUM(BN4:BN14)</f>
        <v>#DIV/0!</v>
      </c>
      <c r="G37" s="15"/>
      <c r="H37" s="61" t="e">
        <f>SUM(H39:H49)</f>
        <v>#DIV/0!</v>
      </c>
      <c r="I37" s="15"/>
      <c r="J37" s="61" t="e">
        <f>SUM(J39:J49)</f>
        <v>#DIV/0!</v>
      </c>
      <c r="K37" s="61"/>
      <c r="L37" s="61" t="e">
        <f>SUM(L39:L49)</f>
        <v>#DIV/0!</v>
      </c>
      <c r="M37" s="15"/>
      <c r="N37" s="76" t="e">
        <f>SUM(N39:N49)</f>
        <v>#DIV/0!</v>
      </c>
      <c r="O37" s="15"/>
      <c r="P37" s="76" t="e">
        <f>SUM(P39:P49)</f>
        <v>#DIV/0!</v>
      </c>
      <c r="Q37" s="15"/>
      <c r="R37" s="61" t="e">
        <f>SUM(R39:R49)</f>
        <v>#DIV/0!</v>
      </c>
      <c r="S37" s="15"/>
      <c r="T37" s="61" t="e">
        <f>SUM(T39:T49)</f>
        <v>#DIV/0!</v>
      </c>
      <c r="U37" s="15"/>
      <c r="V37" s="61" t="e">
        <f>SUM(V39:V48)</f>
        <v>#DIV/0!</v>
      </c>
      <c r="W37" s="15"/>
      <c r="X37" s="15"/>
      <c r="Y37" s="82" t="e">
        <f>SUM(Y39:Y49)</f>
        <v>#DIV/0!</v>
      </c>
      <c r="Z37" s="83"/>
      <c r="AA37" s="82" t="e">
        <f>SUM(AA39:AA49)</f>
        <v>#DIV/0!</v>
      </c>
      <c r="AB37" s="83"/>
      <c r="AC37" s="82" t="e">
        <f>SUM(AC39:AC49)</f>
        <v>#DIV/0!</v>
      </c>
      <c r="AD37" s="83"/>
      <c r="AE37" s="82" t="e">
        <f>SUM(AE39:AE49)</f>
        <v>#DIV/0!</v>
      </c>
      <c r="AF37" s="83"/>
      <c r="AG37" s="82" t="e">
        <f>SUM(AG39:AG49)</f>
        <v>#DIV/0!</v>
      </c>
      <c r="AH37" s="83"/>
      <c r="AI37" s="82" t="e">
        <f>SUM(AI39:AI49)</f>
        <v>#DIV/0!</v>
      </c>
      <c r="AJ37" s="83"/>
      <c r="AK37" s="82" t="e">
        <f>SUM(AK39:AK49)</f>
        <v>#DIV/0!</v>
      </c>
      <c r="AL37" s="83"/>
      <c r="AM37" s="82" t="e">
        <f>SUM(AM39:AM49)</f>
        <v>#DIV/0!</v>
      </c>
      <c r="AN37" s="83"/>
      <c r="AO37" s="82" t="e">
        <f>SUM(AO39:AO49)</f>
        <v>#DIV/0!</v>
      </c>
      <c r="AP37" s="83"/>
      <c r="AQ37" s="82" t="e">
        <f>SUM(AQ39:AQ49)</f>
        <v>#DIV/0!</v>
      </c>
      <c r="AR37" s="83"/>
      <c r="AS37" s="82" t="e">
        <f>SUM(AS39:AS49)</f>
        <v>#DIV/0!</v>
      </c>
      <c r="BH37">
        <f>BH30+1</f>
        <v>3</v>
      </c>
      <c r="BI37" t="n">
        <v>10</v>
      </c>
      <c r="BJ37" s="109" t="e">
        <f>$H$28*H49</f>
        <v>#DIV/0!</v>
      </c>
      <c r="BP37">
        <f>BP30+1</f>
        <v>8</v>
      </c>
      <c r="BQ37" t="n">
        <v>6</v>
      </c>
      <c r="BR37" s="109" t="e">
        <f>$H$33*H45</f>
        <v>#DIV/0!</v>
      </c>
    </row>
    <row r="38" spans="1:70">
      <c r="A38" s="112" t="s">
        <v>128</v>
      </c>
      <c r="B38" s="109" t="e">
        <f>SUM(BJ4:BJ59)</f>
        <v>#DIV/0!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 t="e">
        <f>$H$29*H44</f>
        <v>#DIV/0!</v>
      </c>
      <c r="BP38">
        <f>BL11+1</f>
        <v>8</v>
      </c>
      <c r="BQ38" t="n">
        <v>7</v>
      </c>
      <c r="BR38" s="109" t="e">
        <f>$H$33*H46</f>
        <v>#DIV/0!</v>
      </c>
    </row>
    <row r="39" spans="1:70">
      <c r="A39" s="113" t="s">
        <v>129</v>
      </c>
      <c r="B39" s="109" t="e">
        <f>SUM(BR4:BR47)</f>
        <v>#DIV/0!</v>
      </c>
      <c r="G39" s="130" t="n">
        <v>0</v>
      </c>
      <c r="H39" s="131" t="e">
        <f>L39*J39</f>
        <v>#DIV/0!</v>
      </c>
      <c r="I39" s="99" t="n">
        <v>0</v>
      </c>
      <c r="J39" s="100" t="e">
        <f>Y39+AA39+AC39+AE39+AG39+AI39+AK39+AM39+AO39+AQ39+AS39</f>
        <v>#DIV/0!</v>
      </c>
      <c r="K39" s="104" t="n">
        <v>0</v>
      </c>
      <c r="L39" s="100" t="e">
        <f>AC20</f>
        <v>#DIV/0!</v>
      </c>
      <c r="M39" s="86" t="n">
        <v>0</v>
      </c>
      <c r="N39" s="73" t="e">
        <f>(1-$C$24)^$B$21</f>
        <v>#DIV/0!</v>
      </c>
      <c r="O39" s="72" t="n">
        <v>0</v>
      </c>
      <c r="P39" s="73" t="e">
        <f>N39</f>
        <v>#DIV/0!</v>
      </c>
      <c r="Q39" s="14" t="n">
        <v>0</v>
      </c>
      <c r="R39" s="75" t="e">
        <f>P39*N39</f>
        <v>#DIV/0!</v>
      </c>
      <c r="S39" s="72" t="n">
        <v>0</v>
      </c>
      <c r="T39" s="135" t="e">
        <f>(1-$C$33)^(INT(B23*2*(1-B31)))</f>
        <v>#DIV/0!</v>
      </c>
      <c r="U39" s="140" t="n">
        <v>0</v>
      </c>
      <c r="V39" s="88" t="e">
        <f>R39*T39</f>
        <v>#DIV/0!</v>
      </c>
      <c r="W39" s="136" t="e">
        <f>C31</f>
        <v>#DIV/0!</v>
      </c>
      <c r="X39" s="14" t="n">
        <v>0</v>
      </c>
      <c r="Y39" s="81" t="e">
        <f>V39</f>
        <v>#DIV/0!</v>
      </c>
      <c r="Z39" s="14" t="n">
        <v>0</v>
      </c>
      <c r="AA39" s="80" t="e">
        <f>((1-W39)^Z40)*V40</f>
        <v>#DIV/0!</v>
      </c>
      <c r="AB39" s="14" t="n">
        <v>0</v>
      </c>
      <c r="AC39" s="81" t="e">
        <f>(((1-$W$39)^AB41))*V41</f>
        <v>#DIV/0!</v>
      </c>
      <c r="AD39" s="14" t="n">
        <v>0</v>
      </c>
      <c r="AE39" s="81" t="e">
        <f>(((1-$W$39)^AB42))*V42</f>
        <v>#DIV/0!</v>
      </c>
      <c r="AF39" s="14" t="n">
        <v>0</v>
      </c>
      <c r="AG39" s="81" t="e">
        <f>(((1-$W$39)^AB43))*V43</f>
        <v>#DIV/0!</v>
      </c>
      <c r="AH39" s="14" t="n">
        <v>0</v>
      </c>
      <c r="AI39" s="81" t="e">
        <f>(((1-$W$39)^AB44))*V44</f>
        <v>#DIV/0!</v>
      </c>
      <c r="AJ39" s="14" t="n">
        <v>0</v>
      </c>
      <c r="AK39" s="81" t="e">
        <f>(((1-$W$39)^AB45))*V45</f>
        <v>#DIV/0!</v>
      </c>
      <c r="AL39" s="14" t="n">
        <v>0</v>
      </c>
      <c r="AM39" s="81" t="e">
        <f>(((1-$W$39)^AB46))*V46</f>
        <v>#DIV/0!</v>
      </c>
      <c r="AN39" s="14" t="n">
        <v>0</v>
      </c>
      <c r="AO39" s="81" t="e">
        <f>(((1-$W$39)^AB47))*V47</f>
        <v>#DIV/0!</v>
      </c>
      <c r="AP39" s="14" t="n">
        <v>0</v>
      </c>
      <c r="AQ39" s="81" t="e">
        <f>(((1-$W$39)^AB48))*V48</f>
        <v>#DIV/0!</v>
      </c>
      <c r="AR39" s="14" t="n">
        <v>0</v>
      </c>
      <c r="AS39" s="81" t="e">
        <f>(((1-$W$39)^AB49))*V49</f>
        <v>#DIV/0!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 t="e">
        <f>$H$29*H45</f>
        <v>#DIV/0!</v>
      </c>
      <c r="BP39">
        <f>BP31+1</f>
        <v>9</v>
      </c>
      <c r="BQ39" t="n">
        <v>0</v>
      </c>
      <c r="BR39" s="109" t="e">
        <f>$H$34*H39</f>
        <v>#DIV/0!</v>
      </c>
    </row>
    <row r="40" spans="7:70">
      <c r="G40" s="93" t="n">
        <v>1</v>
      </c>
      <c r="H40" s="132" t="e">
        <f>L39*J40+L40*J39</f>
        <v>#DIV/0!</v>
      </c>
      <c r="I40" s="95" t="n">
        <v>1</v>
      </c>
      <c r="J40" s="88" t="e">
        <f>Y40+AA40+AC40+AE40+AG40+AI40+AK40+AM40+AO40+AQ40+AS40</f>
        <v>#DIV/0!</v>
      </c>
      <c r="K40" s="97" t="n">
        <v>1</v>
      </c>
      <c r="L40" s="88" t="e">
        <f>AD20</f>
        <v>#DIV/0!</v>
      </c>
      <c r="M40" s="87" t="n">
        <v>1</v>
      </c>
      <c r="N40" s="73" t="e">
        <f>(($C$24)^M26)*((1-($C$24))^($B$21-M26))*HLOOKUP($B$21,$AV$24:$BF$34,M26+1)</f>
        <v>#DIV/0!</v>
      </c>
      <c r="O40" s="74" t="n">
        <v>1</v>
      </c>
      <c r="P40" s="73" t="e">
        <f>N40</f>
        <v>#DIV/0!</v>
      </c>
      <c r="Q40" s="30" t="n">
        <v>1</v>
      </c>
      <c r="R40" s="39" t="e">
        <f>P40*N39+P39*N40</f>
        <v>#DIV/0!</v>
      </c>
      <c r="S40" s="74" t="n">
        <v>1</v>
      </c>
      <c r="T40" s="135" t="e">
        <f>(($C$33)^S40)*((1-($C$33))^(INT($B$23*2*(1-$B$31))-S40))*HLOOKUP(INT($B$23*2*(1-$B$31)),$AV$24:$BF$34,S40+1)</f>
        <v>#DIV/0!</v>
      </c>
      <c r="U40" s="95" t="n">
        <v>1</v>
      </c>
      <c r="V40" s="88" t="e">
        <f>R40*T39+T40*R39</f>
        <v>#DIV/0!</v>
      </c>
      <c r="W40" s="137"/>
      <c r="X40" s="30" t="n">
        <v>1</v>
      </c>
      <c r="Y40" s="75"/>
      <c r="Z40" s="30" t="n">
        <v>1</v>
      </c>
      <c r="AA40" s="81" t="e">
        <f>(1-((1-W39)^Z40))*V40</f>
        <v>#DIV/0!</v>
      </c>
      <c r="AB40" s="30" t="n">
        <v>1</v>
      </c>
      <c r="AC40" s="81" t="e">
        <f>((($W$39)^M40)*((1-($W$39))^($U$27-M40))*HLOOKUP($U$27,$AV$24:$BF$34,M40+1))*V41</f>
        <v>#DIV/0!</v>
      </c>
      <c r="AD40" s="30" t="n">
        <v>1</v>
      </c>
      <c r="AE40" s="81" t="e">
        <f>((($W$39)^M40)*((1-($W$39))^($U$28-M40))*HLOOKUP($U$28,$AV$24:$BF$34,M40+1))*V42</f>
        <v>#DIV/0!</v>
      </c>
      <c r="AF40" s="30" t="n">
        <v>1</v>
      </c>
      <c r="AG40" s="81" t="e">
        <f>((($W$39)^M40)*((1-($W$39))^($U$29-M40))*HLOOKUP($U$29,$AV$24:$BF$34,M40+1))*V43</f>
        <v>#DIV/0!</v>
      </c>
      <c r="AH40" s="30" t="n">
        <v>1</v>
      </c>
      <c r="AI40" s="81" t="e">
        <f>((($W$39)^M40)*((1-($W$39))^($U$30-M40))*HLOOKUP($U$30,$AV$24:$BF$34,M40+1))*V44</f>
        <v>#DIV/0!</v>
      </c>
      <c r="AJ40" s="30" t="n">
        <v>1</v>
      </c>
      <c r="AK40" s="81" t="e">
        <f>((($W$39)^M40)*((1-($W$39))^($U$31-M40))*HLOOKUP($U$31,$AV$24:$BF$34,M40+1))*V45</f>
        <v>#DIV/0!</v>
      </c>
      <c r="AL40" s="30" t="n">
        <v>1</v>
      </c>
      <c r="AM40" s="81" t="e">
        <f>((($W$39)^Q40)*((1-($W$39))^($U$32-Q40))*HLOOKUP($U$32,$AV$24:$BF$34,Q40+1))*V46</f>
        <v>#DIV/0!</v>
      </c>
      <c r="AN40" s="30" t="n">
        <v>1</v>
      </c>
      <c r="AO40" s="81" t="e">
        <f>((($W$39)^Q40)*((1-($W$39))^($U$33-Q40))*HLOOKUP($U$33,$AV$24:$BF$34,Q40+1))*V47</f>
        <v>#DIV/0!</v>
      </c>
      <c r="AP40" s="30" t="n">
        <v>1</v>
      </c>
      <c r="AQ40" s="81" t="e">
        <f>((($W$39)^Q40)*((1-($W$39))^($U$34-Q40))*HLOOKUP($U$34,$AV$24:$BF$34,Q40+1))*V48</f>
        <v>#DIV/0!</v>
      </c>
      <c r="AR40" s="30" t="n">
        <v>1</v>
      </c>
      <c r="AS40" s="81" t="e">
        <f>((($W$39)^Q40)*((1-($W$39))^($U$35-Q40))*HLOOKUP($U$35,$AV$24:$BF$34,Q40+1))*V49</f>
        <v>#DIV/0!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 t="e">
        <f>$H$29*H46</f>
        <v>#DIV/0!</v>
      </c>
      <c r="BP40">
        <f>BP32+1</f>
        <v>9</v>
      </c>
      <c r="BQ40" t="n">
        <v>1</v>
      </c>
      <c r="BR40" s="109" t="e">
        <f>$H$34*H40</f>
        <v>#DIV/0!</v>
      </c>
    </row>
    <row r="41" spans="7:70">
      <c r="G41" s="93" t="n">
        <v>2</v>
      </c>
      <c r="H41" s="132" t="e">
        <f>L39*J41+J40*L40+J39*L41</f>
        <v>#DIV/0!</v>
      </c>
      <c r="I41" s="95" t="n">
        <v>2</v>
      </c>
      <c r="J41" s="88" t="e">
        <f>Y41+AA41+AC41+AE41+AG41+AI41+AK41+AM41+AO41+AQ41+AS41</f>
        <v>#DIV/0!</v>
      </c>
      <c r="K41" s="97" t="n">
        <v>2</v>
      </c>
      <c r="L41" s="88" t="e">
        <f>AE20</f>
        <v>#DIV/0!</v>
      </c>
      <c r="M41" s="87" t="n">
        <v>2</v>
      </c>
      <c r="N41" s="73" t="e">
        <f>(($C$24)^M27)*((1-($C$24))^($B$21-M27))*HLOOKUP($B$21,$AV$24:$BF$34,M27+1)</f>
        <v>#DIV/0!</v>
      </c>
      <c r="O41" s="74" t="n">
        <v>2</v>
      </c>
      <c r="P41" s="73" t="e">
        <f>N41</f>
        <v>#DIV/0!</v>
      </c>
      <c r="Q41" s="30" t="n">
        <v>2</v>
      </c>
      <c r="R41" s="39" t="e">
        <f>P41*N39+P40*N40+P39*N41</f>
        <v>#DIV/0!</v>
      </c>
      <c r="S41" s="74" t="n">
        <v>2</v>
      </c>
      <c r="T41" s="135" t="e">
        <f>(($C$33)^S41)*((1-($C$33))^(INT($B$23*2*(1-$B$31))-S41))*HLOOKUP(INT($B$23*2*(1-$B$31)),$AV$24:$BF$34,S41+1)</f>
        <v>#DIV/0!</v>
      </c>
      <c r="U41" s="95" t="n">
        <v>2</v>
      </c>
      <c r="V41" s="88" t="e">
        <f>R41*T39+T40*R40+R39*T41</f>
        <v>#DIV/0!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 t="e">
        <f>((($W$39)^M41)*((1-($W$39))^($U$27-M41))*HLOOKUP($U$27,$AV$24:$BF$34,M41+1))*V41</f>
        <v>#DIV/0!</v>
      </c>
      <c r="AD41" s="30" t="n">
        <v>2</v>
      </c>
      <c r="AE41" s="81" t="e">
        <f>((($W$39)^M41)*((1-($W$39))^($U$28-M41))*HLOOKUP($U$28,$AV$24:$BF$34,M41+1))*V42</f>
        <v>#DIV/0!</v>
      </c>
      <c r="AF41" s="30" t="n">
        <v>2</v>
      </c>
      <c r="AG41" s="81" t="e">
        <f>((($W$39)^M41)*((1-($W$39))^($U$29-M41))*HLOOKUP($U$29,$AV$24:$BF$34,M41+1))*V43</f>
        <v>#DIV/0!</v>
      </c>
      <c r="AH41" s="30" t="n">
        <v>2</v>
      </c>
      <c r="AI41" s="81" t="e">
        <f>((($W$39)^M41)*((1-($W$39))^($U$30-M41))*HLOOKUP($U$30,$AV$24:$BF$34,M41+1))*V44</f>
        <v>#DIV/0!</v>
      </c>
      <c r="AJ41" s="30" t="n">
        <v>2</v>
      </c>
      <c r="AK41" s="81" t="e">
        <f>((($W$39)^M41)*((1-($W$39))^($U$31-M41))*HLOOKUP($U$31,$AV$24:$BF$34,M41+1))*V45</f>
        <v>#DIV/0!</v>
      </c>
      <c r="AL41" s="30" t="n">
        <v>2</v>
      </c>
      <c r="AM41" s="81" t="e">
        <f>((($W$39)^Q41)*((1-($W$39))^($U$32-Q41))*HLOOKUP($U$32,$AV$24:$BF$34,Q41+1))*V46</f>
        <v>#DIV/0!</v>
      </c>
      <c r="AN41" s="30" t="n">
        <v>2</v>
      </c>
      <c r="AO41" s="81" t="e">
        <f>((($W$39)^Q41)*((1-($W$39))^($U$33-Q41))*HLOOKUP($U$33,$AV$24:$BF$34,Q41+1))*V47</f>
        <v>#DIV/0!</v>
      </c>
      <c r="AP41" s="30" t="n">
        <v>2</v>
      </c>
      <c r="AQ41" s="81" t="e">
        <f>((($W$39)^Q41)*((1-($W$39))^($U$34-Q41))*HLOOKUP($U$34,$AV$24:$BF$34,Q41+1))*V48</f>
        <v>#DIV/0!</v>
      </c>
      <c r="AR41" s="30" t="n">
        <v>2</v>
      </c>
      <c r="AS41" s="81" t="e">
        <f>((($W$39)^Q41)*((1-($W$39))^($U$35-Q41))*HLOOKUP($U$35,$AV$24:$BF$34,Q41+1))*V49</f>
        <v>#DIV/0!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 t="e">
        <f>$H$29*H47</f>
        <v>#DIV/0!</v>
      </c>
      <c r="BP41">
        <f>BP33+1</f>
        <v>9</v>
      </c>
      <c r="BQ41" t="n">
        <v>2</v>
      </c>
      <c r="BR41" s="109" t="e">
        <f>$H$34*H41</f>
        <v>#DIV/0!</v>
      </c>
    </row>
    <row r="42" spans="7:70" ht="15" customHeight="1">
      <c r="G42" s="93" t="n">
        <v>3</v>
      </c>
      <c r="H42" s="132" t="e">
        <f>J42*L39+J41*L40+L42*J39+L41*J40</f>
        <v>#DIV/0!</v>
      </c>
      <c r="I42" s="95" t="n">
        <v>3</v>
      </c>
      <c r="J42" s="88" t="e">
        <f>Y42+AA42+AC42+AE42+AG42+AI42+AK42+AM42+AO42+AQ42+AS42</f>
        <v>#DIV/0!</v>
      </c>
      <c r="K42" s="97" t="n">
        <v>3</v>
      </c>
      <c r="L42" s="88" t="e">
        <f>AF20</f>
        <v>#DIV/0!</v>
      </c>
      <c r="M42" s="87" t="n">
        <v>3</v>
      </c>
      <c r="N42" s="73" t="e">
        <f>(($C$24)^M28)*((1-($C$24))^($B$21-M28))*HLOOKUP($B$21,$AV$24:$BF$34,M28+1)</f>
        <v>#DIV/0!</v>
      </c>
      <c r="O42" s="74" t="n">
        <v>3</v>
      </c>
      <c r="P42" s="73" t="e">
        <f>N42</f>
        <v>#DIV/0!</v>
      </c>
      <c r="Q42" s="30" t="n">
        <v>3</v>
      </c>
      <c r="R42" s="39" t="e">
        <f>P42*N39+P41*N40+P40*N41+P39*N42</f>
        <v>#DIV/0!</v>
      </c>
      <c r="S42" s="74" t="n">
        <v>3</v>
      </c>
      <c r="T42" s="135" t="e">
        <f>(($C$33)^S42)*((1-($C$33))^(INT($B$23*2*(1-$B$31))-S42))*HLOOKUP(INT($B$23*2*(1-$B$31)),$AV$24:$BF$34,S42+1)</f>
        <v>#DIV/0!</v>
      </c>
      <c r="U42" s="95" t="n">
        <v>3</v>
      </c>
      <c r="V42" s="88" t="e">
        <f>R42*T39+R41*T40+R40*T41+R39*T42</f>
        <v>#DIV/0!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 t="e">
        <f>((($W$39)^M42)*((1-($W$39))^($U$28-M42))*HLOOKUP($U$28,$AV$24:$BF$34,M42+1))*V42</f>
        <v>#DIV/0!</v>
      </c>
      <c r="AF42" s="30" t="n">
        <v>3</v>
      </c>
      <c r="AG42" s="81" t="e">
        <f>((($W$39)^M42)*((1-($W$39))^($U$29-M42))*HLOOKUP($U$29,$AV$24:$BF$34,M42+1))*V43</f>
        <v>#DIV/0!</v>
      </c>
      <c r="AH42" s="30" t="n">
        <v>3</v>
      </c>
      <c r="AI42" s="81" t="e">
        <f>((($W$39)^M42)*((1-($W$39))^($U$30-M42))*HLOOKUP($U$30,$AV$24:$BF$34,M42+1))*V44</f>
        <v>#DIV/0!</v>
      </c>
      <c r="AJ42" s="30" t="n">
        <v>3</v>
      </c>
      <c r="AK42" s="81" t="e">
        <f>((($W$39)^M42)*((1-($W$39))^($U$31-M42))*HLOOKUP($U$31,$AV$24:$BF$34,M42+1))*V45</f>
        <v>#DIV/0!</v>
      </c>
      <c r="AL42" s="30" t="n">
        <v>3</v>
      </c>
      <c r="AM42" s="81" t="e">
        <f>((($W$39)^Q42)*((1-($W$39))^($U$32-Q42))*HLOOKUP($U$32,$AV$24:$BF$34,Q42+1))*V46</f>
        <v>#DIV/0!</v>
      </c>
      <c r="AN42" s="30" t="n">
        <v>3</v>
      </c>
      <c r="AO42" s="81" t="e">
        <f>((($W$39)^Q42)*((1-($W$39))^($U$33-Q42))*HLOOKUP($U$33,$AV$24:$BF$34,Q42+1))*V47</f>
        <v>#DIV/0!</v>
      </c>
      <c r="AP42" s="30" t="n">
        <v>3</v>
      </c>
      <c r="AQ42" s="81" t="e">
        <f>((($W$39)^Q42)*((1-($W$39))^($U$34-Q42))*HLOOKUP($U$34,$AV$24:$BF$34,Q42+1))*V48</f>
        <v>#DIV/0!</v>
      </c>
      <c r="AR42" s="30" t="n">
        <v>3</v>
      </c>
      <c r="AS42" s="81" t="e">
        <f>((($W$39)^Q42)*((1-($W$39))^($U$35-Q42))*HLOOKUP($U$35,$AV$24:$BF$34,Q42+1))*V49</f>
        <v>#DIV/0!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 t="e">
        <f>$H$29*H48</f>
        <v>#DIV/0!</v>
      </c>
      <c r="BP42">
        <f>BP34+1</f>
        <v>9</v>
      </c>
      <c r="BQ42" t="n">
        <v>3</v>
      </c>
      <c r="BR42" s="109" t="e">
        <f>$H$34*H42</f>
        <v>#DIV/0!</v>
      </c>
    </row>
    <row r="43" spans="7:70" ht="15" customHeight="1">
      <c r="G43" s="93" t="n">
        <v>4</v>
      </c>
      <c r="H43" s="132" t="e">
        <f>J43*L39+J42*L40+J41*L41+J40*L42</f>
        <v>#DIV/0!</v>
      </c>
      <c r="I43" s="95" t="n">
        <v>4</v>
      </c>
      <c r="J43" s="88" t="e">
        <f>Y43+AA43+AC43+AE43+AG43+AI43+AK43+AM43+AO43+AQ43+AS43</f>
        <v>#DIV/0!</v>
      </c>
      <c r="K43" s="97" t="n">
        <v>4</v>
      </c>
      <c r="L43" s="88"/>
      <c r="M43" s="87" t="n">
        <v>4</v>
      </c>
      <c r="N43" s="73" t="e">
        <f>(($C$24)^M29)*((1-($C$24))^($B$21-M29))*HLOOKUP($B$21,$AV$24:$BF$34,M29+1)</f>
        <v>#DIV/0!</v>
      </c>
      <c r="O43" s="74" t="n">
        <v>4</v>
      </c>
      <c r="P43" s="73" t="e">
        <f>N43</f>
        <v>#DIV/0!</v>
      </c>
      <c r="Q43" s="30" t="n">
        <v>4</v>
      </c>
      <c r="R43" s="39" t="e">
        <f>P43*N39+P42*N40+P41*N41+P40*N42+P39*N43</f>
        <v>#DIV/0!</v>
      </c>
      <c r="S43" s="74" t="n">
        <v>4</v>
      </c>
      <c r="T43" s="135" t="e">
        <f>(($C$33)^S43)*((1-($C$33))^(INT($B$23*2*(1-$B$31))-S43))*HLOOKUP(INT($B$23*2*(1-$B$31)),$AV$24:$BF$34,S43+1)</f>
        <v>#DIV/0!</v>
      </c>
      <c r="U43" s="95" t="n">
        <v>4</v>
      </c>
      <c r="V43" s="88" t="e">
        <f>T43*R39+T42*R40+T41*R41+T40*R42+T39*R43</f>
        <v>#DIV/0!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 t="e">
        <f>((($W$39)^M43)*((1-($W$39))^($U$29-M43))*HLOOKUP($U$29,$AV$24:$BF$34,M43+1))*V43</f>
        <v>#DIV/0!</v>
      </c>
      <c r="AH43" s="30" t="n">
        <v>4</v>
      </c>
      <c r="AI43" s="81" t="e">
        <f>((($W$39)^M43)*((1-($W$39))^($U$30-M43))*HLOOKUP($U$30,$AV$24:$BF$34,M43+1))*V44</f>
        <v>#DIV/0!</v>
      </c>
      <c r="AJ43" s="30" t="n">
        <v>4</v>
      </c>
      <c r="AK43" s="81" t="e">
        <f>((($W$39)^M43)*((1-($W$39))^($U$31-M43))*HLOOKUP($U$31,$AV$24:$BF$34,M43+1))*V45</f>
        <v>#DIV/0!</v>
      </c>
      <c r="AL43" s="30" t="n">
        <v>4</v>
      </c>
      <c r="AM43" s="81" t="e">
        <f>((($W$39)^Q43)*((1-($W$39))^($U$32-Q43))*HLOOKUP($U$32,$AV$24:$BF$34,Q43+1))*V46</f>
        <v>#DIV/0!</v>
      </c>
      <c r="AN43" s="30" t="n">
        <v>4</v>
      </c>
      <c r="AO43" s="81" t="e">
        <f>((($W$39)^Q43)*((1-($W$39))^($U$33-Q43))*HLOOKUP($U$33,$AV$24:$BF$34,Q43+1))*V47</f>
        <v>#DIV/0!</v>
      </c>
      <c r="AP43" s="30" t="n">
        <v>4</v>
      </c>
      <c r="AQ43" s="81" t="e">
        <f>((($W$39)^Q43)*((1-($W$39))^($U$34-Q43))*HLOOKUP($U$34,$AV$24:$BF$34,Q43+1))*V48</f>
        <v>#DIV/0!</v>
      </c>
      <c r="AR43" s="30" t="n">
        <v>4</v>
      </c>
      <c r="AS43" s="81" t="e">
        <f>((($W$39)^Q43)*((1-($W$39))^($U$35-Q43))*HLOOKUP($U$35,$AV$24:$BF$34,Q43+1))*V49</f>
        <v>#DIV/0!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 t="e">
        <f>$H$29*H49</f>
        <v>#DIV/0!</v>
      </c>
      <c r="BP43">
        <f>BP35+1</f>
        <v>9</v>
      </c>
      <c r="BQ43" t="n">
        <v>4</v>
      </c>
      <c r="BR43" s="109" t="e">
        <f>$H$34*H43</f>
        <v>#DIV/0!</v>
      </c>
    </row>
    <row r="44" spans="7:70" ht="15" customHeight="1">
      <c r="G44" s="93" t="n">
        <v>5</v>
      </c>
      <c r="H44" s="132" t="e">
        <f>J44*L39+J43*L40+J42*L41+J41*L42</f>
        <v>#DIV/0!</v>
      </c>
      <c r="I44" s="95" t="n">
        <v>5</v>
      </c>
      <c r="J44" s="88" t="e">
        <f>Y44+AA44+AC44+AE44+AG44+AI44+AK44+AM44+AO44+AQ44+AS44</f>
        <v>#DIV/0!</v>
      </c>
      <c r="K44" s="97" t="n">
        <v>5</v>
      </c>
      <c r="L44" s="88"/>
      <c r="M44" s="87" t="n">
        <v>5</v>
      </c>
      <c r="N44" s="73" t="e">
        <f>(($C$24)^M30)*((1-($C$24))^($B$21-M30))*HLOOKUP($B$21,$AV$24:$BF$34,M30+1)</f>
        <v>#DIV/0!</v>
      </c>
      <c r="O44" s="74" t="n">
        <v>5</v>
      </c>
      <c r="P44" s="73" t="e">
        <f>N44</f>
        <v>#DIV/0!</v>
      </c>
      <c r="Q44" s="30" t="n">
        <v>5</v>
      </c>
      <c r="R44" s="39" t="e">
        <f>P44*N39+P43*N40+P42*N41+P41*N42+P40*N43+P39*N44</f>
        <v>#DIV/0!</v>
      </c>
      <c r="S44" s="74" t="n">
        <v>5</v>
      </c>
      <c r="T44" s="135" t="e">
        <f>(($C$33)^S44)*((1-($C$33))^(INT($B$23*2*(1-$B$31))-S44))*HLOOKUP(INT($B$23*2*(1-$B$31)),$AV$24:$BF$34,S44+1)</f>
        <v>#DIV/0!</v>
      </c>
      <c r="U44" s="95" t="n">
        <v>5</v>
      </c>
      <c r="V44" s="88" t="e">
        <f>T44*R39+T43*R40+T42*R41+T41*R42+T40*R43+T39*R44</f>
        <v>#DIV/0!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 t="e">
        <f>((($W$39)^M44)*((1-($W$39))^($U$30-M44))*HLOOKUP($U$30,$AV$24:$BF$34,M44+1))*V44</f>
        <v>#DIV/0!</v>
      </c>
      <c r="AJ44" s="30" t="n">
        <v>5</v>
      </c>
      <c r="AK44" s="81" t="e">
        <f>((($W$39)^M44)*((1-($W$39))^($U$31-M44))*HLOOKUP($U$31,$AV$24:$BF$34,M44+1))*V45</f>
        <v>#DIV/0!</v>
      </c>
      <c r="AL44" s="30" t="n">
        <v>5</v>
      </c>
      <c r="AM44" s="81" t="e">
        <f>((($W$39)^Q44)*((1-($W$39))^($U$32-Q44))*HLOOKUP($U$32,$AV$24:$BF$34,Q44+1))*V46</f>
        <v>#DIV/0!</v>
      </c>
      <c r="AN44" s="30" t="n">
        <v>5</v>
      </c>
      <c r="AO44" s="81" t="e">
        <f>((($W$39)^Q44)*((1-($W$39))^($U$33-Q44))*HLOOKUP($U$33,$AV$24:$BF$34,Q44+1))*V47</f>
        <v>#DIV/0!</v>
      </c>
      <c r="AP44" s="30" t="n">
        <v>5</v>
      </c>
      <c r="AQ44" s="81" t="e">
        <f>((($W$39)^Q44)*((1-($W$39))^($U$34-Q44))*HLOOKUP($U$34,$AV$24:$BF$34,Q44+1))*V48</f>
        <v>#DIV/0!</v>
      </c>
      <c r="AR44" s="30" t="n">
        <v>5</v>
      </c>
      <c r="AS44" s="81" t="e">
        <f>((($W$39)^Q44)*((1-($W$39))^($U$35-Q44))*HLOOKUP($U$35,$AV$24:$BF$34,Q44+1))*V49</f>
        <v>#DIV/0!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 t="e">
        <f>$H$30*H45</f>
        <v>#DIV/0!</v>
      </c>
      <c r="BP44">
        <f>BP36+1</f>
        <v>9</v>
      </c>
      <c r="BQ44" t="n">
        <v>5</v>
      </c>
      <c r="BR44" s="109" t="e">
        <f>$H$34*H44</f>
        <v>#DIV/0!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 t="e">
        <f>J45*L39+J44*L40+J43*L41+J42*L42</f>
        <v>#DIV/0!</v>
      </c>
      <c r="I45" s="95" t="n">
        <v>6</v>
      </c>
      <c r="J45" s="88" t="e">
        <f>Y45+AA45+AC45+AE45+AG45+AI45+AK45+AM45+AO45+AQ45+AS45</f>
        <v>#DIV/0!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 t="e">
        <f>P44*N40+P43*N41+P42*N42+P41*N43+P40*N44</f>
        <v>#DIV/0!</v>
      </c>
      <c r="S45" s="72" t="n">
        <v>6</v>
      </c>
      <c r="T45" s="135" t="e">
        <f>(($C$33)^S45)*((1-($C$33))^(INT($B$23*2*(1-$B$31))-S45))*HLOOKUP(INT($B$23*2*(1-$B$31)),$AV$24:$BF$34,S45+1)</f>
        <v>#DIV/0!</v>
      </c>
      <c r="U45" s="95" t="n">
        <v>6</v>
      </c>
      <c r="V45" s="88" t="e">
        <f>T45*R39+T44*R40+T43*R41+T42*R42+T41*R43+T40*R44+T39*R45</f>
        <v>#DIV/0!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 t="e">
        <f>((($W$39)^Q45)*((1-($W$39))^($U$31-Q45))*HLOOKUP($U$31,$AV$24:$BF$34,Q45+1))*V45</f>
        <v>#DIV/0!</v>
      </c>
      <c r="AL45" s="30" t="n">
        <v>6</v>
      </c>
      <c r="AM45" s="81" t="e">
        <f>((($W$39)^Q45)*((1-($W$39))^($U$32-Q45))*HLOOKUP($U$32,$AV$24:$BF$34,Q45+1))*V46</f>
        <v>#DIV/0!</v>
      </c>
      <c r="AN45" s="30" t="n">
        <v>6</v>
      </c>
      <c r="AO45" s="81" t="e">
        <f>((($W$39)^Q45)*((1-($W$39))^($U$33-Q45))*HLOOKUP($U$33,$AV$24:$BF$34,Q45+1))*V47</f>
        <v>#DIV/0!</v>
      </c>
      <c r="AP45" s="30" t="n">
        <v>6</v>
      </c>
      <c r="AQ45" s="81" t="e">
        <f>((($W$39)^Q45)*((1-($W$39))^($U$34-Q45))*HLOOKUP($U$34,$AV$24:$BF$34,Q45+1))*V48</f>
        <v>#DIV/0!</v>
      </c>
      <c r="AR45" s="30" t="n">
        <v>6</v>
      </c>
      <c r="AS45" s="81" t="e">
        <f>((($W$39)^Q45)*((1-($W$39))^($U$35-Q45))*HLOOKUP($U$35,$AV$24:$BF$34,Q45+1))*V49</f>
        <v>#DIV/0!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 t="e">
        <f>$H$30*H46</f>
        <v>#DIV/0!</v>
      </c>
      <c r="BP45">
        <f>BP37+1</f>
        <v>9</v>
      </c>
      <c r="BQ45" t="n">
        <v>6</v>
      </c>
      <c r="BR45" s="109" t="e">
        <f>$H$34*H45</f>
        <v>#DIV/0!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 t="e">
        <f>J46*L39+J45*L40+J44*L41+J43*L42</f>
        <v>#DIV/0!</v>
      </c>
      <c r="I46" s="95" t="n">
        <v>7</v>
      </c>
      <c r="J46" s="88" t="e">
        <f>Y46+AA46+AC46+AE46+AG46+AI46+AK46+AM46+AO46+AQ46+AS46</f>
        <v>#DIV/0!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 t="e">
        <f>P44*N41+P43*N42+P42*N43+P41*N44</f>
        <v>#DIV/0!</v>
      </c>
      <c r="S46" s="74" t="n">
        <v>7</v>
      </c>
      <c r="T46" s="135" t="e">
        <f>(($C$33)^S46)*((1-($C$33))^(INT($B$23*2*(1-$B$31))-S46))*HLOOKUP(INT($B$23*2*(1-$B$31)),$AV$24:$BF$34,S46+1)</f>
        <v>#DIV/0!</v>
      </c>
      <c r="U46" s="95" t="n">
        <v>7</v>
      </c>
      <c r="V46" s="88" t="e">
        <f>T46*R39+T45*R40+T44*R41+T43*R42+T42*R43+T41*R44+T40*R45+T39*R46</f>
        <v>#DIV/0!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 t="e">
        <f>((($W$39)^Q46)*((1-($W$39))^($U$32-Q46))*HLOOKUP($U$32,$AV$24:$BF$34,Q46+1))*V46</f>
        <v>#DIV/0!</v>
      </c>
      <c r="AN46" s="30" t="n">
        <v>7</v>
      </c>
      <c r="AO46" s="81" t="e">
        <f>((($W$39)^Q46)*((1-($W$39))^($U$33-Q46))*HLOOKUP($U$33,$AV$24:$BF$34,Q46+1))*V47</f>
        <v>#DIV/0!</v>
      </c>
      <c r="AP46" s="30" t="n">
        <v>7</v>
      </c>
      <c r="AQ46" s="81" t="e">
        <f>((($W$39)^Q46)*((1-($W$39))^($U$34-Q46))*HLOOKUP($U$34,$AV$24:$BF$34,Q46+1))*V48</f>
        <v>#DIV/0!</v>
      </c>
      <c r="AR46" s="30" t="n">
        <v>7</v>
      </c>
      <c r="AS46" s="81" t="e">
        <f>((($W$39)^Q46)*((1-($W$39))^($U$35-Q46))*HLOOKUP($U$35,$AV$24:$BF$34,Q46+1))*V49</f>
        <v>#DIV/0!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 t="e">
        <f>$H$30*H47</f>
        <v>#DIV/0!</v>
      </c>
      <c r="BP46">
        <f>BP38+1</f>
        <v>9</v>
      </c>
      <c r="BQ46" t="n">
        <v>7</v>
      </c>
      <c r="BR46" s="109" t="e">
        <f>$H$34*H46</f>
        <v>#DIV/0!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 t="e">
        <f>J47*L39+J46*L40+J45*L41+J44*L42</f>
        <v>#DIV/0!</v>
      </c>
      <c r="I47" s="95" t="n">
        <v>8</v>
      </c>
      <c r="J47" s="88" t="e">
        <f>Y47+AA47+AC47+AE47+AG47+AI47+AK47+AM47+AO47+AQ47+AS47</f>
        <v>#DIV/0!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 t="e">
        <f>P44*N42+P43*N43+P42*N44</f>
        <v>#DIV/0!</v>
      </c>
      <c r="S47" s="74" t="n">
        <v>8</v>
      </c>
      <c r="T47" s="135" t="e">
        <f>(($C$33)^S47)*((1-($C$33))^(INT($B$23*2*(1-$B$31))-S47))*HLOOKUP(INT($B$23*2*(1-$B$31)),$AV$24:$BF$34,S47+1)</f>
        <v>#DIV/0!</v>
      </c>
      <c r="U47" s="95" t="n">
        <v>8</v>
      </c>
      <c r="V47" s="88" t="e">
        <f>T47*R39+T46*R40+T45*R41+T44*R42+T43*R43+T42*R44+T41*R45+T40*R46+T39*R47</f>
        <v>#DIV/0!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 t="e">
        <f>((($W$39)^Q47)*((1-($W$39))^($U$33-Q47))*HLOOKUP($U$33,$AV$24:$BF$34,Q47+1))*V47</f>
        <v>#DIV/0!</v>
      </c>
      <c r="AP47" s="30" t="n">
        <v>8</v>
      </c>
      <c r="AQ47" s="81" t="e">
        <f>((($W$39)^Q47)*((1-($W$39))^($U$34-Q47))*HLOOKUP($U$34,$AV$24:$BF$34,Q47+1))*V48</f>
        <v>#DIV/0!</v>
      </c>
      <c r="AR47" s="30" t="n">
        <v>8</v>
      </c>
      <c r="AS47" s="81" t="e">
        <f>((($W$39)^Q47)*((1-($W$39))^($U$35-Q47))*HLOOKUP($U$35,$AV$24:$BF$34,Q47+1))*V49</f>
        <v>#DIV/0!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 t="e">
        <f>$H$30*H48</f>
        <v>#DIV/0!</v>
      </c>
      <c r="BP47">
        <f>BL12+1</f>
        <v>9</v>
      </c>
      <c r="BQ47" t="n">
        <v>8</v>
      </c>
      <c r="BR47" s="109" t="e">
        <f>$H$34*H47</f>
        <v>#DIV/0!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 t="e">
        <f>J48*L39+J47*L40+J46*L41+J45*L42</f>
        <v>#DIV/0!</v>
      </c>
      <c r="I48" s="95" t="n">
        <v>9</v>
      </c>
      <c r="J48" s="88" t="e">
        <f>Y48+AA48+AC48+AE48+AG48+AI48+AK48+AM48+AO48+AQ48+AS48</f>
        <v>#DIV/0!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 t="e">
        <f>P44*N43+P43*N44</f>
        <v>#DIV/0!</v>
      </c>
      <c r="S48" s="74" t="n">
        <v>9</v>
      </c>
      <c r="T48" s="135" t="e">
        <f>(($C$33)^S48)*((1-($C$33))^(INT($B$23*2*(1-$B$31))-S48))*HLOOKUP(INT($B$23*2*(1-$B$31)),$AV$24:$BF$34,S48+1)</f>
        <v>#DIV/0!</v>
      </c>
      <c r="U48" s="95" t="n">
        <v>9</v>
      </c>
      <c r="V48" s="88" t="e">
        <f>T48*R39+T47*R40+T46*R41+T45*R42+T44*R43+T43*R44+T42*R45+T41*R46+T40*R47+T39*R48</f>
        <v>#DIV/0!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 t="e">
        <f>((($W$39)^Q48)*((1-($W$39))^($U$34-Q48))*HLOOKUP($U$34,$AV$24:$BF$34,Q48+1))*V48</f>
        <v>#DIV/0!</v>
      </c>
      <c r="AR48" s="30" t="n">
        <v>9</v>
      </c>
      <c r="AS48" s="81" t="e">
        <f>((($W$39)^Q48)*((1-($W$39))^($U$35-Q48))*HLOOKUP($U$35,$AV$24:$BF$34,Q48+1))*V49</f>
        <v>#DIV/0!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 t="e">
        <f>$H$30*H49</f>
        <v>#DIV/0!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 t="e">
        <f>J49*L39+J48*L40+J47*L41+J46*L42</f>
        <v>#DIV/0!</v>
      </c>
      <c r="I49" s="96" t="n">
        <v>10</v>
      </c>
      <c r="J49" s="91" t="e">
        <f>Y49+AA49+AC49+AE49+AG49+AI49+AK49+AM49+AO49+AQ49+AS49</f>
        <v>#DIV/0!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 t="e">
        <f>P44*N44</f>
        <v>#DIV/0!</v>
      </c>
      <c r="S49" s="74" t="n">
        <v>10</v>
      </c>
      <c r="T49" s="135" t="e">
        <f>(($C$33)^S49)*((1-($C$33))^(INT($B$23*2*(1-$B$31))-S49))*HLOOKUP(INT($B$23*2*(1-$B$31)),$AV$24:$BF$34,S49+1)</f>
        <v>#DIV/0!</v>
      </c>
      <c r="U49" s="96" t="n">
        <v>10</v>
      </c>
      <c r="V49" s="91" t="e">
        <f>IF(((T49*R39+T48*R40+T47*R41+T46*R42+T45*R43+T44*R44+T43*R45+T42*R46+T41*R47+T40*R48+T39*R49)+V37)&lt;&gt;1,1-V37,(T49*R39+T48*R40+T47*R41+T46*R42+T45*R43+T44*R44+T43*R45+T42*R46+T41*R47+T40*R48+T39*R49))</f>
        <v>#DIV/0!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 t="e">
        <f>((($W$39)^Q49)*((1-($W$39))^($U$35-Q49))*HLOOKUP($U$35,$AV$24:$BF$34,Q49+1))*V49</f>
        <v>#DIV/0!</v>
      </c>
      <c r="BH49">
        <f>BP14+1</f>
        <v>6</v>
      </c>
      <c r="BI49" t="n">
        <v>0</v>
      </c>
      <c r="BJ49" s="109" t="e">
        <f>$H$31*H39</f>
        <v>#DIV/0!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 t="e">
        <f>$H$31*H46</f>
        <v>#DIV/0!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 t="e">
        <f>$H$31*H47</f>
        <v>#DIV/0!</v>
      </c>
    </row>
    <row r="52" spans="8:62">
      <c r="H52" s="109"/>
      <c r="BH52">
        <f>BH47+1</f>
        <v>6</v>
      </c>
      <c r="BI52" t="n">
        <v>9</v>
      </c>
      <c r="BJ52" s="109" t="e">
        <f>$H$31*H48</f>
        <v>#DIV/0!</v>
      </c>
    </row>
    <row r="53" spans="60:62">
      <c r="BH53">
        <f>BH48+1</f>
        <v>6</v>
      </c>
      <c r="BI53" t="n">
        <v>10</v>
      </c>
      <c r="BJ53" s="109" t="e">
        <f>$H$31*H49</f>
        <v>#DIV/0!</v>
      </c>
    </row>
    <row r="54" spans="60:62">
      <c r="BH54">
        <f>BH51+1</f>
        <v>7</v>
      </c>
      <c r="BI54" t="n">
        <v>8</v>
      </c>
      <c r="BJ54" s="109" t="e">
        <f>$H$32*H47</f>
        <v>#DIV/0!</v>
      </c>
    </row>
    <row r="55" spans="60:62">
      <c r="BH55">
        <f>BH52+1</f>
        <v>7</v>
      </c>
      <c r="BI55" t="n">
        <v>9</v>
      </c>
      <c r="BJ55" s="109" t="e">
        <f>$H$32*H48</f>
        <v>#DIV/0!</v>
      </c>
    </row>
    <row r="56" spans="60:62">
      <c r="BH56">
        <f>BH53+1</f>
        <v>7</v>
      </c>
      <c r="BI56" t="n">
        <v>10</v>
      </c>
      <c r="BJ56" s="109" t="e">
        <f>$H$32*H49</f>
        <v>#DIV/0!</v>
      </c>
    </row>
    <row r="57" spans="60:62">
      <c r="BH57">
        <f>BH55+1</f>
        <v>8</v>
      </c>
      <c r="BI57" t="n">
        <v>9</v>
      </c>
      <c r="BJ57" s="109" t="e">
        <f>$H$33*H48</f>
        <v>#DIV/0!</v>
      </c>
    </row>
    <row r="58" spans="60:62">
      <c r="BH58">
        <f>BH56+1</f>
        <v>8</v>
      </c>
      <c r="BI58" t="n">
        <v>10</v>
      </c>
      <c r="BJ58" s="109" t="e">
        <f>$H$33*H49</f>
        <v>#DIV/0!</v>
      </c>
    </row>
    <row r="59" spans="60:62">
      <c r="BH59">
        <f>BH58+1</f>
        <v>9</v>
      </c>
      <c r="BI59" t="n">
        <v>10</v>
      </c>
      <c r="BJ59" s="109" t="e">
        <f>$H$34*H49</f>
        <v>#DIV/0!</v>
      </c>
    </row>
  </sheetData>
  <mergeCells count="2">
    <mergeCell ref="P1:Q1"/>
    <mergeCell ref="B3:C3"/>
  </mergeCells>
  <conditionalFormatting sqref="H49">
    <cfRule type="cellIs" dxfId="56" priority="1" operator="greaterThan">
      <formula>0.15</formula>
    </cfRule>
  </conditionalFormatting>
  <conditionalFormatting sqref="H39:H49">
    <cfRule type="cellIs" dxfId="57" priority="2" operator="greaterThan">
      <formula>0.15</formula>
    </cfRule>
  </conditionalFormatting>
  <conditionalFormatting sqref="H49">
    <cfRule type="cellIs" dxfId="58" priority="3" operator="greaterThan">
      <formula>0.15</formula>
    </cfRule>
  </conditionalFormatting>
  <conditionalFormatting sqref="H39:H49">
    <cfRule type="cellIs" dxfId="59" priority="4" operator="greaterThan">
      <formula>0.15</formula>
    </cfRule>
  </conditionalFormatting>
  <conditionalFormatting sqref="H35">
    <cfRule type="cellIs" dxfId="60" priority="5" operator="greaterThan">
      <formula>0.15</formula>
    </cfRule>
  </conditionalFormatting>
  <conditionalFormatting sqref="H25:H35">
    <cfRule type="cellIs" dxfId="61" priority="6" operator="greaterThan">
      <formula>0.15</formula>
    </cfRule>
  </conditionalFormatting>
  <conditionalFormatting sqref="H35">
    <cfRule type="cellIs" dxfId="62" priority="7" operator="greaterThan">
      <formula>0.15</formula>
    </cfRule>
  </conditionalFormatting>
  <conditionalFormatting sqref="H25:H35">
    <cfRule type="cellIs" dxfId="63" priority="8" operator="greaterThan">
      <formula>0.15</formula>
    </cfRule>
  </conditionalFormatting>
  <conditionalFormatting sqref="V49">
    <cfRule type="cellIs" dxfId="64" priority="9" operator="greaterThan">
      <formula>0.15</formula>
    </cfRule>
  </conditionalFormatting>
  <conditionalFormatting sqref="V35">
    <cfRule type="cellIs" dxfId="65" priority="10" operator="greaterThan">
      <formula>0.15</formula>
    </cfRule>
  </conditionalFormatting>
  <conditionalFormatting sqref="V25:V35 V39:V49">
    <cfRule type="cellIs" dxfId="66" priority="11" operator="greaterThan">
      <formula>0.15</formula>
    </cfRule>
  </conditionalFormatting>
  <conditionalFormatting sqref="V49">
    <cfRule type="cellIs" dxfId="67" priority="12" operator="greaterThan">
      <formula>0.15</formula>
    </cfRule>
  </conditionalFormatting>
  <conditionalFormatting sqref="V35">
    <cfRule type="cellIs" dxfId="68" priority="13" operator="greaterThan">
      <formula>0.15</formula>
    </cfRule>
  </conditionalFormatting>
  <conditionalFormatting sqref="V25:V35 V39:V49">
    <cfRule type="cellIs" dxfId="69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"/>
  </sheetPr>
  <dimension ref="A1:BR59"/>
  <sheetViews>
    <sheetView view="normal" zoomScale="80" workbookViewId="0">
      <selection activeCell="G8" sqref="G8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8.428571" customWidth="1"/>
    <col min="16" max="16" width="10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5" max="25" width="8.428571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5" max="35" width="8.428571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1">
      <c r="A1" s="155" t="s">
        <v>146</v>
      </c>
      <c r="B1" t="s">
        <v>1</v>
      </c>
      <c r="F1" s="12" t="s">
        <v>2</v>
      </c>
      <c r="G1" s="72">
        <f>IF(D3="SI",COUNTIF($F$6:$F$18,"RAP"),0)</f>
        <v>2</v>
      </c>
      <c r="H1" s="72">
        <f>G1+G2+G3</f>
        <v>4</v>
      </c>
      <c r="J1" s="13" t="s">
        <v>2</v>
      </c>
      <c r="K1" s="72">
        <f>IF(D3="SI",COUNTIF($J$6:$J$18,"RAP"),0)</f>
        <v>3</v>
      </c>
      <c r="L1" s="72">
        <f>K1+K2+K3</f>
        <v>3</v>
      </c>
      <c r="M1" s="150">
        <f>L1+H1</f>
        <v>7</v>
      </c>
      <c r="P1" s="155"/>
      <c r="Q1" s="155"/>
      <c r="R1" s="152" t="n">
        <v>0</v>
      </c>
      <c r="S1" s="153">
        <f>1+R1</f>
        <v>1</v>
      </c>
      <c r="U1" s="158" t="s">
        <v>159</v>
      </c>
      <c r="V1">
        <f>IF(B17="JC",IF(C17="JC",2,1.5),IF(C17="JC",1.5,1))</f>
        <v>1</v>
      </c>
      <c r="AE1" s="158" t="s">
        <v>159</v>
      </c>
    </row>
    <row r="2" spans="1:31">
      <c r="A2" s="155" t="s">
        <v>151</v>
      </c>
      <c r="B2" t="s">
        <v>1</v>
      </c>
      <c r="F2" s="12" t="s">
        <v>5</v>
      </c>
      <c r="G2" s="72">
        <f>IF(D3="SI",COUNTIF($F$6:$F$18,"TEC"),0)</f>
        <v>2</v>
      </c>
      <c r="H2" s="15"/>
      <c r="J2" s="13" t="s">
        <v>5</v>
      </c>
      <c r="K2" s="72">
        <f>IF(D3="SI",COUNTIF($J$6:$J$18,"TEC"),0)</f>
        <v>0</v>
      </c>
      <c r="L2" s="15" t="s">
        <v>160</v>
      </c>
      <c r="M2" s="160" t="str">
        <f>IF(M1&lt;&gt;0,"SI","NO")</f>
        <v>SI</v>
      </c>
      <c r="O2" t="s">
        <v>6</v>
      </c>
      <c r="P2" s="192" t="s">
        <v>153</v>
      </c>
      <c r="R2" s="152" t="n">
        <v>0</v>
      </c>
      <c r="S2" s="153">
        <f>1+R2</f>
        <v>1</v>
      </c>
      <c r="U2">
        <f>IF(B17="JC",IF(C17="JC",3,2.25),IF(C17="JC",1.75,1))</f>
        <v>1</v>
      </c>
      <c r="Y2" t="s">
        <v>6</v>
      </c>
      <c r="Z2" s="193" t="s">
        <v>153</v>
      </c>
      <c r="AE2">
        <f>IF(B17="JC",IF(C17="JC",3,1.75),IF(C17="JC",2.25,1))</f>
        <v>1</v>
      </c>
    </row>
    <row r="3" spans="1:28">
      <c r="A3" s="159" t="s">
        <v>7</v>
      </c>
      <c r="B3" s="207" t="s">
        <v>8</v>
      </c>
      <c r="C3" s="207"/>
      <c r="D3" t="str">
        <f>IF(B3="Sol","SI",IF(B3="Lluvia","SI","NO"))</f>
        <v>SI</v>
      </c>
      <c r="F3" s="12" t="s">
        <v>9</v>
      </c>
      <c r="G3" s="72">
        <f>IF(D3="SI",COUNTIF($F$6:$F$18,"POT"),0)</f>
        <v>0</v>
      </c>
      <c r="H3" s="15"/>
      <c r="J3" s="13" t="s">
        <v>9</v>
      </c>
      <c r="K3" s="72">
        <f>IF(D3="SI",COUNTIF($J$6:$J$18,"POT"),0)</f>
        <v>0</v>
      </c>
      <c r="L3" s="15"/>
      <c r="O3" t="s">
        <v>10</v>
      </c>
      <c r="P3" s="192" t="s">
        <v>154</v>
      </c>
      <c r="Q3" t="s">
        <v>11</v>
      </c>
      <c r="R3" s="192" t="s">
        <v>155</v>
      </c>
      <c r="Y3" t="s">
        <v>10</v>
      </c>
      <c r="Z3" s="193" t="s">
        <v>154</v>
      </c>
      <c r="AA3" t="s">
        <v>11</v>
      </c>
      <c r="AB3" s="193" t="s">
        <v>155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21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AI4" s="155" t="s">
        <v>21</v>
      </c>
      <c r="BH4" t="n">
        <v>0</v>
      </c>
      <c r="BI4" t="n">
        <v>1</v>
      </c>
      <c r="BJ4" s="109">
        <f>$H$25*H40</f>
        <v>0.0157107608636670015</v>
      </c>
      <c r="BL4" t="n">
        <v>0</v>
      </c>
      <c r="BM4" t="n">
        <v>0</v>
      </c>
      <c r="BN4" s="109">
        <f>H25*H39</f>
        <v>0.00420987962427599971</v>
      </c>
      <c r="BP4" t="n">
        <v>1</v>
      </c>
      <c r="BQ4" t="n">
        <v>0</v>
      </c>
      <c r="BR4" s="109">
        <f>$H$26*H39</f>
        <v>0.00974546895731099916</v>
      </c>
    </row>
    <row r="5" spans="1:70">
      <c r="A5" s="185" t="s">
        <v>33</v>
      </c>
      <c r="B5" s="156" t="n">
        <v>352</v>
      </c>
      <c r="C5" s="156" t="n">
        <v>352</v>
      </c>
      <c r="E5" s="189" t="s">
        <v>34</v>
      </c>
      <c r="F5" s="164" t="s">
        <v>40</v>
      </c>
      <c r="G5" s="164" t="n">
        <v>12</v>
      </c>
      <c r="H5" s="12"/>
      <c r="I5" s="12"/>
      <c r="J5" s="163" t="s">
        <v>35</v>
      </c>
      <c r="K5" s="163" t="n">
        <v>12</v>
      </c>
      <c r="L5" s="12"/>
      <c r="M5" s="12"/>
      <c r="O5" s="69">
        <f>COUNTIF(F5:F10,"IMP")*AI5</f>
        <v>0.04</v>
      </c>
      <c r="P5" s="190" t="str">
        <f>P3</f>
        <v>0,6</v>
      </c>
      <c r="Q5" s="18">
        <f>P5*O5</f>
        <v>0.0239999999999999991</v>
      </c>
      <c r="R5" s="157">
        <f>IF($M$2="SI",Q5*$B$22/0.5*$S$1,Q5*$B$22/0.5*$S$2)</f>
        <v>0.0227368421052640013</v>
      </c>
      <c r="S5" s="173">
        <f>(1-R5)</f>
        <v>0.97726315789473599</v>
      </c>
      <c r="T5" s="174">
        <f>R5*PRODUCT(S6:S19)</f>
        <v>0.0154625805588230003</v>
      </c>
      <c r="U5" s="174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0.00616465687081400038</v>
      </c>
      <c r="V5" s="20"/>
      <c r="W5" s="183" t="s">
        <v>36</v>
      </c>
      <c r="X5" s="17" t="s">
        <v>37</v>
      </c>
      <c r="Y5" s="71">
        <f>COUNTIF(J5:J10,"IMP")*AI5</f>
        <v>0.2</v>
      </c>
      <c r="Z5" s="191" t="str">
        <f>Z3</f>
        <v>0,6</v>
      </c>
      <c r="AA5" s="21">
        <f>Z5*Y5</f>
        <v>0.119999999999999996</v>
      </c>
      <c r="AB5" s="157">
        <f>IF($M$2="SI",AA5*$C$22/0.5*$S$1,AA5*$C$22/0.5*$S$2)</f>
        <v>0.126315789473683981</v>
      </c>
      <c r="AC5" s="173">
        <f>(1-AB5)</f>
        <v>0.87368421052631593</v>
      </c>
      <c r="AD5" s="174">
        <f>AB5*PRODUCT(AC6:AC19)</f>
        <v>0.0651804951924670029</v>
      </c>
      <c r="AE5" s="174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0.0462003060864210013</v>
      </c>
      <c r="AF5" s="20"/>
      <c r="AI5" s="155" t="n">
        <v>0.04</v>
      </c>
      <c r="BH5" t="n">
        <v>0</v>
      </c>
      <c r="BI5" t="n">
        <v>2</v>
      </c>
      <c r="BJ5" s="109">
        <f>$H$25*H41</f>
        <v>0.0273107837849799973</v>
      </c>
      <c r="BL5" t="n">
        <v>1</v>
      </c>
      <c r="BM5" t="n">
        <v>1</v>
      </c>
      <c r="BN5" s="109">
        <f>$H$26*H40</f>
        <v>0.0363689097925030014</v>
      </c>
      <c r="BP5">
        <f>BP4+1</f>
        <v>2</v>
      </c>
      <c r="BQ5" t="n">
        <v>0</v>
      </c>
      <c r="BR5" s="109">
        <f>$H$27*H39</f>
        <v>0.0104709094076190001</v>
      </c>
    </row>
    <row r="6" spans="1:70">
      <c r="A6" s="4" t="s">
        <v>38</v>
      </c>
      <c r="B6" s="165" t="n">
        <v>9</v>
      </c>
      <c r="C6" s="166" t="n">
        <v>10</v>
      </c>
      <c r="E6" s="189" t="s">
        <v>39</v>
      </c>
      <c r="F6" s="164" t="s">
        <v>35</v>
      </c>
      <c r="G6" s="164"/>
      <c r="H6" s="12"/>
      <c r="I6" s="12"/>
      <c r="J6" s="163" t="s">
        <v>40</v>
      </c>
      <c r="K6" s="163"/>
      <c r="L6" s="12"/>
      <c r="M6" s="12"/>
      <c r="O6" s="69">
        <f>COUNTIF(F11:F18,"IMP")*AI6</f>
        <v>0.04</v>
      </c>
      <c r="P6" s="190" t="str">
        <f>P3</f>
        <v>0,6</v>
      </c>
      <c r="Q6" s="18">
        <f>P6*O6</f>
        <v>0.0239999999999999991</v>
      </c>
      <c r="R6" s="157">
        <f>IF($M$2="SI",Q6*$B$22/0.5*$S$1,Q6*$B$22/0.5*$S$2)</f>
        <v>0.0227368421052640013</v>
      </c>
      <c r="S6" s="173">
        <f>(1-R6)</f>
        <v>0.97726315789473599</v>
      </c>
      <c r="T6" s="174">
        <f>R6*S5*PRODUCT(S7:S19)</f>
        <v>0.0154625805588230003</v>
      </c>
      <c r="U6" s="174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0.0058049070430759997</v>
      </c>
      <c r="V6" s="20"/>
      <c r="W6" s="183" t="s">
        <v>41</v>
      </c>
      <c r="X6" s="17" t="s">
        <v>42</v>
      </c>
      <c r="Y6" s="71">
        <f>COUNTIF(J11:J18,"IMP")*AI6</f>
        <v>0.08</v>
      </c>
      <c r="Z6" s="191" t="str">
        <f>Z3</f>
        <v>0,6</v>
      </c>
      <c r="AA6" s="21">
        <f>Z6*Y6</f>
        <v>0.0479999999999999982</v>
      </c>
      <c r="AB6" s="157">
        <f>IF($M$2="SI",AA6*$C$22/0.5*$S$1,AA6*$C$22/0.5*$S$2)</f>
        <v>0.0505263157894740011</v>
      </c>
      <c r="AC6" s="173">
        <f>(1-AB6)</f>
        <v>0.949473684210525981</v>
      </c>
      <c r="AD6" s="174">
        <f>AB6*AC5*PRODUCT(AC7:AC19)</f>
        <v>0.0239910470109749996</v>
      </c>
      <c r="AE6" s="174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0.0157283052817809992</v>
      </c>
      <c r="AF6" s="20"/>
      <c r="AI6" s="155" t="n">
        <v>0.04</v>
      </c>
      <c r="BH6" t="n">
        <v>0</v>
      </c>
      <c r="BI6" t="n">
        <v>3</v>
      </c>
      <c r="BJ6" s="109">
        <f>$H$25*H42</f>
        <v>0.0293776294843139993</v>
      </c>
      <c r="BL6">
        <f>BH14+1</f>
        <v>2</v>
      </c>
      <c r="BM6" t="n">
        <v>2</v>
      </c>
      <c r="BN6" s="109">
        <f>$H$27*H41</f>
        <v>0.067928009441067001</v>
      </c>
      <c r="BP6">
        <f>BL5+1</f>
        <v>2</v>
      </c>
      <c r="BQ6" t="n">
        <v>1</v>
      </c>
      <c r="BR6" s="109">
        <f>$H$27*H40</f>
        <v>0.0390761656888239983</v>
      </c>
    </row>
    <row r="7" spans="1:70">
      <c r="A7" s="7" t="s">
        <v>43</v>
      </c>
      <c r="B7" s="165" t="n">
        <v>9</v>
      </c>
      <c r="C7" s="166" t="n">
        <v>8</v>
      </c>
      <c r="E7" s="189" t="s">
        <v>44</v>
      </c>
      <c r="F7" s="164"/>
      <c r="G7" s="164"/>
      <c r="H7" s="12"/>
      <c r="I7" s="12"/>
      <c r="J7" s="163" t="s">
        <v>40</v>
      </c>
      <c r="K7" s="163"/>
      <c r="L7" s="12"/>
      <c r="M7" s="12"/>
      <c r="O7" s="69"/>
      <c r="P7" s="190">
        <f>B30</f>
        <v>0.15</v>
      </c>
      <c r="Q7" s="18">
        <f>P7*O7</f>
        <v>0</v>
      </c>
      <c r="R7" s="157">
        <f>IF($M$2="SI",Q7*$B$22/0.5*$S$1,Q7*$B$22/0.5*$S$2)</f>
        <v>0</v>
      </c>
      <c r="S7" s="173">
        <f>(1-R7)</f>
        <v>1</v>
      </c>
      <c r="T7" s="174">
        <f>R7*PRODUCT(S5:S6)*PRODUCT(S8:S19)</f>
        <v>0</v>
      </c>
      <c r="U7" s="174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3" t="s">
        <v>157</v>
      </c>
      <c r="X7" s="17" t="s">
        <v>158</v>
      </c>
      <c r="Y7" s="71"/>
      <c r="Z7" s="191">
        <f>C30</f>
        <v>0.15</v>
      </c>
      <c r="AA7" s="21">
        <f>Z7*Y7</f>
        <v>0</v>
      </c>
      <c r="AB7" s="157">
        <f>IF($M$2="SI",AA7*$C$22/0.5*$S$1,AA7*$C$22/0.5*$S$2)</f>
        <v>0</v>
      </c>
      <c r="AC7" s="173">
        <f>(1-AB7)</f>
        <v>1</v>
      </c>
      <c r="AD7" s="174">
        <f>AB7*PRODUCT(AC5:AC6)*PRODUCT(AC8:AC19)</f>
        <v>0</v>
      </c>
      <c r="AE7" s="174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AI7" s="155" t="n">
        <v>0</v>
      </c>
      <c r="BH7" t="n">
        <v>0</v>
      </c>
      <c r="BI7" t="n">
        <v>4</v>
      </c>
      <c r="BJ7" s="109">
        <f>$H$25*H43</f>
        <v>0.0218753435325600032</v>
      </c>
      <c r="BL7">
        <f>BH23+1</f>
        <v>3</v>
      </c>
      <c r="BM7" t="n">
        <v>3</v>
      </c>
      <c r="BN7" s="109">
        <f>$H$28*H42</f>
        <v>0.0483621106301549997</v>
      </c>
      <c r="BP7">
        <f>BP5+1</f>
        <v>3</v>
      </c>
      <c r="BQ7" t="n">
        <v>0</v>
      </c>
      <c r="BR7" s="109">
        <f>$H$28*H39</f>
        <v>0.00693039798318599942</v>
      </c>
    </row>
    <row r="8" spans="1:70">
      <c r="A8" s="7" t="s">
        <v>47</v>
      </c>
      <c r="B8" s="165" t="n">
        <v>9</v>
      </c>
      <c r="C8" s="166" t="n">
        <v>8</v>
      </c>
      <c r="E8" s="189" t="s">
        <v>44</v>
      </c>
      <c r="F8" s="164" t="s">
        <v>35</v>
      </c>
      <c r="G8" s="164"/>
      <c r="H8" s="12"/>
      <c r="I8" s="12"/>
      <c r="J8" s="163" t="s">
        <v>40</v>
      </c>
      <c r="K8" s="163"/>
      <c r="L8" s="12"/>
      <c r="M8" s="12"/>
      <c r="O8" s="69">
        <f>COUNTIF(F6:F18,"IMP")*AI8</f>
        <v>0.04</v>
      </c>
      <c r="P8" s="190" t="str">
        <f>P3</f>
        <v>0,6</v>
      </c>
      <c r="Q8" s="18">
        <f>P8*O8</f>
        <v>0.0239999999999999991</v>
      </c>
      <c r="R8" s="157">
        <f>IF($M$2="SI",Q8*$B$22/0.5*$S$1,Q8*$B$22/0.5*$S$2)</f>
        <v>0.0227368421052640013</v>
      </c>
      <c r="S8" s="173">
        <f>(1-R8)</f>
        <v>0.97726315789473599</v>
      </c>
      <c r="T8" s="174">
        <f>R8*PRODUCT(S5:S7)*PRODUCT(S9:S19)</f>
        <v>0.0154625805588230003</v>
      </c>
      <c r="U8" s="174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0.00544515721534100017</v>
      </c>
      <c r="W8" s="183" t="s">
        <v>48</v>
      </c>
      <c r="X8" s="17" t="s">
        <v>49</v>
      </c>
      <c r="Y8" s="71">
        <f>COUNTIF(J6:J18,"IMP")*AI8</f>
        <v>0.280000000000000036</v>
      </c>
      <c r="Z8" s="191" t="str">
        <f>Z3</f>
        <v>0,6</v>
      </c>
      <c r="AA8" s="21">
        <f>Z8*Y8</f>
        <v>0.168000000000000016</v>
      </c>
      <c r="AB8" s="157">
        <f>IF($M$2="SI",AA8*$C$22/0.5*$S$1,AA8*$C$22/0.5*$S$2)</f>
        <v>0.176842105263158</v>
      </c>
      <c r="AC8" s="173">
        <f>(1-AB8)</f>
        <v>0.823157894736841911</v>
      </c>
      <c r="AD8" s="174">
        <f>AB8*PRODUCT(AC5:AC7)*PRODUCT(AC9:AC19)</f>
        <v>0.096853881603129004</v>
      </c>
      <c r="AE8" s="174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0.0426890123596580029</v>
      </c>
      <c r="AI8" s="155" t="n">
        <v>0.04</v>
      </c>
      <c r="BH8" t="n">
        <v>0</v>
      </c>
      <c r="BI8" t="n">
        <v>5</v>
      </c>
      <c r="BJ8" s="109">
        <f>$H$25*H44</f>
        <v>0.0119280996134959993</v>
      </c>
      <c r="BL8">
        <f>BH31+1</f>
        <v>4</v>
      </c>
      <c r="BM8" t="n">
        <v>4</v>
      </c>
      <c r="BN8" s="109">
        <f>$H$29*H43</f>
        <v>0.0164242314965350023</v>
      </c>
      <c r="BP8">
        <f>BP6+1</f>
        <v>3</v>
      </c>
      <c r="BQ8" t="n">
        <v>1</v>
      </c>
      <c r="BR8" s="109">
        <f>$H$28*H40</f>
        <v>0.0258634058741280048</v>
      </c>
    </row>
    <row r="9" spans="1:70">
      <c r="A9" s="7" t="s">
        <v>50</v>
      </c>
      <c r="B9" s="165" t="n">
        <v>9</v>
      </c>
      <c r="C9" s="166" t="n">
        <v>8</v>
      </c>
      <c r="E9" s="189" t="s">
        <v>44</v>
      </c>
      <c r="F9" s="164"/>
      <c r="G9" s="164"/>
      <c r="H9" s="12"/>
      <c r="I9" s="12"/>
      <c r="J9" s="163" t="s">
        <v>40</v>
      </c>
      <c r="K9" s="163"/>
      <c r="L9" s="12"/>
      <c r="M9" s="12"/>
      <c r="O9" s="69">
        <f>COUNTIF(J6:J13,"IMP")*AI9</f>
        <v>0.125</v>
      </c>
      <c r="P9" s="190" t="str">
        <f>Z3</f>
        <v>0,6</v>
      </c>
      <c r="Q9" s="18">
        <f>P9*O9</f>
        <v>0.075</v>
      </c>
      <c r="R9" s="157">
        <f>IF($M$2="SI",Q9*$B$22/0.5*$S$1,Q9*$B$22/0.5*$S$2)</f>
        <v>0.0710526315789480112</v>
      </c>
      <c r="S9" s="173">
        <f>(1-R9)</f>
        <v>0.928947368421052033</v>
      </c>
      <c r="T9" s="174">
        <f>R9*PRODUCT(S5:S8)*PRODUCT(S10:S19)</f>
        <v>0.0508337811289339925</v>
      </c>
      <c r="U9" s="174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0.0140130109289509992</v>
      </c>
      <c r="W9" s="184" t="s">
        <v>51</v>
      </c>
      <c r="X9" s="17" t="s">
        <v>52</v>
      </c>
      <c r="Y9" s="71">
        <f>COUNTIF(F6:F13,"IMP")*AI9</f>
        <v>0.025</v>
      </c>
      <c r="Z9" s="191" t="str">
        <f>P3</f>
        <v>0,6</v>
      </c>
      <c r="AA9" s="21">
        <f>Z9*Y9</f>
        <v>0.015</v>
      </c>
      <c r="AB9" s="157">
        <f>IF($M$2="SI",AA9*$C$22/0.5*$S$1,AA9*$C$22/0.5*$S$2)</f>
        <v>0.0157894736842099981</v>
      </c>
      <c r="AC9" s="173">
        <f>(1-AB9)</f>
        <v>0.984210526315789913</v>
      </c>
      <c r="AD9" s="174">
        <f>AB9*PRODUCT(AC5:AC8)*PRODUCT(AC10:AC19)</f>
        <v>0.00723259505477900078</v>
      </c>
      <c r="AE9" s="174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0.00307178492131899983</v>
      </c>
      <c r="AI9" s="155" t="n">
        <v>0.025</v>
      </c>
      <c r="BH9" t="n">
        <v>0</v>
      </c>
      <c r="BI9" t="n">
        <v>6</v>
      </c>
      <c r="BJ9" s="109">
        <f>$H$25*H45</f>
        <v>0.00490304199015800002</v>
      </c>
      <c r="BL9">
        <f>BH38+1</f>
        <v>5</v>
      </c>
      <c r="BM9" t="n">
        <v>5</v>
      </c>
      <c r="BN9" s="109">
        <f>$H$30*H44</f>
        <v>0.00298008084971800002</v>
      </c>
      <c r="BP9">
        <f>BL6+1</f>
        <v>3</v>
      </c>
      <c r="BQ9" t="n">
        <v>2</v>
      </c>
      <c r="BR9" s="109">
        <f>$H$28*H41</f>
        <v>0.0449596230189600021</v>
      </c>
    </row>
    <row r="10" spans="1:70">
      <c r="A10" s="8" t="s">
        <v>53</v>
      </c>
      <c r="B10" s="165" t="n">
        <v>7</v>
      </c>
      <c r="C10" s="166" t="n">
        <v>8</v>
      </c>
      <c r="E10" s="189" t="s">
        <v>39</v>
      </c>
      <c r="F10" s="164" t="s">
        <v>5</v>
      </c>
      <c r="G10" s="164"/>
      <c r="H10" s="12"/>
      <c r="I10" s="12"/>
      <c r="J10" s="163" t="s">
        <v>40</v>
      </c>
      <c r="K10" s="163"/>
      <c r="L10" s="12"/>
      <c r="M10" s="12"/>
      <c r="O10" s="69">
        <f>COUNTIF(F11:F18,"RAP")*AI10</f>
        <v>0.119999999999999996</v>
      </c>
      <c r="P10" s="190" t="str">
        <f>R3</f>
        <v>0,72</v>
      </c>
      <c r="Q10" s="18">
        <f>P10*O10</f>
        <v>0.0864000000000000057</v>
      </c>
      <c r="R10" s="157">
        <f>IF($M$2="SI",Q10*$B$22/0.5*$S$1,Q10*$B$22/0.5*$S$2)</f>
        <v>0.081852631578948003</v>
      </c>
      <c r="S10" s="173">
        <f>(1-R10)</f>
        <v>0.918147368421051979</v>
      </c>
      <c r="T10" s="174">
        <f>R10*PRODUCT(S5:S9)*PRODUCT(S11:S19)</f>
        <v>0.0592493525255880016</v>
      </c>
      <c r="U10" s="174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0.011050809156218</v>
      </c>
      <c r="W10" s="183" t="s">
        <v>54</v>
      </c>
      <c r="X10" s="17" t="s">
        <v>55</v>
      </c>
      <c r="Y10" s="71">
        <f>COUNTIF(J11:J18,"RAP")*AI10</f>
        <v>0.179999999999999982</v>
      </c>
      <c r="Z10" s="191" t="str">
        <f>AB3</f>
        <v>0,72</v>
      </c>
      <c r="AA10" s="21">
        <f>Z10*Y10</f>
        <v>0.129599999999999982</v>
      </c>
      <c r="AB10" s="157">
        <f>IF($M$2="SI",AA10*$C$22/0.5*$S$1,AA10*$C$22/0.5*$S$2)</f>
        <v>0.136421052631577999</v>
      </c>
      <c r="AC10" s="173">
        <f>(1-AB10)</f>
        <v>0.863578947368421979</v>
      </c>
      <c r="AD10" s="174">
        <f>AB10*PRODUCT(AC5:AC9)*PRODUCT(AC11:AC19)</f>
        <v>0.0712186688085409969</v>
      </c>
      <c r="AE10" s="174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0.0189970353861450008</v>
      </c>
      <c r="AI10" s="155" t="n">
        <v>0.06</v>
      </c>
      <c r="BH10" t="n">
        <v>0</v>
      </c>
      <c r="BI10" t="n">
        <v>7</v>
      </c>
      <c r="BJ10" s="109">
        <f>$H$25*H46</f>
        <v>0.00153746193794700003</v>
      </c>
      <c r="BL10">
        <f>BH44+1</f>
        <v>6</v>
      </c>
      <c r="BM10" t="n">
        <v>6</v>
      </c>
      <c r="BN10" s="109">
        <f>$H$31*H45</f>
        <v>0.000306725998119999943</v>
      </c>
      <c r="BP10">
        <f>BP7+1</f>
        <v>4</v>
      </c>
      <c r="BQ10" t="n">
        <v>0</v>
      </c>
      <c r="BR10" s="109">
        <f>$H$29*H39</f>
        <v>0.00316082064808399998</v>
      </c>
    </row>
    <row r="11" spans="1:70">
      <c r="A11" s="8" t="s">
        <v>56</v>
      </c>
      <c r="B11" s="165" t="n">
        <v>7</v>
      </c>
      <c r="C11" s="166" t="n">
        <v>8</v>
      </c>
      <c r="E11" s="189" t="s">
        <v>57</v>
      </c>
      <c r="F11" s="164" t="s">
        <v>40</v>
      </c>
      <c r="G11" s="164"/>
      <c r="H11" s="12"/>
      <c r="I11" s="12"/>
      <c r="J11" s="163" t="s">
        <v>2</v>
      </c>
      <c r="K11" s="163"/>
      <c r="L11" s="12"/>
      <c r="M11" s="12"/>
      <c r="O11" s="69">
        <f>COUNTIF(F11:F18,"RAP")*AI11</f>
        <v>0.119999999999999996</v>
      </c>
      <c r="P11" s="190" t="str">
        <f>R3</f>
        <v>0,72</v>
      </c>
      <c r="Q11" s="18">
        <f>P11*O11</f>
        <v>0.0864000000000000057</v>
      </c>
      <c r="R11" s="157">
        <f>IF($M$2="SI",Q11*$B$22/0.5*$S$1,Q11*$B$22/0.5*$S$2)</f>
        <v>0.081852631578948003</v>
      </c>
      <c r="S11" s="173">
        <f>(1-R11)</f>
        <v>0.918147368421051979</v>
      </c>
      <c r="T11" s="174">
        <f>R11*PRODUCT(S5:S10)*PRODUCT(S12:S19)</f>
        <v>0.0592493525255880016</v>
      </c>
      <c r="U11" s="174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0.00576874269241399951</v>
      </c>
      <c r="W11" s="183" t="s">
        <v>58</v>
      </c>
      <c r="X11" s="17" t="s">
        <v>59</v>
      </c>
      <c r="Y11" s="71">
        <f>COUNTIF(J11:J18,"RAP")*AI11</f>
        <v>0.179999999999999982</v>
      </c>
      <c r="Z11" s="191" t="str">
        <f>AB3</f>
        <v>0,72</v>
      </c>
      <c r="AA11" s="21">
        <f>Z11*Y11</f>
        <v>0.129599999999999982</v>
      </c>
      <c r="AB11" s="157">
        <f>IF($M$2="SI",AA11*$C$22/0.5*$S$1,AA11*$C$22/0.5*$S$2)</f>
        <v>0.136421052631577999</v>
      </c>
      <c r="AC11" s="173">
        <f>(1-AB11)</f>
        <v>0.863578947368421979</v>
      </c>
      <c r="AD11" s="174">
        <f>AB11*PRODUCT(AC5:AC10)*PRODUCT(AC12:AC19)</f>
        <v>0.0712186688085409969</v>
      </c>
      <c r="AE11" s="174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0.00774649969917899917</v>
      </c>
      <c r="AI11" s="155" t="n">
        <v>0.06</v>
      </c>
      <c r="BH11" t="n">
        <v>0</v>
      </c>
      <c r="BI11" t="n">
        <v>8</v>
      </c>
      <c r="BJ11" s="109">
        <f>$H$25*H47</f>
        <v>0.000367248101275000005</v>
      </c>
      <c r="BL11">
        <f>BH50+1</f>
        <v>7</v>
      </c>
      <c r="BM11" t="n">
        <v>7</v>
      </c>
      <c r="BN11" s="109">
        <f>$H$32*H46</f>
        <v>0.0000183876259789999992</v>
      </c>
      <c r="BP11">
        <f>BP8+1</f>
        <v>4</v>
      </c>
      <c r="BQ11" t="n">
        <v>1</v>
      </c>
      <c r="BR11" s="109">
        <f>$H$29*H40</f>
        <v>0.0117957998249259988</v>
      </c>
    </row>
    <row r="12" spans="1:70">
      <c r="A12" s="8" t="s">
        <v>60</v>
      </c>
      <c r="B12" s="165" t="n">
        <v>7</v>
      </c>
      <c r="C12" s="166" t="n">
        <v>8</v>
      </c>
      <c r="E12" s="189" t="s">
        <v>57</v>
      </c>
      <c r="F12" s="164" t="s">
        <v>5</v>
      </c>
      <c r="G12" s="164"/>
      <c r="H12" s="12"/>
      <c r="I12" s="12"/>
      <c r="J12" s="163"/>
      <c r="K12" s="163"/>
      <c r="L12" s="12"/>
      <c r="M12" s="12"/>
      <c r="O12" s="69"/>
      <c r="P12" s="190" t="n">
        <v>0.5</v>
      </c>
      <c r="Q12" s="18">
        <f>P12*O12</f>
        <v>0</v>
      </c>
      <c r="R12" s="157">
        <f>IF($M$2="SI",Q12*$B$22/0.5*$S$1,Q12*$B$22/0.5*$S$2)</f>
        <v>0</v>
      </c>
      <c r="S12" s="173">
        <f>(1-R12)</f>
        <v>1</v>
      </c>
      <c r="T12" s="174">
        <f>R12*PRODUCT(S5:S11)*PRODUCT(S13:S19)</f>
        <v>0</v>
      </c>
      <c r="U12" s="174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</v>
      </c>
      <c r="W12" s="184" t="s">
        <v>61</v>
      </c>
      <c r="X12" s="17" t="s">
        <v>62</v>
      </c>
      <c r="Y12" s="71"/>
      <c r="Z12" s="191" t="n">
        <v>0.5</v>
      </c>
      <c r="AA12" s="21">
        <f>Z12*Y12</f>
        <v>0</v>
      </c>
      <c r="AB12" s="157">
        <f>IF($M$2="SI",AA12*$C$22/0.5*$S$1,AA12*$C$22/0.5*$S$2)</f>
        <v>0</v>
      </c>
      <c r="AC12" s="173">
        <f>(1-AB12)</f>
        <v>1</v>
      </c>
      <c r="AD12" s="174">
        <f>AB12*PRODUCT(AC5:AC11)*PRODUCT(AC13:AC19)</f>
        <v>0</v>
      </c>
      <c r="AE12" s="174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</v>
      </c>
      <c r="AI12" s="155" t="n">
        <v>0</v>
      </c>
      <c r="BH12" t="n">
        <v>0</v>
      </c>
      <c r="BI12" t="n">
        <v>9</v>
      </c>
      <c r="BJ12" s="109">
        <f>$H$25*H48</f>
        <v>0.0000658686381859999948</v>
      </c>
      <c r="BL12">
        <f>BH54+1</f>
        <v>8</v>
      </c>
      <c r="BM12" t="n">
        <v>8</v>
      </c>
      <c r="BN12" s="109">
        <f>$H$33*H47</f>
        <v>6.420890852010669511E-07</v>
      </c>
      <c r="BP12">
        <f>BP9+1</f>
        <v>4</v>
      </c>
      <c r="BQ12" t="n">
        <v>2</v>
      </c>
      <c r="BR12" s="109">
        <f>$H$29*H41</f>
        <v>0.0205052155898109989</v>
      </c>
    </row>
    <row r="13" spans="1:70">
      <c r="A13" s="9" t="s">
        <v>63</v>
      </c>
      <c r="B13" s="165" t="n">
        <v>11</v>
      </c>
      <c r="C13" s="166" t="n">
        <v>12.5</v>
      </c>
      <c r="E13" s="189" t="s">
        <v>57</v>
      </c>
      <c r="F13" s="164" t="s">
        <v>35</v>
      </c>
      <c r="G13" s="164"/>
      <c r="H13" s="12"/>
      <c r="I13" s="12"/>
      <c r="J13" s="163"/>
      <c r="K13" s="163"/>
      <c r="L13" s="12"/>
      <c r="M13" s="12"/>
      <c r="O13" s="69">
        <f>AI13</f>
        <v>0.125</v>
      </c>
      <c r="P13" s="190" t="str">
        <f>P2</f>
        <v>0,4</v>
      </c>
      <c r="Q13" s="18">
        <f>P13*O13</f>
        <v>0.05</v>
      </c>
      <c r="R13" s="157">
        <f>IF($M$2="SI",Q13*$B$22/0.5*$S$1,Q13*$B$22/0.5*$S$2)</f>
        <v>0.0473684210526320015</v>
      </c>
      <c r="S13" s="173">
        <f>(1-R13)</f>
        <v>0.952631578947368141</v>
      </c>
      <c r="T13" s="174">
        <f>R13*PRODUCT(S5:S12)*PRODUCT(S14:S19)</f>
        <v>0.0330466385607989999</v>
      </c>
      <c r="U13" s="174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0.00157434361030699987</v>
      </c>
      <c r="W13" s="183" t="s">
        <v>64</v>
      </c>
      <c r="X13" s="17" t="s">
        <v>65</v>
      </c>
      <c r="Y13" s="71">
        <f>AI13</f>
        <v>0.125</v>
      </c>
      <c r="Z13" s="191" t="str">
        <f>Z2</f>
        <v>0,4</v>
      </c>
      <c r="AA13" s="21">
        <f>Z13*Y13</f>
        <v>0.05</v>
      </c>
      <c r="AB13" s="157">
        <f>IF($M$2="SI",AA13*$C$22/0.5*$S$1,AA13*$C$22/0.5*$S$2)</f>
        <v>0.0526315789473680073</v>
      </c>
      <c r="AC13" s="173">
        <f>(1-AB13)</f>
        <v>0.947368421052632037</v>
      </c>
      <c r="AD13" s="174">
        <f>AB13*PRODUCT(AC5:AC12)*PRODUCT(AC14:AC19)</f>
        <v>0.0250462088008089978</v>
      </c>
      <c r="AE13" s="174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0.00133283594505400016</v>
      </c>
      <c r="AI13" s="155" t="n">
        <v>0.125</v>
      </c>
      <c r="BH13" t="n">
        <v>0</v>
      </c>
      <c r="BI13" t="n">
        <v>10</v>
      </c>
      <c r="BJ13" s="109">
        <f>$H$25*H49</f>
        <v>8.604988898089511849E-06</v>
      </c>
      <c r="BL13">
        <f>BH57+1</f>
        <v>9</v>
      </c>
      <c r="BM13" t="n">
        <v>9</v>
      </c>
      <c r="BN13" s="109">
        <f>$H$34*H48</f>
        <v>1.272767929837849958E-08</v>
      </c>
      <c r="BP13">
        <f>BL7+1</f>
        <v>4</v>
      </c>
      <c r="BQ13" t="n">
        <v>3</v>
      </c>
      <c r="BR13" s="109">
        <f>$H$29*H42</f>
        <v>0.0220570244646270019</v>
      </c>
    </row>
    <row r="14" spans="1:70">
      <c r="A14" s="9" t="s">
        <v>66</v>
      </c>
      <c r="B14" s="165" t="n">
        <v>9</v>
      </c>
      <c r="C14" s="166" t="n">
        <v>10.75</v>
      </c>
      <c r="E14" s="189" t="s">
        <v>67</v>
      </c>
      <c r="F14" s="164" t="s">
        <v>2</v>
      </c>
      <c r="G14" s="164"/>
      <c r="H14" s="12"/>
      <c r="I14" s="12"/>
      <c r="J14" s="163" t="s">
        <v>40</v>
      </c>
      <c r="K14" s="163"/>
      <c r="L14" s="12"/>
      <c r="M14" s="12"/>
      <c r="O14" s="69">
        <f>IF(COUNTIF(F6:F18,"CAB")&gt;0,AI14,0)</f>
        <v>0</v>
      </c>
      <c r="P14" s="190">
        <f>IF(COUNTIF(F6:F18,"CAB")-COUNTIF(J6:J18,"CAB")&gt;0,0.85,IF(COUNTIF(F6:F18,"CAB")-COUNTIF(J6:J18,"CAB")=0,0.5,0.25))</f>
        <v>0.5</v>
      </c>
      <c r="Q14" s="18">
        <f>P14*O14</f>
        <v>0</v>
      </c>
      <c r="R14" s="157">
        <f>IF($M$2="SI",Q14*$B$22/0.5*$S$1,Q14*$B$22/0.5*$S$2)</f>
        <v>0</v>
      </c>
      <c r="S14" s="173">
        <f>(1-R14)</f>
        <v>1</v>
      </c>
      <c r="T14" s="174">
        <f>R14*PRODUCT(S5:S13)*PRODUCT(S15:S19)</f>
        <v>0</v>
      </c>
      <c r="U14" s="174">
        <f>R14*R15*PRODUCT(S5:S13)*PRODUCT(S16:S19)+R14*R16*PRODUCT(S5:S13)*S15*PRODUCT(S17:S19)+R14*R17*PRODUCT(S5:S13)*PRODUCT(S15:S16)*PRODUCT(S18:S19)+R14*R18*PRODUCT(S5:S13)*PRODUCT(S15:S17)*PRODUCT(S19)+R14*R19*PRODUCT(S5:S13)*PRODUCT(S15:S18)</f>
        <v>0</v>
      </c>
      <c r="W14" s="183" t="s">
        <v>68</v>
      </c>
      <c r="X14" s="17" t="s">
        <v>69</v>
      </c>
      <c r="Y14" s="71">
        <f>IF(COUNTIF(J6:J18,"CAB")&gt;0,AI14,0)</f>
        <v>0</v>
      </c>
      <c r="Z14" s="191">
        <f>IF(COUNTIF(J6:J18,"CAB")-COUNTIF(F6:F18,"CAB")&gt;0,0.85,IF(COUNTIF(J6:J18,"CAB")-COUNTIF(F6:F18,"CAB")=0,0.5,0.25))</f>
        <v>0.5</v>
      </c>
      <c r="AA14" s="21">
        <f>Z14*Y14</f>
        <v>0</v>
      </c>
      <c r="AB14" s="157">
        <f>IF($M$2="SI",AA14*$C$22/0.5*$S$1,AA14*$C$22/0.5*$S$2)</f>
        <v>0</v>
      </c>
      <c r="AC14" s="173">
        <f>(1-AB14)</f>
        <v>1</v>
      </c>
      <c r="AD14" s="174">
        <f>AB14*PRODUCT(AC5:AC13)*PRODUCT(AC15:AC19)</f>
        <v>0</v>
      </c>
      <c r="AE14" s="174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0</v>
      </c>
      <c r="AI14" s="155" t="n">
        <v>0.125</v>
      </c>
      <c r="BH14" t="n">
        <v>1</v>
      </c>
      <c r="BI14" t="n">
        <v>2</v>
      </c>
      <c r="BJ14" s="109">
        <f>$H$26*H41</f>
        <v>0.0632218541455570104</v>
      </c>
      <c r="BL14">
        <f>BP39+1</f>
        <v>10</v>
      </c>
      <c r="BM14" t="n">
        <v>10</v>
      </c>
      <c r="BN14" s="109">
        <f>$H$35*H49</f>
        <v>1.35142239131293097E-10</v>
      </c>
      <c r="BP14">
        <f>BP10+1</f>
        <v>5</v>
      </c>
      <c r="BQ14" t="n">
        <v>0</v>
      </c>
      <c r="BR14" s="109">
        <f>$H$30*H39</f>
        <v>0.00105178377565900005</v>
      </c>
    </row>
    <row r="15" spans="1:70">
      <c r="A15" s="186" t="s">
        <v>70</v>
      </c>
      <c r="B15" s="167" t="n">
        <v>7.75</v>
      </c>
      <c r="C15" s="168" t="n">
        <v>8.25</v>
      </c>
      <c r="E15" s="189" t="s">
        <v>67</v>
      </c>
      <c r="F15" s="164" t="s">
        <v>2</v>
      </c>
      <c r="G15" s="164"/>
      <c r="H15" s="12"/>
      <c r="I15" s="12"/>
      <c r="J15" s="163" t="s">
        <v>40</v>
      </c>
      <c r="K15" s="163"/>
      <c r="L15" s="12"/>
      <c r="M15" s="12"/>
      <c r="O15" s="69"/>
      <c r="P15" s="190" t="n">
        <v>0.5</v>
      </c>
      <c r="Q15" s="18">
        <f>P15*O15</f>
        <v>0</v>
      </c>
      <c r="R15" s="157">
        <f>IF($M$2="SI",Q15*$B$22/0.5*$S$1,Q15*$B$22/0.5*$S$2)</f>
        <v>0</v>
      </c>
      <c r="S15" s="173">
        <f>(1-R15)</f>
        <v>1</v>
      </c>
      <c r="T15" s="174">
        <f>R15*PRODUCT(S5:S14)*PRODUCT(S16:S19)</f>
        <v>0</v>
      </c>
      <c r="U15" s="174">
        <f>R15*R16*PRODUCT(S5:S14)*PRODUCT(S17:S19)+R15*R17*PRODUCT(S5:S14)*S16*PRODUCT(S18:S19)+R15*R18*PRODUCT(S5:S14)*S16*S17*S19+R15*R19*PRODUCT(S5:S14)*S16*S17*S18</f>
        <v>0</v>
      </c>
      <c r="W15" s="183" t="s">
        <v>71</v>
      </c>
      <c r="X15" s="17" t="s">
        <v>72</v>
      </c>
      <c r="Y15" s="71"/>
      <c r="Z15" s="191" t="n">
        <v>0.5</v>
      </c>
      <c r="AA15" s="21">
        <f>Z15*Y15</f>
        <v>0</v>
      </c>
      <c r="AB15" s="157">
        <f>IF($M$2="SI",AA15*$C$22/0.5*$S$1,AA15*$C$22/0.5*$S$2)</f>
        <v>0</v>
      </c>
      <c r="AC15" s="173">
        <f>(1-AB15)</f>
        <v>1</v>
      </c>
      <c r="AD15" s="174">
        <f>AB15*PRODUCT(AC5:AC14)*PRODUCT(AC16:AC19)</f>
        <v>0</v>
      </c>
      <c r="AE15" s="174">
        <f>AB15*AB16*PRODUCT(AC5:AC14)*PRODUCT(AC17:AC19)+AB15*AB17*PRODUCT(AC5:AC14)*AC16*PRODUCT(AC18:AC19)+AB15*AB18*PRODUCT(AC5:AC14)*AC16*AC17*AC19+AB15*AB19*PRODUCT(AC5:AC14)*AC16*AC17*AC18</f>
        <v>0</v>
      </c>
      <c r="AI15" s="155" t="n">
        <v>0</v>
      </c>
      <c r="BH15" t="n">
        <v>1</v>
      </c>
      <c r="BI15" t="n">
        <v>3</v>
      </c>
      <c r="BJ15" s="109">
        <f>$H$26*H42</f>
        <v>0.0680064043940389951</v>
      </c>
      <c r="BP15">
        <f>BP11+1</f>
        <v>5</v>
      </c>
      <c r="BQ15" t="n">
        <v>1</v>
      </c>
      <c r="BR15" s="109">
        <f>$H$30*H40</f>
        <v>0.00392512966033100064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 t="s">
        <v>35</v>
      </c>
      <c r="G16" s="164"/>
      <c r="H16" s="12"/>
      <c r="I16" s="12"/>
      <c r="J16" s="163" t="s">
        <v>2</v>
      </c>
      <c r="K16" s="163"/>
      <c r="L16" s="12"/>
      <c r="M16" s="12"/>
      <c r="O16" s="69"/>
      <c r="P16" s="190" t="n">
        <v>0.25</v>
      </c>
      <c r="Q16" s="18">
        <f>P16*O16</f>
        <v>0</v>
      </c>
      <c r="R16" s="157">
        <f>IF($M$2="SI",Q16*$B$22/0.5*$S$1,Q16*$B$22/0.5*$S$2)</f>
        <v>0</v>
      </c>
      <c r="S16" s="173">
        <f>(1-R16)</f>
        <v>1</v>
      </c>
      <c r="T16" s="174">
        <f>R16*PRODUCT(S5:S15)*PRODUCT(S17:S19)</f>
        <v>0</v>
      </c>
      <c r="U16" s="174">
        <f>R16*R17*PRODUCT(S5:S15)*PRODUCT(S18:S19)+R16*R18*PRODUCT(S5:S15)*S17*S19+R16*R19*PRODUCT(S5:S15)*S17*S18</f>
        <v>0</v>
      </c>
      <c r="W16" s="184" t="s">
        <v>75</v>
      </c>
      <c r="X16" s="17" t="s">
        <v>76</v>
      </c>
      <c r="Y16" s="71"/>
      <c r="Z16" s="191" t="n">
        <v>0.25</v>
      </c>
      <c r="AA16" s="21">
        <f>Z16*Y16</f>
        <v>0</v>
      </c>
      <c r="AB16" s="157">
        <f>IF($M$2="SI",AA16*$C$22/0.5*$S$1,AA16*$C$22/0.5*$S$2)</f>
        <v>0</v>
      </c>
      <c r="AC16" s="173">
        <f>(1-AB16)</f>
        <v>1</v>
      </c>
      <c r="AD16" s="174">
        <f>AB16*PRODUCT(AC5:AC15)*PRODUCT(AC17:AC19)</f>
        <v>0</v>
      </c>
      <c r="AE16" s="174">
        <f>AB16*AB17*PRODUCT(AC5:AC15)*PRODUCT(AC18:AC19)+AB16*AB18*PRODUCT(AC5:AC15)*AC17*AC19+AB16*AB19*PRODUCT(AC5:AC15)*AC17*AC18</f>
        <v>0</v>
      </c>
      <c r="AI16" s="155" t="n">
        <v>0</v>
      </c>
      <c r="BH16" t="n">
        <v>1</v>
      </c>
      <c r="BI16" t="n">
        <v>4</v>
      </c>
      <c r="BJ16" s="109">
        <f>$H$26*H43</f>
        <v>0.050639329471023995</v>
      </c>
      <c r="BP16">
        <f>BP12+1</f>
        <v>5</v>
      </c>
      <c r="BQ16" t="n">
        <v>2</v>
      </c>
      <c r="BR16" s="109">
        <f>$H$30*H41</f>
        <v>0.00682324480727300031</v>
      </c>
    </row>
    <row r="17" spans="1:70">
      <c r="A17" s="185" t="s">
        <v>77</v>
      </c>
      <c r="B17" s="169" t="s">
        <v>78</v>
      </c>
      <c r="C17" s="170" t="s">
        <v>78</v>
      </c>
      <c r="E17" s="189" t="s">
        <v>74</v>
      </c>
      <c r="F17" s="164" t="s">
        <v>35</v>
      </c>
      <c r="G17" s="164"/>
      <c r="H17" s="12"/>
      <c r="I17" s="12"/>
      <c r="J17" s="163"/>
      <c r="K17" s="163"/>
      <c r="L17" s="12"/>
      <c r="M17" s="12"/>
      <c r="O17" s="69">
        <f>(AI17*2)*IF(COUNTBLANK(F14:F15)&lt;&gt;0,(2-COUNTBLANK(F14:F15))/2,1)</f>
        <v>0.08</v>
      </c>
      <c r="P17" s="190" t="str">
        <f>P3</f>
        <v>0,6</v>
      </c>
      <c r="Q17" s="18">
        <f>P17*O17</f>
        <v>0.0479999999999999982</v>
      </c>
      <c r="R17" s="157">
        <f>IF($M$2="SI",Q17*$B$22/0.5*$S$1,Q17*$B$22/0.5*$S$2)</f>
        <v>0.0454736842105259953</v>
      </c>
      <c r="S17" s="173">
        <f>(1-R17)</f>
        <v>0.954526315789473934</v>
      </c>
      <c r="T17" s="174">
        <f>R17*PRODUCT(S5:S16)*PRODUCT(S18:S19)</f>
        <v>0.0316617992739540055</v>
      </c>
      <c r="U17" s="174">
        <f>R17*R18*PRODUCT(S5:S16)*S19+R17*R19*PRODUCT(S5:S16)*S18</f>
        <v>0</v>
      </c>
      <c r="W17" s="183" t="s">
        <v>79</v>
      </c>
      <c r="X17" s="17" t="s">
        <v>80</v>
      </c>
      <c r="Y17" s="71">
        <f>(AI17*2)*IF(COUNTBLANK(J14:J15)&lt;&gt;0,(2-COUNTBLANK(J14:J15))/2,1)</f>
        <v>0.08</v>
      </c>
      <c r="Z17" s="191" t="str">
        <f>Z3</f>
        <v>0,6</v>
      </c>
      <c r="AA17" s="21">
        <f>Z17*Y17</f>
        <v>0.0479999999999999982</v>
      </c>
      <c r="AB17" s="157">
        <f>IF($M$2="SI",AA17*$C$22/0.5*$S$1,AA17*$C$22/0.5*$S$2)</f>
        <v>0.0505263157894740011</v>
      </c>
      <c r="AC17" s="173">
        <f>(1-AB17)</f>
        <v>0.949473684210525981</v>
      </c>
      <c r="AD17" s="174">
        <f>AB17*PRODUCT(AC5:AC16)*PRODUCT(AC18:AC19)</f>
        <v>0.0239910470109749996</v>
      </c>
      <c r="AE17" s="174">
        <f>AB17*AB18*PRODUCT(AC5:AC16)*AC19+AB17*AB19*PRODUCT(AC5:AC16)*AC18</f>
        <v>0</v>
      </c>
      <c r="AI17" s="155" t="n">
        <v>0.04</v>
      </c>
      <c r="BH17" t="n">
        <v>1</v>
      </c>
      <c r="BI17" t="n">
        <v>5</v>
      </c>
      <c r="BJ17" s="109">
        <f>$H$26*H44</f>
        <v>0.0276124105384649976</v>
      </c>
      <c r="BP17">
        <f>BP13+1</f>
        <v>5</v>
      </c>
      <c r="BQ17" t="n">
        <v>3</v>
      </c>
      <c r="BR17" s="109">
        <f>$H$30*H42</f>
        <v>0.00733961937551800059</v>
      </c>
    </row>
    <row r="18" spans="1:70">
      <c r="A18" s="185" t="s">
        <v>81</v>
      </c>
      <c r="B18" s="169" t="n">
        <v>20</v>
      </c>
      <c r="C18" s="170" t="n">
        <v>20</v>
      </c>
      <c r="E18" s="189" t="s">
        <v>74</v>
      </c>
      <c r="F18" s="164" t="s">
        <v>35</v>
      </c>
      <c r="G18" s="164"/>
      <c r="H18" s="12"/>
      <c r="I18" s="12"/>
      <c r="J18" s="163" t="s">
        <v>2</v>
      </c>
      <c r="K18" s="163"/>
      <c r="L18" s="12"/>
      <c r="M18" s="12"/>
      <c r="O18" s="69">
        <f>IF(COUNTIF(F14:F18,"CAB")&gt;0,(AI18*2)*IF(COUNTBLANK(F14:F15)&lt;&gt;0,(2-COUNTBLANK(F14:F15))/2,1),0)</f>
        <v>0</v>
      </c>
      <c r="P18" s="190" t="n">
        <v>0.95</v>
      </c>
      <c r="Q18" s="18">
        <f>P18*O18</f>
        <v>0</v>
      </c>
      <c r="R18" s="157">
        <f>IF($M$2="SI",Q18*$B$22/0.5*$S$1,Q18*$B$22/0.5*$S$2)</f>
        <v>0</v>
      </c>
      <c r="S18" s="173">
        <f>(1-R18)</f>
        <v>1</v>
      </c>
      <c r="T18" s="174">
        <f>R18*PRODUCT(S5:S17)*PRODUCT(S19)</f>
        <v>0</v>
      </c>
      <c r="U18" s="174">
        <f>R18*R19*PRODUCT(S5:S17)</f>
        <v>0</v>
      </c>
      <c r="W18" s="183" t="s">
        <v>82</v>
      </c>
      <c r="X18" s="17" t="s">
        <v>83</v>
      </c>
      <c r="Y18" s="71">
        <f>IF(COUNTIF(J14:J18,"CAB")&gt;0,(AI18*2)*IF(COUNTBLANK(J14:J15)&lt;&gt;0,(2-COUNTBLANK(J14:J15))/2,1),0)</f>
        <v>0</v>
      </c>
      <c r="Z18" s="191" t="n">
        <v>0.95</v>
      </c>
      <c r="AA18" s="21">
        <f>Z18*Y18</f>
        <v>0</v>
      </c>
      <c r="AB18" s="157">
        <f>IF($M$2="SI",AA18*$C$22/0.5*$S$1,AA18*$C$22/0.5*$S$2)</f>
        <v>0</v>
      </c>
      <c r="AC18" s="173">
        <f>(1-AB18)</f>
        <v>1</v>
      </c>
      <c r="AD18" s="174">
        <f>AB18*PRODUCT(AC5:AC17)*PRODUCT(AC19)</f>
        <v>0</v>
      </c>
      <c r="AE18" s="174">
        <f>AB18*AB19*PRODUCT(AC5:AC17)</f>
        <v>0</v>
      </c>
      <c r="AI18" s="155" t="n">
        <v>0.04</v>
      </c>
      <c r="BH18" t="n">
        <v>1</v>
      </c>
      <c r="BI18" t="n">
        <v>6</v>
      </c>
      <c r="BJ18" s="109">
        <f>$H$26*H45</f>
        <v>0.0113500735830869992</v>
      </c>
      <c r="BP18">
        <f>BL8+1</f>
        <v>5</v>
      </c>
      <c r="BQ18" t="n">
        <v>4</v>
      </c>
      <c r="BR18" s="109">
        <f>$H$30*H43</f>
        <v>0.0054652706176789998</v>
      </c>
    </row>
    <row r="19" spans="8:70">
      <c r="H19" s="15" t="s">
        <v>161</v>
      </c>
      <c r="L19" s="15" t="s">
        <v>161</v>
      </c>
      <c r="O19" s="69">
        <f>IF(AND(F14="TEC",J10="CAB"),AI19,IF(AND(F15="TEC",J6="CAB"),AI19,IF(AND(OR(F16="TEC",F17="TEC",F18="TEC"),OR(J7="CAB",J8="CAB",J9="CAB")),AI19,IF(AND(OR(F11="TEC",F12="TEC",F13="TEC"),OR(J11="CAB",J12="CAB",J13="CAB")),AI19,0))))</f>
        <v>0</v>
      </c>
      <c r="P19" s="190" t="str">
        <f>P3</f>
        <v>0,6</v>
      </c>
      <c r="Q19" s="18">
        <f>P19*O19</f>
        <v>0</v>
      </c>
      <c r="R19" s="157">
        <f>IF($M$2="SI",Q19*$B$22/0.5*$S$1,Q19*$B$22/0.5*$S$2)</f>
        <v>0</v>
      </c>
      <c r="S19" s="175">
        <f>(1-R19)</f>
        <v>1</v>
      </c>
      <c r="T19" s="176">
        <f>R19*PRODUCT(S5:S18)</f>
        <v>0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IF(AND(J14="TEC",F10="CAB"),AI19,IF(AND(J15="TEC",F6="CAB"),AI19,IF(AND(OR(J16="TEC",J17="TEC",J18="TEC"),OR(F7="CAB",F8="CAB",F9="CAB")),AI19,IF(AND(OR(J11="TEC",J12="TEC",J13="TEC"),OR(F11="CAB",F12="CAB",F13="CAB")),AI19,0))))</f>
        <v>0</v>
      </c>
      <c r="Z19" s="191" t="str">
        <f>Z3</f>
        <v>0,6</v>
      </c>
      <c r="AA19" s="21">
        <f>Z19*Y19</f>
        <v>0</v>
      </c>
      <c r="AB19" s="157">
        <f>IF($M$2="SI",AA19*$C$22/0.5*$S$1,AA19*$C$22/0.5*$S$2)</f>
        <v>0</v>
      </c>
      <c r="AC19" s="175">
        <f>(1-AB19)</f>
        <v>1</v>
      </c>
      <c r="AD19" s="176">
        <f>AB19*PRODUCT(AC5:AC18)</f>
        <v>0</v>
      </c>
      <c r="AE19" s="176" t="n">
        <v>0</v>
      </c>
      <c r="AF19" s="3" t="s">
        <v>85</v>
      </c>
      <c r="AI19" s="155" t="n">
        <v>0.06</v>
      </c>
      <c r="BH19" t="n">
        <v>1</v>
      </c>
      <c r="BI19" t="n">
        <v>7</v>
      </c>
      <c r="BJ19" s="109">
        <f>$H$26*H46</f>
        <v>0.00355907743843999969</v>
      </c>
      <c r="BP19">
        <f>BP15+1</f>
        <v>6</v>
      </c>
      <c r="BQ19" t="n">
        <v>1</v>
      </c>
      <c r="BR19" s="109">
        <f>$H$31*H40</f>
        <v>0.000982838575890999877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>
        <f>PRODUCT(S5:S19)</f>
        <v>0.664604619944940023</v>
      </c>
      <c r="T20" s="178">
        <f>SUM(T5:T19)</f>
        <v>0.280428665691331993</v>
      </c>
      <c r="U20" s="178">
        <f>SUM(U5:U19)</f>
        <v>0.0498216275171209944</v>
      </c>
      <c r="V20" s="178">
        <f>1-S20-T20-U20</f>
        <v>0.00514508684660699966</v>
      </c>
      <c r="W20" s="23"/>
      <c r="X20" s="24"/>
      <c r="Y20" s="24"/>
      <c r="Z20" s="24"/>
      <c r="AA20" s="24"/>
      <c r="AB20" s="25"/>
      <c r="AC20" s="181">
        <f>PRODUCT(AC5:AC19)</f>
        <v>0.450831758414561001</v>
      </c>
      <c r="AD20" s="178">
        <f>SUM(AD5:AD19)</f>
        <v>0.38473261229021599</v>
      </c>
      <c r="AE20" s="178">
        <f>SUM(AE5:AE19)</f>
        <v>0.135765779679557008</v>
      </c>
      <c r="AF20" s="178">
        <f>1-AC20-AD20-AE20</f>
        <v>0.028669849615666001</v>
      </c>
      <c r="BH20" t="n">
        <v>1</v>
      </c>
      <c r="BI20" t="n">
        <v>8</v>
      </c>
      <c r="BJ20" s="109">
        <f>$H$26*H47</f>
        <v>0.00085014425352500016</v>
      </c>
      <c r="BP20">
        <f>BP16+1</f>
        <v>6</v>
      </c>
      <c r="BQ20" t="n">
        <v>2</v>
      </c>
      <c r="BR20" s="109">
        <f>$H$31*H41</f>
        <v>0.00170851635223900011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S21" s="179">
        <f>1-T21-U21-V21</f>
        <v>0.664604619944940023</v>
      </c>
      <c r="T21" s="180">
        <f>T20*U2</f>
        <v>0.280428665691331993</v>
      </c>
      <c r="U21" s="180">
        <f>U20*U2</f>
        <v>0.0498216275171209944</v>
      </c>
      <c r="V21" s="180">
        <f>V20*U2</f>
        <v>0.00514508684660699966</v>
      </c>
      <c r="W21" s="23"/>
      <c r="X21" s="24"/>
      <c r="Y21" s="24"/>
      <c r="Z21" s="24"/>
      <c r="AA21" s="24"/>
      <c r="AB21" s="25"/>
      <c r="AC21" s="182">
        <f>1-AD21-AE21-AF21</f>
        <v>0.450831758414561001</v>
      </c>
      <c r="AD21" s="180">
        <f>AD20*AE2</f>
        <v>0.38473261229021599</v>
      </c>
      <c r="AE21" s="180">
        <f>AE20*AE2</f>
        <v>0.135765779679557008</v>
      </c>
      <c r="AF21" s="180">
        <f>AF20*AE2</f>
        <v>0.028669849615666001</v>
      </c>
      <c r="BH21" s="20" t="n">
        <v>1</v>
      </c>
      <c r="BI21" t="n">
        <v>9</v>
      </c>
      <c r="BJ21" s="109">
        <f>$H$26*H48</f>
        <v>0.000152479601790999997</v>
      </c>
      <c r="BP21">
        <f>BP17+1</f>
        <v>6</v>
      </c>
      <c r="BQ21" t="n">
        <v>3</v>
      </c>
      <c r="BR21" s="109">
        <f>$H$31*H42</f>
        <v>0.00183781471667500007</v>
      </c>
    </row>
    <row r="22" spans="1:70">
      <c r="A22" s="28" t="s">
        <v>90</v>
      </c>
      <c r="B22" s="64">
        <f>(B6)/((B6)+(C6))</f>
        <v>0.473684210526316019</v>
      </c>
      <c r="C22" s="65">
        <f>1-B22</f>
        <v>0.526315789473683981</v>
      </c>
      <c r="D22" s="26"/>
      <c r="E22" s="26"/>
      <c r="V22" s="61">
        <f>SUM(V25:V35)</f>
        <v>1</v>
      </c>
      <c r="AS22" s="84">
        <f>Y23+AA23+AC23+AE23+AG23+AI23+AK23+AM23+AO23+AQ23+AS23</f>
        <v>1.00000000000000999</v>
      </c>
      <c r="BH22" t="n">
        <v>1</v>
      </c>
      <c r="BI22" t="n">
        <v>10</v>
      </c>
      <c r="BJ22" s="109">
        <f>$H$26*H49</f>
        <v>0.0000199197268490000035</v>
      </c>
      <c r="BP22">
        <f>BP18+1</f>
        <v>6</v>
      </c>
      <c r="BQ22" t="n">
        <v>4</v>
      </c>
      <c r="BR22" s="109">
        <f>$H$31*H43</f>
        <v>0.00136848442104300028</v>
      </c>
    </row>
    <row r="23" spans="1:70">
      <c r="A23" s="42" t="s">
        <v>91</v>
      </c>
      <c r="B23" s="58">
        <f>((B22^2.8)/((B22^2.8)+(C22^2.8)))*B21</f>
        <v>2.13388958495499015</v>
      </c>
      <c r="C23" s="59">
        <f>B21-B23</f>
        <v>2.86611041504500985</v>
      </c>
      <c r="D23" s="151">
        <f>SUM(D25:D30)</f>
        <v>1</v>
      </c>
      <c r="E23" s="151">
        <f>SUM(E25:E30)</f>
        <v>1</v>
      </c>
      <c r="H23" s="61">
        <f>SUM(H25:H35)</f>
        <v>0.999999891802326957</v>
      </c>
      <c r="J23" s="61">
        <f>SUM(J25:J35)</f>
        <v>1.00000000000000999</v>
      </c>
      <c r="K23" s="61"/>
      <c r="L23" s="61">
        <f>SUM(L25:L35)</f>
        <v>1</v>
      </c>
      <c r="N23" s="61">
        <f>SUM(N25:N35)</f>
        <v>1</v>
      </c>
      <c r="O23" s="36"/>
      <c r="P23" s="61">
        <f>SUM(P25:P35)</f>
        <v>1</v>
      </c>
      <c r="R23" s="61">
        <f>SUM(R25:R35)</f>
        <v>1</v>
      </c>
      <c r="T23" s="61">
        <f>SUM(T25:T35)</f>
        <v>1</v>
      </c>
      <c r="V23" s="61">
        <f>SUM(V25:V34)</f>
        <v>0.999758135656696112</v>
      </c>
      <c r="Y23" s="82">
        <f>SUM(Y25:Y35)</f>
        <v>0.00377310048834000034</v>
      </c>
      <c r="Z23" s="83"/>
      <c r="AA23" s="82">
        <f>SUM(AA25:AA35)</f>
        <v>0.0281485405799640009</v>
      </c>
      <c r="AB23" s="83"/>
      <c r="AC23" s="82">
        <f>SUM(AC25:AC35)</f>
        <v>0.0945409652110249965</v>
      </c>
      <c r="AD23" s="83"/>
      <c r="AE23" s="82">
        <f>SUM(AE25:AE35)</f>
        <v>0.188281132387831018</v>
      </c>
      <c r="AF23" s="83"/>
      <c r="AG23" s="82">
        <f>SUM(AG25:AG35)</f>
        <v>0.246287570912907006</v>
      </c>
      <c r="AH23" s="83"/>
      <c r="AI23" s="82">
        <f>SUM(AI25:AI35)</f>
        <v>0.221201891621642988</v>
      </c>
      <c r="AJ23" s="83"/>
      <c r="AK23" s="82">
        <f>SUM(AK25:AK35)</f>
        <v>0.13825350881017</v>
      </c>
      <c r="AL23" s="83"/>
      <c r="AM23" s="82">
        <f>SUM(AM25:AM35)</f>
        <v>0.0594670026595029988</v>
      </c>
      <c r="AN23" s="83"/>
      <c r="AO23" s="82">
        <f>SUM(AO25:AO35)</f>
        <v>0.0169061722641150025</v>
      </c>
      <c r="AP23" s="83"/>
      <c r="AQ23" s="82">
        <f>SUM(AQ25:AQ35)</f>
        <v>0.00289825072120500025</v>
      </c>
      <c r="AR23" s="83"/>
      <c r="AS23" s="82">
        <f>SUM(AS25:AS35)</f>
        <v>0.000241864343302999929</v>
      </c>
      <c r="BH23">
        <f>BH15+1</f>
        <v>2</v>
      </c>
      <c r="BI23" t="n">
        <v>3</v>
      </c>
      <c r="BJ23" s="109">
        <f>$H$27*H42</f>
        <v>0.0730687155915359909</v>
      </c>
      <c r="BP23">
        <f>BL9+1</f>
        <v>6</v>
      </c>
      <c r="BQ23" t="n">
        <v>5</v>
      </c>
      <c r="BR23" s="109">
        <f>$H$31*H44</f>
        <v>0.000746201698246000156</v>
      </c>
    </row>
    <row r="24" spans="1:70">
      <c r="A24" s="28" t="s">
        <v>92</v>
      </c>
      <c r="B24" s="66">
        <f>B23/B21</f>
        <v>0.42677791699099803</v>
      </c>
      <c r="C24" s="67">
        <f>C23/B21</f>
        <v>0.57322208300900197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>
        <f>$H$27*H43</f>
        <v>0.0544088574573819983</v>
      </c>
      <c r="BP24">
        <f>BH49+1</f>
        <v>7</v>
      </c>
      <c r="BQ24" t="n">
        <v>0</v>
      </c>
      <c r="BR24" s="109">
        <f>$H$32*H39</f>
        <v>0.0000503490135499999969</v>
      </c>
    </row>
    <row r="25" spans="1:70">
      <c r="A25" s="28" t="s">
        <v>117</v>
      </c>
      <c r="B25" s="119">
        <f>1/(1+EXP(-3.1416*4*((B11/(B11+C8))-(3.1416/6))))</f>
        <v>0.328396362560279975</v>
      </c>
      <c r="C25" s="120">
        <f>1/(1+EXP(-3.1416*4*((C11/(C11+B8))-(3.1416/6))))</f>
        <v>0.339355635237335962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>
        <f>L25*J25</f>
        <v>0.117295540820990007</v>
      </c>
      <c r="I25" s="99" t="n">
        <v>0</v>
      </c>
      <c r="J25" s="100">
        <f>Y25+AA25+AC25+AE25+AG25+AI25+AK25+AM25+AO25+AQ25+AS25</f>
        <v>0.176489204710475001</v>
      </c>
      <c r="K25" s="99" t="n">
        <v>0</v>
      </c>
      <c r="L25" s="100">
        <f>S21</f>
        <v>0.664604619944940023</v>
      </c>
      <c r="M25" s="86" t="n">
        <v>0</v>
      </c>
      <c r="N25" s="73">
        <f>(1-$B$24)^$B$21</f>
        <v>0.061889156665254994</v>
      </c>
      <c r="O25" s="72" t="n">
        <v>0</v>
      </c>
      <c r="P25" s="73">
        <f>N25</f>
        <v>0.061889156665254994</v>
      </c>
      <c r="Q25" s="14" t="n">
        <v>0</v>
      </c>
      <c r="R25" s="75">
        <f>P25*N25</f>
        <v>0.00383026771273599955</v>
      </c>
      <c r="S25" s="72" t="n">
        <v>0</v>
      </c>
      <c r="T25" s="135">
        <f>(1-$B$33)^(INT(C23*2*(1-C31)))</f>
        <v>0.985074875000000105</v>
      </c>
      <c r="U25" s="140" t="n">
        <v>0</v>
      </c>
      <c r="V25" s="88">
        <f>R25*T25</f>
        <v>0.00377310048834000034</v>
      </c>
      <c r="W25" s="136">
        <f>B31</f>
        <v>0.372021838342906985</v>
      </c>
      <c r="X25" s="14" t="n">
        <v>0</v>
      </c>
      <c r="Y25" s="81">
        <f>V25</f>
        <v>0.00377310048834000034</v>
      </c>
      <c r="Z25" s="14" t="n">
        <v>0</v>
      </c>
      <c r="AA25" s="80">
        <f>((1-W25)^Z26)*V26</f>
        <v>0.0176766687667360012</v>
      </c>
      <c r="AB25" s="14" t="n">
        <v>0</v>
      </c>
      <c r="AC25" s="81">
        <f>(((1-$W$25)^AB27))*V27</f>
        <v>0.0372828509086430016</v>
      </c>
      <c r="AD25" s="14" t="n">
        <v>0</v>
      </c>
      <c r="AE25" s="81">
        <f>(((1-$W$25)^AB28))*V28</f>
        <v>0.0466273168670039961</v>
      </c>
      <c r="AF25" s="14" t="n">
        <v>0</v>
      </c>
      <c r="AG25" s="81">
        <f>(((1-$W$25)^AB29))*V29</f>
        <v>0.0383019301489049937</v>
      </c>
      <c r="AH25" s="14" t="n">
        <v>0</v>
      </c>
      <c r="AI25" s="81">
        <f>(((1-$W$25)^AB30))*V30</f>
        <v>0.0216028744774689985</v>
      </c>
      <c r="AJ25" s="14" t="n">
        <v>0</v>
      </c>
      <c r="AK25" s="81">
        <f>(((1-$W$25)^AB31))*V31</f>
        <v>0.00847897606077100008</v>
      </c>
      <c r="AL25" s="14" t="n">
        <v>0</v>
      </c>
      <c r="AM25" s="81">
        <f>(((1-$W$25)^AB32))*V32</f>
        <v>0.00229027607877299966</v>
      </c>
      <c r="AN25" s="14" t="n">
        <v>0</v>
      </c>
      <c r="AO25" s="81">
        <f>(((1-$W$25)^AB33))*V33</f>
        <v>0.000408885414467000086</v>
      </c>
      <c r="AP25" s="14" t="n">
        <v>0</v>
      </c>
      <c r="AQ25" s="81">
        <f>(((1-$W$25)^AB34))*V34</f>
        <v>0.0000440186605069999981</v>
      </c>
      <c r="AR25" s="14" t="n">
        <v>0</v>
      </c>
      <c r="AS25" s="81">
        <f>(((1-$W$25)^AB35))*V35</f>
        <v>2.306838860364527004E-06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>
        <f>$H$27*H44</f>
        <v>0.0296678436451589977</v>
      </c>
      <c r="BP25">
        <f>BP19+1</f>
        <v>7</v>
      </c>
      <c r="BQ25" t="n">
        <v>1</v>
      </c>
      <c r="BR25" s="109">
        <f>$H$32*H40</f>
        <v>0.000187896420372999984</v>
      </c>
    </row>
    <row r="26" spans="1:70">
      <c r="A26" s="42" t="s">
        <v>118</v>
      </c>
      <c r="B26" s="121">
        <f>1/(1+EXP(-3.1416*4*((B10/(B10+C9))-(3.1416/6))))</f>
        <v>0.328396362560279975</v>
      </c>
      <c r="C26" s="120">
        <f>1/(1+EXP(-3.1416*4*((C10/(C10+B9))-(3.1416/6))))</f>
        <v>0.339355635237335962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>
        <f>L25*J26+L26*J25</f>
        <v>0.271527966099136986</v>
      </c>
      <c r="I26" s="95" t="n">
        <v>1</v>
      </c>
      <c r="J26" s="88">
        <f>Y26+AA26+AC26+AE26+AG26+AI26+AK26+AM26+AO26+AQ26+AS26</f>
        <v>0.334086353374505984</v>
      </c>
      <c r="K26" s="95" t="n">
        <v>1</v>
      </c>
      <c r="L26" s="88">
        <f>T21</f>
        <v>0.280428665691331993</v>
      </c>
      <c r="M26" s="87" t="n">
        <v>1</v>
      </c>
      <c r="N26" s="73">
        <f>(($B$24)^M26)*((1-($B$24))^($B$21-M26))*HLOOKUP($B$21,$AV$24:$BF$34,M26+1)</f>
        <v>0.230389984517680002</v>
      </c>
      <c r="O26" s="74" t="n">
        <v>1</v>
      </c>
      <c r="P26" s="73">
        <f>N26</f>
        <v>0.230389984517680002</v>
      </c>
      <c r="Q26" s="30" t="n">
        <v>1</v>
      </c>
      <c r="R26" s="39">
        <f>N26*P25+P26*N25</f>
        <v>0.028517283691840003</v>
      </c>
      <c r="S26" s="74" t="n">
        <v>1</v>
      </c>
      <c r="T26" s="135">
        <f>(($B$33)^S26)*((1-($B$33))^(INT($C$23*2*(1-$C$31))-S26))*HLOOKUP(INT($C$23*2*(1-$C$31)),$AV$24:$BF$34,S26+1)</f>
        <v>0.0148503750000000023</v>
      </c>
      <c r="U26" s="95" t="n">
        <v>1</v>
      </c>
      <c r="V26" s="88">
        <f>R26*T25+T26*R25</f>
        <v>0.0281485405799640009</v>
      </c>
      <c r="W26" s="137"/>
      <c r="X26" s="30" t="n">
        <v>1</v>
      </c>
      <c r="Y26" s="75"/>
      <c r="Z26" s="30" t="n">
        <v>1</v>
      </c>
      <c r="AA26" s="81">
        <f>(1-((1-W25)^Z26))*V26</f>
        <v>0.0104718718132279998</v>
      </c>
      <c r="AB26" s="30" t="n">
        <v>1</v>
      </c>
      <c r="AC26" s="81">
        <f>((($W$25)^M26)*((1-($W$25))^($U$27-M26))*HLOOKUP($U$27,$AV$24:$BF$34,M26+1))*V27</f>
        <v>0.0441736212517269955</v>
      </c>
      <c r="AD26" s="30" t="n">
        <v>1</v>
      </c>
      <c r="AE26" s="81">
        <f>((($W$25)^M26)*((1-($W$25))^($U$28-M26))*HLOOKUP($U$28,$AV$24:$BF$34,M26+1))*V28</f>
        <v>0.0828677549490899956</v>
      </c>
      <c r="AF26" s="30" t="n">
        <v>1</v>
      </c>
      <c r="AG26" s="81">
        <f>((($W$25)^M26)*((1-($W$25))^($U$29-M26))*HLOOKUP($U$29,$AV$24:$BF$34,M26+1))*V29</f>
        <v>0.0907621018442850058</v>
      </c>
      <c r="AH26" s="30" t="n">
        <v>1</v>
      </c>
      <c r="AI26" s="81">
        <f>((($W$25)^M26)*((1-($W$25))^($U$30-M26))*HLOOKUP($U$30,$AV$24:$BF$34,M26+1))*V30</f>
        <v>0.063989017192829003</v>
      </c>
      <c r="AJ26" s="30" t="n">
        <v>1</v>
      </c>
      <c r="AK26" s="81">
        <f>((($W$25)^M26)*((1-($W$25))^($U$31-M26))*HLOOKUP($U$31,$AV$24:$BF$34,M26+1))*V31</f>
        <v>0.0301382862079460034</v>
      </c>
      <c r="AL26" s="30" t="n">
        <v>1</v>
      </c>
      <c r="AM26" s="81">
        <f>((($W$25)^Q26)*((1-($W$25))^($U$32-Q26))*HLOOKUP($U$32,$AV$24:$BF$34,Q26+1))*V32</f>
        <v>0.00949751023861599997</v>
      </c>
      <c r="AN26" s="30" t="n">
        <v>1</v>
      </c>
      <c r="AO26" s="81">
        <f>((($W$25)^Q26)*((1-($W$25))^($U$33-Q26))*HLOOKUP($U$33,$AV$24:$BF$34,Q26+1))*V33</f>
        <v>0.00193782921571799989</v>
      </c>
      <c r="AP26" s="30" t="n">
        <v>1</v>
      </c>
      <c r="AQ26" s="81">
        <f>((($W$25)^Q26)*((1-($W$25))^($U$34-Q26))*HLOOKUP($U$34,$AV$24:$BF$34,Q26+1))*V34</f>
        <v>0.000234694669381000054</v>
      </c>
      <c r="AR26" s="30" t="n">
        <v>1</v>
      </c>
      <c r="AS26" s="81">
        <f>((($W$25)^Q26)*((1-($W$25))^($U$35-Q26))*HLOOKUP($U$35,$AV$24:$BF$34,Q26+1))*V35</f>
        <v>0.0000136659916859999986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>
        <f>$H$27*H45</f>
        <v>0.012194958783298</v>
      </c>
      <c r="BP26">
        <f>BP20+1</f>
        <v>7</v>
      </c>
      <c r="BQ26" t="n">
        <v>2</v>
      </c>
      <c r="BR26" s="109">
        <f>$H$32*H41</f>
        <v>0.000326629534706000024</v>
      </c>
    </row>
    <row r="27" spans="1:70">
      <c r="A27" s="28" t="s">
        <v>119</v>
      </c>
      <c r="B27" s="121">
        <f>1/(1+EXP(-3.1416*4*((B12/(B12+C7))-(3.1416/6))))</f>
        <v>0.328396362560279975</v>
      </c>
      <c r="C27" s="120">
        <f>1/(1+EXP(-3.1416*4*((C12/(C12+B7))-(3.1416/6))))</f>
        <v>0.339355635237335962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>
        <f>L25*J27+J26*L26+J25*L27</f>
        <v>0.29174016633917601</v>
      </c>
      <c r="I27" s="95" t="n">
        <v>2</v>
      </c>
      <c r="J27" s="88">
        <f>Y27+AA27+AC27+AE27+AG27+AI27+AK27+AM27+AO27+AQ27+AS27</f>
        <v>0.28477051007331502</v>
      </c>
      <c r="K27" s="95" t="n">
        <v>2</v>
      </c>
      <c r="L27" s="88">
        <f>U21</f>
        <v>0.0498216275171209944</v>
      </c>
      <c r="M27" s="87" t="n">
        <v>2</v>
      </c>
      <c r="N27" s="73">
        <f>(($B$24)^M27)*((1-($B$24))^($B$21-M27))*HLOOKUP($B$21,$AV$24:$BF$34,M27+1)</f>
        <v>0.343062001979780007</v>
      </c>
      <c r="O27" s="74" t="n">
        <v>2</v>
      </c>
      <c r="P27" s="73">
        <f>N27</f>
        <v>0.343062001979780007</v>
      </c>
      <c r="Q27" s="30" t="n">
        <v>2</v>
      </c>
      <c r="R27" s="39">
        <f>P25*N27+P26*N26+P27*N25</f>
        <v>0.0955431809389030029</v>
      </c>
      <c r="S27" s="74" t="n">
        <v>2</v>
      </c>
      <c r="T27" s="135">
        <f>(($B$33)^S27)*((1-($B$33))^(INT($C$23*2*(1-$C$31))-S27))*HLOOKUP(INT($C$23*2*(1-$C$31)),$AV$24:$BF$34,S27+1)</f>
        <v>0.0000746249999999999947</v>
      </c>
      <c r="U27" s="95" t="n">
        <v>2</v>
      </c>
      <c r="V27" s="88">
        <f>R27*T25+T26*R26+R25*T27</f>
        <v>0.0945409652110249965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>
        <f>((($W$25)^M27)*((1-($W$25))^($U$27-M27))*HLOOKUP($U$27,$AV$24:$BF$34,M27+1))*V27</f>
        <v>0.0130844930506549995</v>
      </c>
      <c r="AD27" s="30" t="n">
        <v>2</v>
      </c>
      <c r="AE27" s="81">
        <f>((($W$25)^M27)*((1-($W$25))^($U$28-M27))*HLOOKUP($U$28,$AV$24:$BF$34,M27+1))*V28</f>
        <v>0.0490918576756870007</v>
      </c>
      <c r="AF27" s="30" t="n">
        <v>2</v>
      </c>
      <c r="AG27" s="81">
        <f>((($W$25)^M27)*((1-($W$25))^($U$29-M27))*HLOOKUP($U$29,$AV$24:$BF$34,M27+1))*V29</f>
        <v>0.0806528460103080036</v>
      </c>
      <c r="AH27" s="30" t="n">
        <v>2</v>
      </c>
      <c r="AI27" s="81">
        <f>((($W$25)^M27)*((1-($W$25))^($U$30-M27))*HLOOKUP($U$30,$AV$24:$BF$34,M27+1))*V30</f>
        <v>0.075815731384718994</v>
      </c>
      <c r="AJ27" s="30" t="n">
        <v>2</v>
      </c>
      <c r="AK27" s="81">
        <f>((($W$25)^M27)*((1-($W$25))^($U$31-M27))*HLOOKUP($U$31,$AV$24:$BF$34,M27+1))*V31</f>
        <v>0.0446357107785340013</v>
      </c>
      <c r="AL27" s="30" t="n">
        <v>2</v>
      </c>
      <c r="AM27" s="81">
        <f>((($W$25)^Q27)*((1-($W$25))^($U$32-Q27))*HLOOKUP($U$32,$AV$24:$BF$34,Q27+1))*V32</f>
        <v>0.0168793189049470005</v>
      </c>
      <c r="AN27" s="30" t="n">
        <v>2</v>
      </c>
      <c r="AO27" s="81">
        <f>((($W$25)^Q27)*((1-($W$25))^($U$33-Q27))*HLOOKUP($U$33,$AV$24:$BF$34,Q27+1))*V33</f>
        <v>0.00401797691281700065</v>
      </c>
      <c r="AP27" s="30" t="n">
        <v>2</v>
      </c>
      <c r="AQ27" s="81">
        <f>((($W$25)^Q27)*((1-($W$25))^($U$34-Q27))*HLOOKUP($U$34,$AV$24:$BF$34,Q27+1))*V34</f>
        <v>0.000556143813167000012</v>
      </c>
      <c r="AR27" s="30" t="n">
        <v>2</v>
      </c>
      <c r="AS27" s="81">
        <f>((($W$25)^Q27)*((1-($W$25))^($U$35-Q27))*HLOOKUP($U$35,$AV$24:$BF$34,Q27+1))*V35</f>
        <v>0.000036431542481000001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>
        <f>$H$27*H46</f>
        <v>0.00382401068597600045</v>
      </c>
      <c r="BP27">
        <f>BP21+1</f>
        <v>7</v>
      </c>
      <c r="BQ27" t="n">
        <v>3</v>
      </c>
      <c r="BR27" s="109">
        <f>$H$32*H42</f>
        <v>0.000351348446268000014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>
        <f>J28*L25+J27*L26+L28*J25+L27*J26</f>
        <v>0.193094542384283017</v>
      </c>
      <c r="I28" s="95" t="n">
        <v>3</v>
      </c>
      <c r="J28" s="88">
        <f>Y28+AA28+AC28+AE28+AG28+AI28+AK28+AM28+AO28+AQ28+AS28</f>
        <v>0.143971238240878012</v>
      </c>
      <c r="K28" s="95" t="n">
        <v>3</v>
      </c>
      <c r="L28" s="88">
        <f>V21</f>
        <v>0.00514508684660699966</v>
      </c>
      <c r="M28" s="87" t="n">
        <v>3</v>
      </c>
      <c r="N28" s="73">
        <f>(($B$24)^M28)*((1-($B$24))^($B$21-M28))*HLOOKUP($B$21,$AV$24:$BF$34,M28+1)</f>
        <v>0.255418084793829969</v>
      </c>
      <c r="O28" s="74" t="n">
        <v>3</v>
      </c>
      <c r="P28" s="73">
        <f>N28</f>
        <v>0.255418084793829969</v>
      </c>
      <c r="Q28" s="30" t="n">
        <v>3</v>
      </c>
      <c r="R28" s="39">
        <f>P25*N28+P26*N27+P27*N26+P28*N25</f>
        <v>0.189691318379342011</v>
      </c>
      <c r="S28" s="74" t="n">
        <v>3</v>
      </c>
      <c r="T28" s="135">
        <f>(($B$33)^S28)*((1-($B$33))^(INT($C$23*2*(1-$C$31))-S28))*HLOOKUP(INT($C$23*2*(1-$C$31)),$AV$24:$BF$34,S28+1)</f>
        <v>1.249999999999999943E-07</v>
      </c>
      <c r="U28" s="95" t="n">
        <v>3</v>
      </c>
      <c r="V28" s="88">
        <f>R28*T25+R27*T26+R26*T27+R25*T28</f>
        <v>0.188281132387831018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>
        <f>((($W$25)^M28)*((1-($W$25))^($U$28-M28))*HLOOKUP($U$28,$AV$24:$BF$34,M28+1))*V28</f>
        <v>0.0096942028960499993</v>
      </c>
      <c r="AF28" s="30" t="n">
        <v>3</v>
      </c>
      <c r="AG28" s="81">
        <f>((($W$25)^M28)*((1-($W$25))^($U$29-M28))*HLOOKUP($U$29,$AV$24:$BF$34,M28+1))*V29</f>
        <v>0.0318531459344240053</v>
      </c>
      <c r="AH28" s="30" t="n">
        <v>3</v>
      </c>
      <c r="AI28" s="81">
        <f>((($W$25)^M28)*((1-($W$25))^($U$30-M28))*HLOOKUP($U$30,$AV$24:$BF$34,M28+1))*V30</f>
        <v>0.0449141538467339974</v>
      </c>
      <c r="AJ28" s="30" t="n">
        <v>3</v>
      </c>
      <c r="AK28" s="81">
        <f>((($W$25)^M28)*((1-($W$25))^($U$31-M28))*HLOOKUP($U$31,$AV$24:$BF$34,M28+1))*V31</f>
        <v>0.0352569780149770029</v>
      </c>
      <c r="AL28" s="30" t="n">
        <v>3</v>
      </c>
      <c r="AM28" s="81">
        <f>((($W$25)^Q28)*((1-($W$25))^($U$32-Q28))*HLOOKUP($U$32,$AV$24:$BF$34,Q28+1))*V32</f>
        <v>0.0166658535609599978</v>
      </c>
      <c r="AN28" s="30" t="n">
        <v>3</v>
      </c>
      <c r="AO28" s="81">
        <f>((($W$25)^Q28)*((1-($W$25))^($U$33-Q28))*HLOOKUP($U$33,$AV$24:$BF$34,Q28+1))*V33</f>
        <v>0.00476059598499799996</v>
      </c>
      <c r="AP28" s="30" t="n">
        <v>3</v>
      </c>
      <c r="AQ28" s="81">
        <f>((($W$25)^Q28)*((1-($W$25))^($U$34-Q28))*HLOOKUP($U$34,$AV$24:$BF$34,Q28+1))*V34</f>
        <v>0.000768754708751999871</v>
      </c>
      <c r="AR28" s="30" t="n">
        <v>3</v>
      </c>
      <c r="AS28" s="81">
        <f>((($W$25)^Q28)*((1-($W$25))^($U$35-Q28))*HLOOKUP($U$35,$AV$24:$BF$34,Q28+1))*V35</f>
        <v>0.0000575532939829999979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>
        <f>$H$27*H47</f>
        <v>0.00091342792235600001</v>
      </c>
      <c r="BP28">
        <f>BP22+1</f>
        <v>7</v>
      </c>
      <c r="BQ28" t="n">
        <v>4</v>
      </c>
      <c r="BR28" s="109">
        <f>$H$32*H43</f>
        <v>0.00026162314988199995</v>
      </c>
    </row>
    <row r="29" spans="1:70">
      <c r="A29" s="28" t="s">
        <v>121</v>
      </c>
      <c r="B29" s="121">
        <f>1/(1+EXP(-3.1416*4*((B14/(B14+C13))-(3.1416/6))))</f>
        <v>0.210915879751251989</v>
      </c>
      <c r="C29" s="120">
        <f>1/(1+EXP(-3.1416*4*((C14/(C14+B13))-(3.1416/6))))</f>
        <v>0.408833981266884994</v>
      </c>
      <c r="D29" s="153" t="n">
        <v>0.04</v>
      </c>
      <c r="E29" s="153" t="n">
        <v>0.04</v>
      </c>
      <c r="G29" s="89" t="n">
        <v>4</v>
      </c>
      <c r="H29" s="128">
        <f>J29*L25+J28*L26+J27*L27+J26*L28</f>
        <v>0.0880666908424869987</v>
      </c>
      <c r="I29" s="95" t="n">
        <v>4</v>
      </c>
      <c r="J29" s="88">
        <f>Y29+AA29+AC29+AE29+AG29+AI29+AK29+AM29+AO29+AQ29+AS29</f>
        <v>0.0478275264234410002</v>
      </c>
      <c r="K29" s="95" t="n">
        <v>4</v>
      </c>
      <c r="L29" s="88"/>
      <c r="M29" s="87" t="n">
        <v>4</v>
      </c>
      <c r="N29" s="73">
        <f>(($B$24)^M29)*((1-($B$24))^($B$21-M29))*HLOOKUP($B$21,$AV$24:$BF$34,M29+1)</f>
        <v>0.0950825181210199943</v>
      </c>
      <c r="O29" s="74" t="n">
        <v>4</v>
      </c>
      <c r="P29" s="73">
        <f>N29</f>
        <v>0.0950825181210199943</v>
      </c>
      <c r="Q29" s="30" t="n">
        <v>4</v>
      </c>
      <c r="R29" s="39">
        <f>P25*N29+P26*N28+P27*N27+P28*N26+P29*N25</f>
        <v>0.247152228124984985</v>
      </c>
      <c r="S29" s="74" t="n">
        <v>4</v>
      </c>
      <c r="T29" s="135">
        <f>(($B$33)^S29)*((1-($B$33))^(INT($C$23*2*(1-$C$31))-S29))*HLOOKUP(INT($C$23*2*(1-$C$31)),$AV$24:$BF$34,S29+1)</f>
        <v>0</v>
      </c>
      <c r="U29" s="95" t="n">
        <v>4</v>
      </c>
      <c r="V29" s="88">
        <f>T29*R25+T28*R26+T27*R27+T26*R28+T25*R29</f>
        <v>0.246287570912907006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>
        <f>((($W$25)^M29)*((1-($W$25))^($U$29-M29))*HLOOKUP($U$29,$AV$24:$BF$34,M29+1))*V29</f>
        <v>0.00471754697498499986</v>
      </c>
      <c r="AH29" s="30" t="n">
        <v>4</v>
      </c>
      <c r="AI29" s="81">
        <f>((($W$25)^M29)*((1-($W$25))^($U$30-M29))*HLOOKUP($U$30,$AV$24:$BF$34,M29+1))*V30</f>
        <v>0.0133038432718639998</v>
      </c>
      <c r="AJ29" s="30" t="n">
        <v>4</v>
      </c>
      <c r="AK29" s="81">
        <f>((($W$25)^M29)*((1-($W$25))^($U$31-M29))*HLOOKUP($U$31,$AV$24:$BF$34,M29+1))*V31</f>
        <v>0.0156649943139789993</v>
      </c>
      <c r="AL29" s="30" t="n">
        <v>4</v>
      </c>
      <c r="AM29" s="81">
        <f>((($W$25)^Q29)*((1-($W$25))^($U$32-Q29))*HLOOKUP($U$32,$AV$24:$BF$34,Q29+1))*V32</f>
        <v>0.00987305269173999989</v>
      </c>
      <c r="AN29" s="30" t="n">
        <v>4</v>
      </c>
      <c r="AO29" s="81">
        <f>((($W$25)^Q29)*((1-($W$25))^($U$33-Q29))*HLOOKUP($U$33,$AV$24:$BF$34,Q29+1))*V33</f>
        <v>0.00352529311145400026</v>
      </c>
      <c r="AP29" s="30" t="n">
        <v>4</v>
      </c>
      <c r="AQ29" s="81">
        <f>((($W$25)^Q29)*((1-($W$25))^($U$34-Q29))*HLOOKUP($U$34,$AV$24:$BF$34,Q29+1))*V34</f>
        <v>0.000683129344570000008</v>
      </c>
      <c r="AR29" s="30" t="n">
        <v>4</v>
      </c>
      <c r="AS29" s="81">
        <f>((($W$25)^Q29)*((1-($W$25))^($U$35-Q29))*HLOOKUP($U$35,$AV$24:$BF$34,Q29+1))*V35</f>
        <v>0.0000596667148489999999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>
        <f>$H$27*H48</f>
        <v>0.00016382999154400002</v>
      </c>
      <c r="BP29">
        <f>BP23+1</f>
        <v>7</v>
      </c>
      <c r="BQ29" t="n">
        <v>5</v>
      </c>
      <c r="BR29" s="109">
        <f>$H$32*H44</f>
        <v>0.000142656822204000004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>
        <f>J30*L25+J29*L26+J28*L27+J27*L28</f>
        <v>0.0293047682601919988</v>
      </c>
      <c r="I30" s="95" t="n">
        <v>5</v>
      </c>
      <c r="J30" s="88">
        <f>Y30+AA30+AC30+AE30+AG30+AI30+AK30+AM30+AO30+AQ30+AS30</f>
        <v>0.0109155251314009982</v>
      </c>
      <c r="K30" s="95" t="n">
        <v>5</v>
      </c>
      <c r="L30" s="88"/>
      <c r="M30" s="87" t="n">
        <v>5</v>
      </c>
      <c r="N30" s="73">
        <f>(($B$24)^M30)*((1-($B$24))^($B$21-M30))*HLOOKUP($B$21,$AV$24:$BF$34,M30+1)</f>
        <v>0.0141582539224360016</v>
      </c>
      <c r="O30" s="74" t="n">
        <v>5</v>
      </c>
      <c r="P30" s="73">
        <f>N30</f>
        <v>0.0141582539224360016</v>
      </c>
      <c r="Q30" s="30" t="n">
        <v>5</v>
      </c>
      <c r="R30" s="39">
        <f>P25*N30+P26*N29+P27*N28+P28*N27+P29*N26+P30*N25</f>
        <v>0.220813083568257973</v>
      </c>
      <c r="S30" s="74" t="n">
        <v>5</v>
      </c>
      <c r="T30" s="135">
        <f>(($B$33)^S30)*((1-($B$33))^(INT($C$23*2*(1-$C$31))-S30))*HLOOKUP(INT($C$23*2*(1-$C$31)),$AV$24:$BF$34,S30+1)</f>
        <v>0</v>
      </c>
      <c r="U30" s="95" t="n">
        <v>5</v>
      </c>
      <c r="V30" s="88">
        <f>T30*R25+T29*R26+T28*R27+T27*R28+T26*R29+T25*R30</f>
        <v>0.221201891621640012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>
        <f>((($W$25)^M30)*((1-($W$25))^($U$30-M30))*HLOOKUP($U$30,$AV$24:$BF$34,M30+1))*V30</f>
        <v>0.00157627144802799979</v>
      </c>
      <c r="AJ30" s="30" t="n">
        <v>5</v>
      </c>
      <c r="AK30" s="81">
        <f>((($W$25)^M30)*((1-($W$25))^($U$31-M30))*HLOOKUP($U$31,$AV$24:$BF$34,M30+1))*V31</f>
        <v>0.00371205264013600011</v>
      </c>
      <c r="AL30" s="30" t="n">
        <v>5</v>
      </c>
      <c r="AM30" s="81">
        <f>((($W$25)^Q30)*((1-($W$25))^($U$32-Q30))*HLOOKUP($U$32,$AV$24:$BF$34,Q30+1))*V32</f>
        <v>0.00350934930865600014</v>
      </c>
      <c r="AN30" s="30" t="n">
        <v>5</v>
      </c>
      <c r="AO30" s="81">
        <f>((($W$25)^Q30)*((1-($W$25))^($U$33-Q30))*HLOOKUP($U$33,$AV$24:$BF$34,Q30+1))*V33</f>
        <v>0.00167074093221299975</v>
      </c>
      <c r="AP30" s="30" t="n">
        <v>5</v>
      </c>
      <c r="AQ30" s="81">
        <f>((($W$25)^Q30)*((1-($W$25))^($U$34-Q30))*HLOOKUP($U$34,$AV$24:$BF$34,Q30+1))*V34</f>
        <v>0.000404694064396000108</v>
      </c>
      <c r="AR30" s="30" t="n">
        <v>5</v>
      </c>
      <c r="AS30" s="81">
        <f>((($W$25)^Q30)*((1-($W$25))^($U$35-Q30))*HLOOKUP($U$35,$AV$24:$BF$34,Q30+1))*V35</f>
        <v>0.0000424167379720000071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>
        <f>$H$27*H49</f>
        <v>0.0000214025262589999965</v>
      </c>
      <c r="BP30">
        <f>BL10+1</f>
        <v>7</v>
      </c>
      <c r="BQ30" t="n">
        <v>6</v>
      </c>
      <c r="BR30" s="109">
        <f>$H$32*H45</f>
        <v>0.0000586390466310000047</v>
      </c>
    </row>
    <row r="31" spans="1:70">
      <c r="A31" s="186" t="s">
        <v>123</v>
      </c>
      <c r="B31" s="62">
        <f>(B25*D25)+(B26*D26)+(B27*D27)+(B28*D28)+(B29*D29)+(B30*D30)/(B25+B26+B27+B28+B29+B30)</f>
        <v>0.372021838342906985</v>
      </c>
      <c r="C31" s="63">
        <f>(C25*E25)+(C26*E26)+(C27*E27)+(C28*E28)+(C29*E29)+(C30*E30)/(C25+C26+C27+C28+C29+C30)</f>
        <v>0.389510743996849982</v>
      </c>
      <c r="G31" s="89" t="n">
        <v>6</v>
      </c>
      <c r="H31" s="128">
        <f>J31*L25+J30*L26+J29*L27+J28*L28</f>
        <v>0.00733781026261000058</v>
      </c>
      <c r="I31" s="95" t="n">
        <v>6</v>
      </c>
      <c r="J31" s="88">
        <f>Y31+AA31+AC31+AE31+AG31+AI31+AK31+AM31+AO31+AQ31+AS31</f>
        <v>0.00173515854296899974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>
        <f>P26*N30+P27*N29+P28*N28+P29*N27+P30*N26</f>
        <v>0.137000635883473998</v>
      </c>
      <c r="S31" s="72" t="n">
        <v>6</v>
      </c>
      <c r="T31" s="135">
        <f>(($B$33)^S31)*((1-($B$33))^(INT($C$23*2*(1-$C$31))-S31))*HLOOKUP(INT($C$23*2*(1-$C$31)),$AV$24:$BF$34,S31+1)</f>
        <v>0</v>
      </c>
      <c r="U31" s="95" t="n">
        <v>6</v>
      </c>
      <c r="V31" s="88">
        <f>T31*R25+T30*R26+T29*R27+T28*R28+T27*R29+T26*R30+T25*R31</f>
        <v>0.138253508810168002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>
        <f>((($W$25)^Q31)*((1-($W$25))^($U$31-Q31))*HLOOKUP($U$31,$AV$24:$BF$34,Q31+1))*V31</f>
        <v>0.000366510793827000025</v>
      </c>
      <c r="AL31" s="30" t="n">
        <v>6</v>
      </c>
      <c r="AM31" s="81">
        <f>((($W$25)^Q31)*((1-($W$25))^($U$32-Q31))*HLOOKUP($U$32,$AV$24:$BF$34,Q31+1))*V32</f>
        <v>0.000692993621385999958</v>
      </c>
      <c r="AN31" s="30" t="n">
        <v>6</v>
      </c>
      <c r="AO31" s="81">
        <f>((($W$25)^Q31)*((1-($W$25))^($U$33-Q31))*HLOOKUP($U$33,$AV$24:$BF$34,Q31+1))*V33</f>
        <v>0.00049488354129699994</v>
      </c>
      <c r="AP31" s="30" t="n">
        <v>6</v>
      </c>
      <c r="AQ31" s="81">
        <f>((($W$25)^Q31)*((1-($W$25))^($U$34-Q31))*HLOOKUP($U$34,$AV$24:$BF$34,Q31+1))*V34</f>
        <v>0.000159830430415000002</v>
      </c>
      <c r="AR31" s="30" t="n">
        <v>6</v>
      </c>
      <c r="AS31" s="81">
        <f>((($W$25)^Q31)*((1-($W$25))^($U$35-Q31))*HLOOKUP($U$35,$AV$24:$BF$34,Q31+1))*V35</f>
        <v>0.0000209401560440000001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>
        <f>$H$28*H43</f>
        <v>0.0360116797224640006</v>
      </c>
      <c r="BP31">
        <f>BP24+1</f>
        <v>8</v>
      </c>
      <c r="BQ31" t="n">
        <v>0</v>
      </c>
      <c r="BR31" s="109">
        <f>$H$33*H39</f>
        <v>7.360467616773742078E-06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>
        <f>J32*L25+J31*L26+J30*L27+J29*L28</f>
        <v>0.00140282271732099995</v>
      </c>
      <c r="I32" s="95" t="n">
        <v>7</v>
      </c>
      <c r="J32" s="88">
        <f>Y32+AA32+AC32+AE32+AG32+AI32+AK32+AM32+AO32+AQ32+AS32</f>
        <v>0.000190080709951000024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>
        <f>P27*N30+P28*N29+P29*N28+P30*N27</f>
        <v>0.0582859072220299979</v>
      </c>
      <c r="S32" s="74" t="n">
        <v>7</v>
      </c>
      <c r="T32" s="135">
        <f>(($B$33)^S32)*((1-($B$33))^(INT($C$23*2*(1-$C$31))-S32))*HLOOKUP(INT($C$23*2*(1-$C$31)),$AV$24:$BF$34,S32+1)</f>
        <v>0</v>
      </c>
      <c r="U32" s="95" t="n">
        <v>7</v>
      </c>
      <c r="V32" s="88">
        <f>T32*R25+T31*R26+T30*R27+T29*R28+T28*R29+T27*R30+T26*R31+T25*R32</f>
        <v>0.0594670026595010004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>
        <f>((($W$25)^Q32)*((1-($W$25))^($U$32-Q32))*HLOOKUP($U$32,$AV$24:$BF$34,Q32+1))*V32</f>
        <v>0.0000586482544249999993</v>
      </c>
      <c r="AN32" s="30" t="n">
        <v>7</v>
      </c>
      <c r="AO32" s="81">
        <f>((($W$25)^Q32)*((1-($W$25))^($U$33-Q32))*HLOOKUP($U$33,$AV$24:$BF$34,Q32+1))*V33</f>
        <v>0.0000837642799159999996</v>
      </c>
      <c r="AP32" s="30" t="n">
        <v>7</v>
      </c>
      <c r="AQ32" s="81">
        <f>((($W$25)^Q32)*((1-($W$25))^($U$34-Q32))*HLOOKUP($U$34,$AV$24:$BF$34,Q32+1))*V34</f>
        <v>0.0000405794892989999934</v>
      </c>
      <c r="AR32" s="30" t="n">
        <v>7</v>
      </c>
      <c r="AS32" s="81">
        <f>((($W$25)^Q32)*((1-($W$25))^($U$35-Q32))*HLOOKUP($U$35,$AV$24:$BF$34,Q32+1))*V35</f>
        <v>7.08868631101358598E-06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>
        <f>$H$28*H44</f>
        <v>0.0196363043322950013</v>
      </c>
      <c r="BP32">
        <f>BP25+1</f>
        <v>8</v>
      </c>
      <c r="BQ32" t="n">
        <v>1</v>
      </c>
      <c r="BR32" s="109">
        <f>$H$33*H40</f>
        <v>0.0000274683736570000026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8</v>
      </c>
      <c r="H33" s="128">
        <f>J33*L25+J32*L26+J31*L27+J30*L28</f>
        <v>0.000205077129717999984</v>
      </c>
      <c r="I33" s="95" t="n">
        <v>8</v>
      </c>
      <c r="J33" s="88">
        <f>Y33+AA33+AC33+AE33+AG33+AI33+AK33+AM33+AO33+AQ33+AS33</f>
        <v>0.0000137875997100000003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>
        <f>P28*N30+P29*N29+P30*N28</f>
        <v>0.0162732334540199997</v>
      </c>
      <c r="S33" s="74" t="n">
        <v>8</v>
      </c>
      <c r="T33" s="135">
        <f>(($B$33)^S33)*((1-($B$33))^(INT($C$23*2*(1-$C$31))-S33))*HLOOKUP(INT($C$23*2*(1-$C$31)),$AV$24:$BF$34,S33+1)</f>
        <v>0</v>
      </c>
      <c r="U33" s="95" t="n">
        <v>8</v>
      </c>
      <c r="V33" s="88">
        <f>T33*R25+T32*R26+T31*R27+T30*R28+T29*R29+T28*R30+T27*R31+T26*R32+T25*R33</f>
        <v>0.0169061722641150025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>
        <f>((($W$25)^Q33)*((1-($W$25))^($U$33-Q33))*HLOOKUP($U$33,$AV$24:$BF$34,Q33+1))*V33</f>
        <v>6.202871235098251894E-06</v>
      </c>
      <c r="AP33" s="30" t="n">
        <v>8</v>
      </c>
      <c r="AQ33" s="81">
        <f>((($W$25)^Q33)*((1-($W$25))^($U$34-Q33))*HLOOKUP($U$34,$AV$24:$BF$34,Q33+1))*V34</f>
        <v>6.009944744039483956E-06</v>
      </c>
      <c r="AR33" s="30" t="n">
        <v>8</v>
      </c>
      <c r="AS33" s="81">
        <f>((($W$25)^Q33)*((1-($W$25))^($U$35-Q33))*HLOOKUP($U$35,$AV$24:$BF$34,Q33+1))*V35</f>
        <v>1.574783730869219071E-06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>
        <f>$H$28*H45</f>
        <v>0.00807149737111799936</v>
      </c>
      <c r="BP33">
        <f>BP26+1</f>
        <v>8</v>
      </c>
      <c r="BQ33" t="n">
        <v>2</v>
      </c>
      <c r="BR33" s="109">
        <f>$H$33*H41</f>
        <v>0.0000477496169910000035</v>
      </c>
    </row>
    <row r="34" spans="1:70">
      <c r="A34" s="42" t="s">
        <v>126</v>
      </c>
      <c r="B34" s="58">
        <f>B23*2</f>
        <v>4.2677791699099803</v>
      </c>
      <c r="C34" s="59">
        <f>C23*2</f>
        <v>5.7322208300900197</v>
      </c>
      <c r="G34" s="89" t="n">
        <v>9</v>
      </c>
      <c r="H34" s="128">
        <f>J34*L25+J33*L26+J32*L27+J31*L28</f>
        <v>0.0000226648078329999958</v>
      </c>
      <c r="I34" s="95" t="n">
        <v>9</v>
      </c>
      <c r="J34" s="88">
        <f>Y34+AA34+AC34+AE34+AG34+AI34+AK34+AM34+AO34+AQ34+AS34</f>
        <v>6.029117247818461888E-07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>
        <f>P29*N30+P30*N29</f>
        <v>0.00269240487028399977</v>
      </c>
      <c r="S34" s="74" t="n">
        <v>9</v>
      </c>
      <c r="T34" s="135">
        <f>(($B$33)^S34)*((1-($B$33))^(INT($C$23*2*(1-$C$31))-S34))*HLOOKUP(INT($C$23*2*(1-$C$31)),$AV$24:$BF$34,S34+1)</f>
        <v>0</v>
      </c>
      <c r="U34" s="95" t="n">
        <v>9</v>
      </c>
      <c r="V34" s="88">
        <f>T34*R25+T33*R26+T32*R27+T31*R28+T30*R29+T29*R30+T28*R31+T27*R32+T26*R33+T25*R34</f>
        <v>0.00289825072120500025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>
        <f>((($W$25)^Q34)*((1-($W$25))^($U$34-Q34))*HLOOKUP($U$34,$AV$24:$BF$34,Q34+1))*V34</f>
        <v>3.955959738983542753E-07</v>
      </c>
      <c r="AR34" s="30" t="n">
        <v>9</v>
      </c>
      <c r="AS34" s="81">
        <f>((($W$25)^Q34)*((1-($W$25))^($U$35-Q34))*HLOOKUP($U$35,$AV$24:$BF$34,Q34+1))*V35</f>
        <v>2.073157508834918871E-07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>
        <f>$H$28*H46</f>
        <v>0.00253100422456999974</v>
      </c>
      <c r="BP34">
        <f>BP27+1</f>
        <v>8</v>
      </c>
      <c r="BQ34" t="n">
        <v>3</v>
      </c>
      <c r="BR34" s="109">
        <f>$H$33*H42</f>
        <v>0.0000513632478300000095</v>
      </c>
    </row>
    <row r="35" spans="7:70">
      <c r="G35" s="90" t="n">
        <v>10</v>
      </c>
      <c r="H35" s="129">
        <f>J35*L25+J34*L26+J33*L27+J32*L28</f>
        <v>1.842138579653946053E-06</v>
      </c>
      <c r="I35" s="96" t="n">
        <v>10</v>
      </c>
      <c r="J35" s="91">
        <f>Y35+AA35+AC35+AE35+AG35+AI35+AK35+AM35+AO35+AQ35+AS35</f>
        <v>1.228163516978538177E-08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>
        <f>P30*N30</f>
        <v>0.000200456154131999975</v>
      </c>
      <c r="S35" s="74" t="n">
        <v>10</v>
      </c>
      <c r="T35" s="135">
        <f>(($B$33)^S35)*((1-($B$33))^(INT($C$23*2*(1-$C$31))-S35))*HLOOKUP(INT($C$23*2*(1-$C$31)),$AV$24:$BF$34,S35+1)</f>
        <v>0</v>
      </c>
      <c r="U35" s="96" t="n">
        <v>10</v>
      </c>
      <c r="V35" s="91">
        <f>IF(((T35*R25+T34*R26+T33*R27+T32*R28+T31*R29+T30*R30+T29*R31+T28*R32+T27*R33+T26*R34+T25*R35)+V23)&lt;&gt;1,1-V23,(T35*R25+T34*R26+T33*R27+T32*R28+T31*R29+T30*R30+T29*R31+T28*R32+T27*R33+T26*R34+T25*R35))</f>
        <v>0.000241864343303999974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>
        <f>((($W$25)^Q35)*((1-($W$25))^($U$35-Q35))*HLOOKUP($U$35,$AV$24:$BF$34,Q35+1))*V35</f>
        <v>1.228163516978538177E-08</v>
      </c>
      <c r="BH35">
        <f>BH28+1</f>
        <v>3</v>
      </c>
      <c r="BI35" t="n">
        <v>8</v>
      </c>
      <c r="BJ35" s="109">
        <f>$H$28*H47</f>
        <v>0.000604572037102999893</v>
      </c>
      <c r="BP35">
        <f>BP28+1</f>
        <v>8</v>
      </c>
      <c r="BQ35" t="n">
        <v>4</v>
      </c>
      <c r="BR35" s="109">
        <f>$H$33*H43</f>
        <v>0.0000382464041839999993</v>
      </c>
    </row>
    <row r="36" spans="1:70">
      <c r="A36" s="3"/>
      <c r="B36" s="110">
        <f>SUM(B37:B39)</f>
        <v>0.999991073748207882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>
        <f>SUM(V39:V49)</f>
        <v>1</v>
      </c>
      <c r="W36" s="15"/>
      <c r="X36" s="15"/>
      <c r="AS36" s="84">
        <f>Y37+AA37+AC37+AE37+AG37+AI37+AK37+AM37+AO37+AQ37+AS37</f>
        <v>0.999999999999998934</v>
      </c>
      <c r="BH36">
        <f>BH29+1</f>
        <v>3</v>
      </c>
      <c r="BI36" t="n">
        <v>9</v>
      </c>
      <c r="BJ36" s="109">
        <f>$H$28*H48</f>
        <v>0.000108434425204000018</v>
      </c>
      <c r="BP36">
        <f>BP29+1</f>
        <v>8</v>
      </c>
      <c r="BQ36" t="n">
        <v>5</v>
      </c>
      <c r="BR36" s="109">
        <f>$H$33*H44</f>
        <v>0.0000208548459269999942</v>
      </c>
    </row>
    <row r="37" spans="1:70">
      <c r="A37" s="111" t="s">
        <v>127</v>
      </c>
      <c r="B37" s="109">
        <f>SUM(BN4:BN14)</f>
        <v>0.176598990410260015</v>
      </c>
      <c r="G37" s="15"/>
      <c r="H37" s="61">
        <f>SUM(H39:H49)</f>
        <v>0.999993023935713943</v>
      </c>
      <c r="I37" s="15"/>
      <c r="J37" s="61">
        <f>SUM(J39:J49)</f>
        <v>0.999999999999998934</v>
      </c>
      <c r="K37" s="61"/>
      <c r="L37" s="61">
        <f>SUM(L39:L49)</f>
        <v>1</v>
      </c>
      <c r="M37" s="15"/>
      <c r="N37" s="76">
        <f>SUM(N39:N49)</f>
        <v>1</v>
      </c>
      <c r="O37" s="15"/>
      <c r="P37" s="76">
        <f>SUM(P39:P49)</f>
        <v>1</v>
      </c>
      <c r="Q37" s="15"/>
      <c r="R37" s="61">
        <f>SUM(R39:R49)</f>
        <v>1</v>
      </c>
      <c r="S37" s="15"/>
      <c r="T37" s="61">
        <f>SUM(T39:T49)</f>
        <v>1</v>
      </c>
      <c r="U37" s="15"/>
      <c r="V37" s="61">
        <f>SUM(V39:V48)</f>
        <v>0.995882883802917007</v>
      </c>
      <c r="W37" s="15"/>
      <c r="X37" s="15"/>
      <c r="Y37" s="82">
        <f>SUM(Y39:Y49)</f>
        <v>0.000198456603994999998</v>
      </c>
      <c r="Z37" s="83"/>
      <c r="AA37" s="82">
        <f>SUM(AA39:AA49)</f>
        <v>0.00266754267043699977</v>
      </c>
      <c r="AB37" s="83"/>
      <c r="AC37" s="82">
        <f>SUM(AC39:AC49)</f>
        <v>0.0161377023901799994</v>
      </c>
      <c r="AD37" s="83"/>
      <c r="AE37" s="82">
        <f>SUM(AE39:AE49)</f>
        <v>0.0578664912804789999</v>
      </c>
      <c r="AF37" s="83"/>
      <c r="AG37" s="82">
        <f>SUM(AG39:AG49)</f>
        <v>0.136214406148232992</v>
      </c>
      <c r="AH37" s="83"/>
      <c r="AI37" s="82">
        <f>SUM(AI39:AI49)</f>
        <v>0.219975086534386977</v>
      </c>
      <c r="AJ37" s="83"/>
      <c r="AK37" s="82">
        <f>SUM(AK39:AK49)</f>
        <v>0.246887399846839006</v>
      </c>
      <c r="AL37" s="83"/>
      <c r="AM37" s="82">
        <f>SUM(AM39:AM49)</f>
        <v>0.190263832475439987</v>
      </c>
      <c r="AN37" s="83"/>
      <c r="AO37" s="82">
        <f>SUM(AO39:AO49)</f>
        <v>0.0964837451326100037</v>
      </c>
      <c r="AP37" s="83"/>
      <c r="AQ37" s="82">
        <f>SUM(AQ39:AQ49)</f>
        <v>0.0291882207203170019</v>
      </c>
      <c r="AR37" s="83"/>
      <c r="AS37" s="82">
        <f>SUM(AS39:AS49)</f>
        <v>0.00411711619708199983</v>
      </c>
      <c r="BH37">
        <f>BH30+1</f>
        <v>3</v>
      </c>
      <c r="BI37" t="n">
        <v>10</v>
      </c>
      <c r="BJ37" s="109">
        <f>$H$28*H49</f>
        <v>0.0000141657251579999972</v>
      </c>
      <c r="BP37">
        <f>BP30+1</f>
        <v>8</v>
      </c>
      <c r="BQ37" t="n">
        <v>6</v>
      </c>
      <c r="BR37" s="109">
        <f>$H$33*H45</f>
        <v>8.572378550715076845E-06</v>
      </c>
    </row>
    <row r="38" spans="1:70">
      <c r="A38" s="112" t="s">
        <v>128</v>
      </c>
      <c r="B38" s="109">
        <f>SUM(BJ4:BJ59)</f>
        <v>0.595972251785156981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>
        <f>$H$29*H44</f>
        <v>0.00895573909841399995</v>
      </c>
      <c r="BP38">
        <f>BL11+1</f>
        <v>8</v>
      </c>
      <c r="BQ38" t="n">
        <v>7</v>
      </c>
      <c r="BR38" s="109">
        <f>$H$33*H46</f>
        <v>2.688067074655970196E-06</v>
      </c>
    </row>
    <row r="39" spans="1:70">
      <c r="A39" s="113" t="s">
        <v>129</v>
      </c>
      <c r="B39" s="109">
        <f>SUM(BR4:BR47)</f>
        <v>0.227419831552790974</v>
      </c>
      <c r="G39" s="130" t="n">
        <v>0</v>
      </c>
      <c r="H39" s="131">
        <f>L39*J39</f>
        <v>0.0358912162799190027</v>
      </c>
      <c r="I39" s="99" t="n">
        <v>0</v>
      </c>
      <c r="J39" s="100">
        <f>Y39+AA39+AC39+AE39+AG39+AI39+AK39+AM39+AO39+AQ39+AS39</f>
        <v>0.0796111090446189973</v>
      </c>
      <c r="K39" s="104" t="n">
        <v>0</v>
      </c>
      <c r="L39" s="100">
        <f>AC21</f>
        <v>0.450831758414561001</v>
      </c>
      <c r="M39" s="86" t="n">
        <v>0</v>
      </c>
      <c r="N39" s="73">
        <f>(1-$C$24)^$B$21</f>
        <v>0.0141582539224360016</v>
      </c>
      <c r="O39" s="72" t="n">
        <v>0</v>
      </c>
      <c r="P39" s="73">
        <f>N39</f>
        <v>0.0141582539224360016</v>
      </c>
      <c r="Q39" s="14" t="n">
        <v>0</v>
      </c>
      <c r="R39" s="75">
        <f>P39*N39</f>
        <v>0.000200456154131999975</v>
      </c>
      <c r="S39" s="72" t="n">
        <v>0</v>
      </c>
      <c r="T39" s="135">
        <f>(1-$C$33)^(INT(B23*2*(1-B31)))</f>
        <v>0.990024999999999977</v>
      </c>
      <c r="U39" s="140" t="n">
        <v>0</v>
      </c>
      <c r="V39" s="88">
        <f>R39*T39</f>
        <v>0.000198456603994999998</v>
      </c>
      <c r="W39" s="136">
        <f>C31</f>
        <v>0.389510743996849982</v>
      </c>
      <c r="X39" s="14" t="n">
        <v>0</v>
      </c>
      <c r="Y39" s="81">
        <f>V39</f>
        <v>0.000198456603994999998</v>
      </c>
      <c r="Z39" s="14" t="n">
        <v>0</v>
      </c>
      <c r="AA39" s="80">
        <f>((1-W39)^Z40)*V40</f>
        <v>0.00162850614023200002</v>
      </c>
      <c r="AB39" s="14" t="n">
        <v>0</v>
      </c>
      <c r="AC39" s="81">
        <f>(((1-$W$39)^AB41))*V41</f>
        <v>0.00601447539297199985</v>
      </c>
      <c r="AD39" s="14" t="n">
        <v>0</v>
      </c>
      <c r="AE39" s="81">
        <f>(((1-$W$39)^AB42))*V42</f>
        <v>0.0131662235714869991</v>
      </c>
      <c r="AF39" s="14" t="n">
        <v>0</v>
      </c>
      <c r="AG39" s="81">
        <f>(((1-$W$39)^AB43))*V43</f>
        <v>0.0189206103582409995</v>
      </c>
      <c r="AH39" s="14" t="n">
        <v>0</v>
      </c>
      <c r="AI39" s="81">
        <f>(((1-$W$39)^AB44))*V44</f>
        <v>0.0186536413850789984</v>
      </c>
      <c r="AJ39" s="14" t="n">
        <v>0</v>
      </c>
      <c r="AK39" s="81">
        <f>(((1-$W$39)^AB45))*V45</f>
        <v>0.0127810659865320009</v>
      </c>
      <c r="AL39" s="14" t="n">
        <v>0</v>
      </c>
      <c r="AM39" s="81">
        <f>(((1-$W$39)^AB46))*V46</f>
        <v>0.00601315525154300001</v>
      </c>
      <c r="AN39" s="14" t="n">
        <v>0</v>
      </c>
      <c r="AO39" s="81">
        <f>(((1-$W$39)^AB47))*V47</f>
        <v>0.00186156564032599992</v>
      </c>
      <c r="AP39" s="14" t="n">
        <v>0</v>
      </c>
      <c r="AQ39" s="81">
        <f>(((1-$W$39)^AB48))*V48</f>
        <v>0.000343803147672999998</v>
      </c>
      <c r="AR39" s="14" t="n">
        <v>0</v>
      </c>
      <c r="AS39" s="81">
        <f>(((1-$W$39)^AB49))*V49</f>
        <v>0.000029605566538999998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>
        <f>$H$29*H45</f>
        <v>0.00368125403670699969</v>
      </c>
      <c r="BP39">
        <f>BP31+1</f>
        <v>9</v>
      </c>
      <c r="BQ39" t="n">
        <v>0</v>
      </c>
      <c r="BR39" s="109">
        <f>$H$34*H39</f>
        <v>8.13467519877005252E-07</v>
      </c>
    </row>
    <row r="40" spans="7:70">
      <c r="G40" s="93" t="n">
        <v>1</v>
      </c>
      <c r="H40" s="132">
        <f>L39*J40+L40*J39</f>
        <v>0.13394167206785601</v>
      </c>
      <c r="I40" s="95" t="n">
        <v>1</v>
      </c>
      <c r="J40" s="88">
        <f>Y40+AA40+AC40+AE40+AG40+AI40+AK40+AM40+AO40+AQ40+AS40</f>
        <v>0.22916016937475101</v>
      </c>
      <c r="K40" s="97" t="n">
        <v>1</v>
      </c>
      <c r="L40" s="88">
        <f>AD21</f>
        <v>0.38473261229021599</v>
      </c>
      <c r="M40" s="87" t="n">
        <v>1</v>
      </c>
      <c r="N40" s="73">
        <f>(($C$24)^M26)*((1-($C$24))^($B$21-M26))*HLOOKUP($B$21,$AV$24:$BF$34,M26+1)</f>
        <v>0.0950825181210199943</v>
      </c>
      <c r="O40" s="74" t="n">
        <v>1</v>
      </c>
      <c r="P40" s="73">
        <f>N40</f>
        <v>0.0950825181210199943</v>
      </c>
      <c r="Q40" s="30" t="n">
        <v>1</v>
      </c>
      <c r="R40" s="39">
        <f>P40*N39+P39*N40</f>
        <v>0.00269240487028399977</v>
      </c>
      <c r="S40" s="74" t="n">
        <v>1</v>
      </c>
      <c r="T40" s="135">
        <f>(($C$33)^S40)*((1-($C$33))^(INT($B$23*2*(1-$B$31))-S40))*HLOOKUP(INT($B$23*2*(1-$B$31)),$AV$24:$BF$34,S40+1)</f>
        <v>0.00995000000000000107</v>
      </c>
      <c r="U40" s="95" t="n">
        <v>1</v>
      </c>
      <c r="V40" s="88">
        <f>R40*T39+T40*R39</f>
        <v>0.00266754267043699977</v>
      </c>
      <c r="W40" s="137"/>
      <c r="X40" s="30" t="n">
        <v>1</v>
      </c>
      <c r="Y40" s="75"/>
      <c r="Z40" s="30" t="n">
        <v>1</v>
      </c>
      <c r="AA40" s="81">
        <f>(1-((1-W39)^Z40))*V40</f>
        <v>0.00103903653020499998</v>
      </c>
      <c r="AB40" s="30" t="n">
        <v>1</v>
      </c>
      <c r="AC40" s="81">
        <f>((($W$39)^M40)*((1-($W$39))^($U$27-M40))*HLOOKUP($U$27,$AV$24:$BF$34,M40+1))*V41</f>
        <v>0.00767483706561800005</v>
      </c>
      <c r="AD40" s="30" t="n">
        <v>1</v>
      </c>
      <c r="AE40" s="81">
        <f>((($W$39)^M40)*((1-($W$39))^($U$28-M40))*HLOOKUP($U$28,$AV$24:$BF$34,M40+1))*V42</f>
        <v>0.0252013552500530036</v>
      </c>
      <c r="AF40" s="30" t="n">
        <v>1</v>
      </c>
      <c r="AG40" s="81">
        <f>((($W$39)^M40)*((1-($W$39))^($U$29-M40))*HLOOKUP($U$29,$AV$24:$BF$34,M40+1))*V43</f>
        <v>0.0482877033136510025</v>
      </c>
      <c r="AH40" s="30" t="n">
        <v>1</v>
      </c>
      <c r="AI40" s="81">
        <f>((($W$39)^M40)*((1-($W$39))^($U$30-M40))*HLOOKUP($U$30,$AV$24:$BF$34,M40+1))*V44</f>
        <v>0.0595079574513829979</v>
      </c>
      <c r="AJ40" s="30" t="n">
        <v>1</v>
      </c>
      <c r="AK40" s="81">
        <f>((($W$39)^M40)*((1-($W$39))^($U$31-M40))*HLOOKUP($U$31,$AV$24:$BF$34,M40+1))*V45</f>
        <v>0.0489282568615220015</v>
      </c>
      <c r="AL40" s="30" t="n">
        <v>1</v>
      </c>
      <c r="AM40" s="81">
        <f>((($W$39)^Q40)*((1-($W$39))^($U$32-Q40))*HLOOKUP($U$32,$AV$24:$BF$34,Q40+1))*V46</f>
        <v>0.0268560336965140056</v>
      </c>
      <c r="AN40" s="30" t="n">
        <v>1</v>
      </c>
      <c r="AO40" s="81">
        <f>((($W$39)^Q40)*((1-($W$39))^($U$33-Q40))*HLOOKUP($U$33,$AV$24:$BF$34,Q40+1))*V47</f>
        <v>0.00950188473172500103</v>
      </c>
      <c r="AP40" s="30" t="n">
        <v>1</v>
      </c>
      <c r="AQ40" s="81">
        <f>((($W$39)^Q40)*((1-($W$39))^($U$34-Q40))*HLOOKUP($U$34,$AV$24:$BF$34,Q40+1))*V48</f>
        <v>0.00197421194017299975</v>
      </c>
      <c r="AR40" s="30" t="n">
        <v>1</v>
      </c>
      <c r="AS40" s="81">
        <f>((($W$39)^Q40)*((1-($W$39))^($U$35-Q40))*HLOOKUP($U$35,$AV$24:$BF$34,Q40+1))*V49</f>
        <v>0.000188892533907000004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>
        <f>$H$29*H46</f>
        <v>0.00115434213631299998</v>
      </c>
      <c r="BP40">
        <f>BP32+1</f>
        <v>9</v>
      </c>
      <c r="BQ40" t="n">
        <v>1</v>
      </c>
      <c r="BR40" s="109">
        <f>$H$34*H40</f>
        <v>3.035762258248659974E-06</v>
      </c>
    </row>
    <row r="41" spans="7:70">
      <c r="G41" s="93" t="n">
        <v>2</v>
      </c>
      <c r="H41" s="132">
        <f>L39*J41+J40*L40+J39*L41</f>
        <v>0.232837357616689999</v>
      </c>
      <c r="I41" s="95" t="n">
        <v>2</v>
      </c>
      <c r="J41" s="88">
        <f>Y41+AA41+AC41+AE41+AG41+AI41+AK41+AM41+AO41+AQ41+AS41</f>
        <v>0.296925627423484997</v>
      </c>
      <c r="K41" s="97" t="n">
        <v>2</v>
      </c>
      <c r="L41" s="88">
        <f>AE21</f>
        <v>0.135765779679557008</v>
      </c>
      <c r="M41" s="87" t="n">
        <v>2</v>
      </c>
      <c r="N41" s="73">
        <f>(($C$24)^M27)*((1-($C$24))^($B$21-M27))*HLOOKUP($B$21,$AV$24:$BF$34,M27+1)</f>
        <v>0.255418084793829969</v>
      </c>
      <c r="O41" s="74" t="n">
        <v>2</v>
      </c>
      <c r="P41" s="73">
        <f>N41</f>
        <v>0.255418084793829969</v>
      </c>
      <c r="Q41" s="30" t="n">
        <v>2</v>
      </c>
      <c r="R41" s="39">
        <f>P41*N39+P40*N40+P39*N41</f>
        <v>0.0162732334540199997</v>
      </c>
      <c r="S41" s="74" t="n">
        <v>2</v>
      </c>
      <c r="T41" s="135">
        <f>(($C$33)^S41)*((1-($C$33))^(INT($B$23*2*(1-$B$31))-S41))*HLOOKUP(INT($B$23*2*(1-$B$31)),$AV$24:$BF$34,S41+1)</f>
        <v>0.000025</v>
      </c>
      <c r="U41" s="95" t="n">
        <v>2</v>
      </c>
      <c r="V41" s="88">
        <f>R41*T39+T40*R40+R39*T41</f>
        <v>0.0161377023901790011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>
        <f>((($W$39)^M41)*((1-($W$39))^($U$27-M41))*HLOOKUP($U$27,$AV$24:$BF$34,M41+1))*V41</f>
        <v>0.00244838993158999996</v>
      </c>
      <c r="AD41" s="30" t="n">
        <v>2</v>
      </c>
      <c r="AE41" s="81">
        <f>((($W$39)^M41)*((1-($W$39))^($U$28-M41))*HLOOKUP($U$28,$AV$24:$BF$34,M41+1))*V42</f>
        <v>0.016079232413430999</v>
      </c>
      <c r="AF41" s="30" t="n">
        <v>2</v>
      </c>
      <c r="AG41" s="81">
        <f>((($W$39)^M41)*((1-($W$39))^($U$29-M41))*HLOOKUP($U$29,$AV$24:$BF$34,M41+1))*V43</f>
        <v>0.0462135387117340013</v>
      </c>
      <c r="AH41" s="30" t="n">
        <v>2</v>
      </c>
      <c r="AI41" s="81">
        <f>((($W$39)^M41)*((1-($W$39))^($U$30-M41))*HLOOKUP($U$30,$AV$24:$BF$34,M41+1))*V44</f>
        <v>0.0759357795495799959</v>
      </c>
      <c r="AJ41" s="30" t="n">
        <v>2</v>
      </c>
      <c r="AK41" s="81">
        <f>((($W$39)^M41)*((1-($W$39))^($U$31-M41))*HLOOKUP($U$31,$AV$24:$BF$34,M41+1))*V45</f>
        <v>0.078044296214862996</v>
      </c>
      <c r="AL41" s="30" t="n">
        <v>2</v>
      </c>
      <c r="AM41" s="81">
        <f>((($W$39)^Q41)*((1-($W$39))^($U$32-Q41))*HLOOKUP($U$32,$AV$24:$BF$34,Q41+1))*V46</f>
        <v>0.0514049030170619936</v>
      </c>
      <c r="AN41" s="30" t="n">
        <v>2</v>
      </c>
      <c r="AO41" s="81">
        <f>((($W$39)^Q41)*((1-($W$39))^($U$33-Q41))*HLOOKUP($U$33,$AV$24:$BF$34,Q41+1))*V47</f>
        <v>0.0212187217742389977</v>
      </c>
      <c r="AP41" s="30" t="n">
        <v>2</v>
      </c>
      <c r="AQ41" s="81">
        <f>((($W$39)^Q41)*((1-($W$39))^($U$34-Q41))*HLOOKUP($U$34,$AV$24:$BF$34,Q41+1))*V48</f>
        <v>0.00503842945023300004</v>
      </c>
      <c r="AR41" s="30" t="n">
        <v>2</v>
      </c>
      <c r="AS41" s="81">
        <f>((($W$39)^Q41)*((1-($W$39))^($U$35-Q41))*HLOOKUP($U$35,$AV$24:$BF$34,Q41+1))*V49</f>
        <v>0.00054233636075299998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>
        <f>$H$29*H47</f>
        <v>0.000275733627818000038</v>
      </c>
      <c r="BP41">
        <f>BP33+1</f>
        <v>9</v>
      </c>
      <c r="BQ41" t="n">
        <v>2</v>
      </c>
      <c r="BR41" s="109">
        <f>$H$34*H41</f>
        <v>5.27721396672577775E-06</v>
      </c>
    </row>
    <row r="42" spans="7:70" ht="15" customHeight="1">
      <c r="G42" s="93" t="n">
        <v>3</v>
      </c>
      <c r="H42" s="132">
        <f>J42*L39+J41*L40+L42*J39+L41*J40</f>
        <v>0.250458195415528984</v>
      </c>
      <c r="I42" s="95" t="n">
        <v>3</v>
      </c>
      <c r="J42" s="88">
        <f>Y42+AA42+AC42+AE42+AG42+AI42+AK42+AM42+AO42+AQ42+AS42</f>
        <v>0.22808214730009797</v>
      </c>
      <c r="K42" s="97" t="n">
        <v>3</v>
      </c>
      <c r="L42" s="88">
        <f>AF21</f>
        <v>0.028669849615666001</v>
      </c>
      <c r="M42" s="87" t="n">
        <v>3</v>
      </c>
      <c r="N42" s="73">
        <f>(($C$24)^M28)*((1-($C$24))^($B$21-M28))*HLOOKUP($B$21,$AV$24:$BF$34,M28+1)</f>
        <v>0.343062001979780007</v>
      </c>
      <c r="O42" s="74" t="n">
        <v>3</v>
      </c>
      <c r="P42" s="73">
        <f>N42</f>
        <v>0.343062001979780007</v>
      </c>
      <c r="Q42" s="30" t="n">
        <v>3</v>
      </c>
      <c r="R42" s="39">
        <f>P42*N39+P41*N40+P40*N41+P39*N42</f>
        <v>0.0582859072220299979</v>
      </c>
      <c r="S42" s="74" t="n">
        <v>3</v>
      </c>
      <c r="T42" s="135">
        <f>(($C$33)^S42)*((1-($C$33))^(INT($B$23*2*(1-$B$31))-S42))*HLOOKUP(INT($B$23*2*(1-$B$31)),$AV$24:$BF$34,S42+1)</f>
        <v>0</v>
      </c>
      <c r="U42" s="95" t="n">
        <v>3</v>
      </c>
      <c r="V42" s="88">
        <f>R42*T39+R41*T40+R40*T41+R39*T42</f>
        <v>0.0578664912804789999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>
        <f>((($W$39)^M42)*((1-($W$39))^($U$28-M42))*HLOOKUP($U$28,$AV$24:$BF$34,M42+1))*V42</f>
        <v>0.00341968004550800009</v>
      </c>
      <c r="AF42" s="30" t="n">
        <v>3</v>
      </c>
      <c r="AG42" s="81">
        <f>((($W$39)^M42)*((1-($W$39))^($U$29-M42))*HLOOKUP($U$29,$AV$24:$BF$34,M42+1))*V43</f>
        <v>0.0196570970679969985</v>
      </c>
      <c r="AH42" s="30" t="n">
        <v>3</v>
      </c>
      <c r="AI42" s="81">
        <f>((($W$39)^M42)*((1-($W$39))^($U$30-M42))*HLOOKUP($U$30,$AV$24:$BF$34,M42+1))*V44</f>
        <v>0.048449340750044998</v>
      </c>
      <c r="AJ42" s="30" t="n">
        <v>3</v>
      </c>
      <c r="AK42" s="81">
        <f>((($W$39)^M42)*((1-($W$39))^($U$31-M42))*HLOOKUP($U$31,$AV$24:$BF$34,M42+1))*V45</f>
        <v>0.0663928514917880008</v>
      </c>
      <c r="AL42" s="30" t="n">
        <v>3</v>
      </c>
      <c r="AM42" s="81">
        <f>((($W$39)^Q42)*((1-($W$39))^($U$32-Q42))*HLOOKUP($U$32,$AV$24:$BF$34,Q42+1))*V46</f>
        <v>0.0546631569744330026</v>
      </c>
      <c r="AN42" s="30" t="n">
        <v>3</v>
      </c>
      <c r="AO42" s="81">
        <f>((($W$39)^Q42)*((1-($W$39))^($U$33-Q42))*HLOOKUP($U$33,$AV$24:$BF$34,Q42+1))*V47</f>
        <v>0.0270763818484059993</v>
      </c>
      <c r="AP42" s="30" t="n">
        <v>3</v>
      </c>
      <c r="AQ42" s="81">
        <f>((($W$39)^Q42)*((1-($W$39))^($U$34-Q42))*HLOOKUP($U$34,$AV$24:$BF$34,Q42+1))*V48</f>
        <v>0.00750090013382199938</v>
      </c>
      <c r="AR42" s="30" t="n">
        <v>3</v>
      </c>
      <c r="AS42" s="81">
        <f>((($W$39)^Q42)*((1-($W$39))^($U$35-Q42))*HLOOKUP($U$35,$AV$24:$BF$34,Q42+1))*V49</f>
        <v>0.000922738988098999968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>
        <f>$H$29*H48</f>
        <v>0.000049454846746000003</v>
      </c>
      <c r="BP42">
        <f>BP34+1</f>
        <v>9</v>
      </c>
      <c r="BQ42" t="n">
        <v>3</v>
      </c>
      <c r="BR42" s="109">
        <f>$H$34*H42</f>
        <v>5.676586869292925707E-06</v>
      </c>
    </row>
    <row r="43" spans="7:70" ht="15" customHeight="1">
      <c r="G43" s="93" t="n">
        <v>4</v>
      </c>
      <c r="H43" s="132">
        <f>J43*L39+J42*L40+J41*L41+J40*L42</f>
        <v>0.186497656939450991</v>
      </c>
      <c r="I43" s="95" t="n">
        <v>4</v>
      </c>
      <c r="J43" s="88">
        <f>Y43+AA43+AC43+AE43+AG43+AI43+AK43+AM43+AO43+AQ43+AS43</f>
        <v>0.115042227429692989</v>
      </c>
      <c r="K43" s="97" t="n">
        <v>4</v>
      </c>
      <c r="L43" s="88"/>
      <c r="M43" s="87" t="n">
        <v>4</v>
      </c>
      <c r="N43" s="73">
        <f>(($C$24)^M29)*((1-($C$24))^($B$21-M29))*HLOOKUP($B$21,$AV$24:$BF$34,M29+1)</f>
        <v>0.230389984517680002</v>
      </c>
      <c r="O43" s="74" t="n">
        <v>4</v>
      </c>
      <c r="P43" s="73">
        <f>N43</f>
        <v>0.230389984517680002</v>
      </c>
      <c r="Q43" s="30" t="n">
        <v>4</v>
      </c>
      <c r="R43" s="39">
        <f>P43*N39+P42*N40+P41*N41+P40*N42+P39*N43</f>
        <v>0.137000635883473998</v>
      </c>
      <c r="S43" s="74" t="n">
        <v>4</v>
      </c>
      <c r="T43" s="135">
        <f>(($C$33)^S43)*((1-($C$33))^(INT($B$23*2*(1-$B$31))-S43))*HLOOKUP(INT($B$23*2*(1-$B$31)),$AV$24:$BF$34,S43+1)</f>
        <v>0</v>
      </c>
      <c r="U43" s="95" t="n">
        <v>4</v>
      </c>
      <c r="V43" s="88">
        <f>T43*R39+T42*R40+T41*R41+T40*R42+T39*R43</f>
        <v>0.136214406148230993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>
        <f>((($W$39)^M43)*((1-($W$39))^($U$29-M43))*HLOOKUP($U$29,$AV$24:$BF$34,M43+1))*V43</f>
        <v>0.00313545669660999993</v>
      </c>
      <c r="AH43" s="30" t="n">
        <v>4</v>
      </c>
      <c r="AI43" s="81">
        <f>((($W$39)^M43)*((1-($W$39))^($U$30-M43))*HLOOKUP($U$30,$AV$24:$BF$34,M43+1))*V44</f>
        <v>0.0154560777082769985</v>
      </c>
      <c r="AJ43" s="30" t="n">
        <v>4</v>
      </c>
      <c r="AK43" s="81">
        <f>((($W$39)^M43)*((1-($W$39))^($U$31-M43))*HLOOKUP($U$31,$AV$24:$BF$34,M43+1))*V45</f>
        <v>0.0317704964415929991</v>
      </c>
      <c r="AL43" s="30" t="n">
        <v>4</v>
      </c>
      <c r="AM43" s="81">
        <f>((($W$39)^Q43)*((1-($W$39))^($U$32-Q43))*HLOOKUP($U$32,$AV$24:$BF$34,Q43+1))*V46</f>
        <v>0.0348767594727609964</v>
      </c>
      <c r="AN43" s="30" t="n">
        <v>4</v>
      </c>
      <c r="AO43" s="81">
        <f>((($W$39)^Q43)*((1-($W$39))^($U$33-Q43))*HLOOKUP($U$33,$AV$24:$BF$34,Q43+1))*V47</f>
        <v>0.0215944456327589984</v>
      </c>
      <c r="AP43" s="30" t="n">
        <v>4</v>
      </c>
      <c r="AQ43" s="81">
        <f>((($W$39)^Q43)*((1-($W$39))^($U$34-Q43))*HLOOKUP($U$34,$AV$24:$BF$34,Q43+1))*V48</f>
        <v>0.00717870420250999963</v>
      </c>
      <c r="AR43" s="30" t="n">
        <v>4</v>
      </c>
      <c r="AS43" s="81">
        <f>((($W$39)^Q43)*((1-($W$39))^($U$35-Q43))*HLOOKUP($U$35,$AV$24:$BF$34,Q43+1))*V49</f>
        <v>0.0010302872751829999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>
        <f>$H$29*H49</f>
        <v>6.460713610141533978E-06</v>
      </c>
      <c r="BP43">
        <f>BP35+1</f>
        <v>9</v>
      </c>
      <c r="BQ43" t="n">
        <v>4</v>
      </c>
      <c r="BR43" s="109">
        <f>$H$34*H43</f>
        <v>4.226933555837415726E-06</v>
      </c>
    </row>
    <row r="44" spans="7:70" ht="15" customHeight="1">
      <c r="G44" s="93" t="n">
        <v>5</v>
      </c>
      <c r="H44" s="132">
        <f>J44*L39+J43*L40+J42*L41+J41*L42</f>
        <v>0.101692694624255986</v>
      </c>
      <c r="I44" s="95" t="n">
        <v>5</v>
      </c>
      <c r="J44" s="88">
        <f>Y44+AA44+AC44+AE44+AG44+AI44+AK44+AM44+AO44+AQ44+AS44</f>
        <v>0.0398233575208370016</v>
      </c>
      <c r="K44" s="97" t="n">
        <v>5</v>
      </c>
      <c r="L44" s="88"/>
      <c r="M44" s="87" t="n">
        <v>5</v>
      </c>
      <c r="N44" s="73">
        <f>(($C$24)^M30)*((1-($C$24))^($B$21-M30))*HLOOKUP($B$21,$AV$24:$BF$34,M30+1)</f>
        <v>0.061889156665254994</v>
      </c>
      <c r="O44" s="74" t="n">
        <v>5</v>
      </c>
      <c r="P44" s="73">
        <f>N44</f>
        <v>0.061889156665254994</v>
      </c>
      <c r="Q44" s="30" t="n">
        <v>5</v>
      </c>
      <c r="R44" s="39">
        <f>P44*N39+P43*N40+P42*N41+P41*N42+P40*N43+P39*N44</f>
        <v>0.220813083568257973</v>
      </c>
      <c r="S44" s="74" t="n">
        <v>5</v>
      </c>
      <c r="T44" s="135">
        <f>(($C$33)^S44)*((1-($C$33))^(INT($B$23*2*(1-$B$31))-S44))*HLOOKUP(INT($B$23*2*(1-$B$31)),$AV$24:$BF$34,S44+1)</f>
        <v>0</v>
      </c>
      <c r="U44" s="95" t="n">
        <v>5</v>
      </c>
      <c r="V44" s="88">
        <f>T44*R39+T43*R40+T42*R41+T41*R42+T40*R43+T39*R44</f>
        <v>0.219975086534386977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>
        <f>((($W$39)^M44)*((1-($W$39))^($U$30-M44))*HLOOKUP($U$30,$AV$24:$BF$34,M44+1))*V44</f>
        <v>0.00197228969002299959</v>
      </c>
      <c r="AJ44" s="30" t="n">
        <v>5</v>
      </c>
      <c r="AK44" s="81">
        <f>((($W$39)^M44)*((1-($W$39))^($U$31-M44))*HLOOKUP($U$31,$AV$24:$BF$34,M44+1))*V45</f>
        <v>0.00810821784948899804</v>
      </c>
      <c r="AL44" s="30" t="n">
        <v>5</v>
      </c>
      <c r="AM44" s="81">
        <f>((($W$39)^Q44)*((1-($W$39))^($U$32-Q44))*HLOOKUP($U$32,$AV$24:$BF$34,Q44+1))*V46</f>
        <v>0.0133514610422869984</v>
      </c>
      <c r="AN44" s="30" t="n">
        <v>5</v>
      </c>
      <c r="AO44" s="81">
        <f>((($W$39)^Q44)*((1-($W$39))^($U$33-Q44))*HLOOKUP($U$33,$AV$24:$BF$34,Q44+1))*V47</f>
        <v>0.0110223313539519996</v>
      </c>
      <c r="AP44" s="30" t="n">
        <v>5</v>
      </c>
      <c r="AQ44" s="81">
        <f>((($W$39)^Q44)*((1-($W$39))^($U$34-Q44))*HLOOKUP($U$34,$AV$24:$BF$34,Q44+1))*V48</f>
        <v>0.00458023198173799972</v>
      </c>
      <c r="AR44" s="30" t="n">
        <v>5</v>
      </c>
      <c r="AS44" s="81">
        <f>((($W$39)^Q44)*((1-($W$39))^($U$35-Q44))*HLOOKUP($U$35,$AV$24:$BF$34,Q44+1))*V49</f>
        <v>0.000788825603348000026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>
        <f>$H$30*H45</f>
        <v>0.00122496139483099986</v>
      </c>
      <c r="BP44">
        <f>BP36+1</f>
        <v>9</v>
      </c>
      <c r="BQ44" t="n">
        <v>5</v>
      </c>
      <c r="BR44" s="109">
        <f>$H$34*H44</f>
        <v>2.304845381678714076E-06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>
        <f>J45*L39+J44*L40+J43*L41+J42*L42</f>
        <v>0.0418007535140699993</v>
      </c>
      <c r="I45" s="95" t="n">
        <v>6</v>
      </c>
      <c r="J45" s="88">
        <f>Y45+AA45+AC45+AE45+AG45+AI45+AK45+AM45+AO45+AQ45+AS45</f>
        <v>0.00958568356837100133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>
        <f>P44*N40+P43*N41+P42*N42+P41*N43+P40*N44</f>
        <v>0.247152228124984985</v>
      </c>
      <c r="S45" s="72" t="n">
        <v>6</v>
      </c>
      <c r="T45" s="135">
        <f>(($C$33)^S45)*((1-($C$33))^(INT($B$23*2*(1-$B$31))-S45))*HLOOKUP(INT($B$23*2*(1-$B$31)),$AV$24:$BF$34,S45+1)</f>
        <v>0</v>
      </c>
      <c r="U45" s="95" t="n">
        <v>6</v>
      </c>
      <c r="V45" s="88">
        <f>T45*R39+T44*R40+T43*R41+T42*R42+T41*R43+T40*R44+T39*R45</f>
        <v>0.246887399846839006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>
        <f>((($W$39)^Q45)*((1-($W$39))^($U$31-Q45))*HLOOKUP($U$31,$AV$24:$BF$34,Q45+1))*V45</f>
        <v>0.000862215001052000041</v>
      </c>
      <c r="AL45" s="30" t="n">
        <v>6</v>
      </c>
      <c r="AM45" s="81">
        <f>((($W$39)^Q45)*((1-($W$39))^($U$32-Q45))*HLOOKUP($U$32,$AV$24:$BF$34,Q45+1))*V46</f>
        <v>0.00283954629989299967</v>
      </c>
      <c r="AN45" s="30" t="n">
        <v>6</v>
      </c>
      <c r="AO45" s="81">
        <f>((($W$39)^Q45)*((1-($W$39))^($U$33-Q45))*HLOOKUP($U$33,$AV$24:$BF$34,Q45+1))*V47</f>
        <v>0.00351629160058000068</v>
      </c>
      <c r="AP45" s="30" t="n">
        <v>6</v>
      </c>
      <c r="AQ45" s="81">
        <f>((($W$39)^Q45)*((1-($W$39))^($U$34-Q45))*HLOOKUP($U$34,$AV$24:$BF$34,Q45+1))*V48</f>
        <v>0.00194821836130199983</v>
      </c>
      <c r="AR45" s="30" t="n">
        <v>6</v>
      </c>
      <c r="AS45" s="81">
        <f>((($W$39)^Q45)*((1-($W$39))^($U$35-Q45))*HLOOKUP($U$35,$AV$24:$BF$34,Q45+1))*V49</f>
        <v>0.000419412305544000041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>
        <f>$H$30*H46</f>
        <v>0.00038411490739599996</v>
      </c>
      <c r="BP45">
        <f>BP37+1</f>
        <v>9</v>
      </c>
      <c r="BQ45" t="n">
        <v>6</v>
      </c>
      <c r="BR45" s="109">
        <f>$H$34*H45</f>
        <v>9.474060456709960333E-07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>
        <f>J46*L39+J45*L40+J44*L41+J43*L42</f>
        <v>0.0131075906823560029</v>
      </c>
      <c r="I46" s="95" t="n">
        <v>7</v>
      </c>
      <c r="J46" s="88">
        <f>Y46+AA46+AC46+AE46+AG46+AI46+AK46+AM46+AO46+AQ46+AS46</f>
        <v>0.00158545409908000012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>
        <f>P44*N41+P43*N42+P42*N43+P41*N44</f>
        <v>0.189691318379342011</v>
      </c>
      <c r="S46" s="74" t="n">
        <v>7</v>
      </c>
      <c r="T46" s="135">
        <f>(($C$33)^S46)*((1-($C$33))^(INT($B$23*2*(1-$B$31))-S46))*HLOOKUP(INT($B$23*2*(1-$B$31)),$AV$24:$BF$34,S46+1)</f>
        <v>0</v>
      </c>
      <c r="U46" s="95" t="n">
        <v>7</v>
      </c>
      <c r="V46" s="88">
        <f>T46*R39+T45*R40+T44*R41+T43*R42+T42*R43+T41*R44+T40*R45+T39*R46</f>
        <v>0.190263832475440999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>
        <f>((($W$39)^Q46)*((1-($W$39))^($U$32-Q46))*HLOOKUP($U$32,$AV$24:$BF$34,Q46+1))*V46</f>
        <v>0.00025881672094699999</v>
      </c>
      <c r="AN46" s="30" t="n">
        <v>7</v>
      </c>
      <c r="AO46" s="81">
        <f>((($W$39)^Q46)*((1-($W$39))^($U$33-Q46))*HLOOKUP($U$33,$AV$24:$BF$34,Q46+1))*V47</f>
        <v>0.000641000333039000036</v>
      </c>
      <c r="AP46" s="30" t="n">
        <v>7</v>
      </c>
      <c r="AQ46" s="81">
        <f>((($W$39)^Q46)*((1-($W$39))^($U$34-Q46))*HLOOKUP($U$34,$AV$24:$BF$34,Q46+1))*V48</f>
        <v>0.000532724000287999999</v>
      </c>
      <c r="AR46" s="30" t="n">
        <v>7</v>
      </c>
      <c r="AS46" s="81">
        <f>((($W$39)^Q46)*((1-($W$39))^($U$35-Q46))*HLOOKUP($U$35,$AV$24:$BF$34,Q46+1))*V49</f>
        <v>0.000152913044805999991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>
        <f>$H$30*H47</f>
        <v>0.0000917521708539999992</v>
      </c>
      <c r="BP46">
        <f>BP38+1</f>
        <v>9</v>
      </c>
      <c r="BQ46" t="n">
        <v>7</v>
      </c>
      <c r="BR46" s="109">
        <f>$H$34*H46</f>
        <v>2.970810239692201126E-07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>
        <f>J47*L39+J46*L40+J45*L41+J44*L42</f>
        <v>0.00313096387726900005</v>
      </c>
      <c r="I47" s="95" t="n">
        <v>8</v>
      </c>
      <c r="J47" s="88">
        <f>Y47+AA47+AC47+AE47+AG47+AI47+AK47+AM47+AO47+AQ47+AS47</f>
        <v>0.000172681945928999987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>
        <f>P44*N42+P43*N43+P42*N44</f>
        <v>0.0955431809389030029</v>
      </c>
      <c r="S47" s="74" t="n">
        <v>8</v>
      </c>
      <c r="T47" s="135">
        <f>(($C$33)^S47)*((1-($C$33))^(INT($B$23*2*(1-$B$31))-S47))*HLOOKUP(INT($B$23*2*(1-$B$31)),$AV$24:$BF$34,S47+1)</f>
        <v>0</v>
      </c>
      <c r="U47" s="95" t="n">
        <v>8</v>
      </c>
      <c r="V47" s="88">
        <f>T47*R39+T46*R40+T45*R41+T44*R42+T43*R43+T42*R44+T41*R45+T40*R46+T39*R47</f>
        <v>0.0964837451326140005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>
        <f>((($W$39)^Q47)*((1-($W$39))^($U$33-Q47))*HLOOKUP($U$33,$AV$24:$BF$34,Q47+1))*V47</f>
        <v>0.0000511222175839999959</v>
      </c>
      <c r="AP47" s="30" t="n">
        <v>8</v>
      </c>
      <c r="AQ47" s="81">
        <f>((($W$39)^Q47)*((1-($W$39))^($U$34-Q47))*HLOOKUP($U$34,$AV$24:$BF$34,Q47+1))*V48</f>
        <v>0.0000849735354289999911</v>
      </c>
      <c r="AR47" s="30" t="n">
        <v>8</v>
      </c>
      <c r="AS47" s="81">
        <f>((($W$39)^Q47)*((1-($W$39))^($U$35-Q47))*HLOOKUP($U$35,$AV$24:$BF$34,Q47+1))*V49</f>
        <v>0.0000365861929160000043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>
        <f>$H$30*H48</f>
        <v>0.0000164564242099999998</v>
      </c>
      <c r="BP47">
        <f>BL12+1</f>
        <v>9</v>
      </c>
      <c r="BQ47" t="n">
        <v>8</v>
      </c>
      <c r="BR47" s="109">
        <f>$H$34*H47</f>
        <v>7.096269461036650221E-08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>
        <f>J48*L39+J47*L40+J46*L41+J45*L42</f>
        <v>0.000561561315329000088</v>
      </c>
      <c r="I48" s="95" t="n">
        <v>9</v>
      </c>
      <c r="J48" s="88">
        <f>Y48+AA48+AC48+AE48+AG48+AI48+AK48+AM48+AO48+AQ48+AS48</f>
        <v>0.0000112113239679999976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>
        <f>P44*N43+P43*N44</f>
        <v>0.028517283691840003</v>
      </c>
      <c r="S48" s="74" t="n">
        <v>9</v>
      </c>
      <c r="T48" s="135">
        <f>(($C$33)^S48)*((1-($C$33))^(INT($B$23*2*(1-$B$31))-S48))*HLOOKUP(INT($B$23*2*(1-$B$31)),$AV$24:$BF$34,S48+1)</f>
        <v>0</v>
      </c>
      <c r="U48" s="95" t="n">
        <v>9</v>
      </c>
      <c r="V48" s="88">
        <f>T48*R39+T47*R40+T46*R41+T45*R42+T44*R43+T43*R44+T42*R45+T41*R46+T40*R47+T39*R48</f>
        <v>0.0291882207203149981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>
        <f>((($W$39)^Q48)*((1-($W$39))^($U$34-Q48))*HLOOKUP($U$34,$AV$24:$BF$34,Q48+1))*V48</f>
        <v>6.023967148696072293E-06</v>
      </c>
      <c r="AR48" s="30" t="n">
        <v>9</v>
      </c>
      <c r="AS48" s="81">
        <f>((($W$39)^Q48)*((1-($W$39))^($U$35-Q48))*HLOOKUP($U$35,$AV$24:$BF$34,Q48+1))*V49</f>
        <v>5.187356818990245402E-06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>
        <f>$H$30*H49</f>
        <v>2.149844774788853794E-06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>
        <f>J49*L39+J48*L40+J47*L41+J46*L42</f>
        <v>0.0000733616029890000121</v>
      </c>
      <c r="I49" s="96" t="n">
        <v>10</v>
      </c>
      <c r="J49" s="91">
        <f>Y49+AA49+AC49+AE49+AG49+AI49+AK49+AM49+AO49+AQ49+AS49</f>
        <v>3.309691684322854926E-07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>
        <f>P44*N44</f>
        <v>0.00383026771273599955</v>
      </c>
      <c r="S49" s="74" t="n">
        <v>10</v>
      </c>
      <c r="T49" s="135">
        <f>(($C$33)^S49)*((1-($C$33))^(INT($B$23*2*(1-$B$31))-S49))*HLOOKUP(INT($B$23*2*(1-$B$31)),$AV$24:$BF$34,S49+1)</f>
        <v>0</v>
      </c>
      <c r="U49" s="96" t="n">
        <v>10</v>
      </c>
      <c r="V49" s="91">
        <f>IF(((T49*R39+T48*R40+T47*R41+T46*R42+T45*R43+T44*R44+T43*R45+T42*R46+T41*R47+T40*R48+T39*R49)+V37)&lt;&gt;1,1-V37,(T49*R39+T48*R40+T47*R41+T46*R42+T45*R43+T44*R44+T43*R45+T42*R46+T41*R47+T40*R48+T39*R49))</f>
        <v>0.00411711619708299992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>
        <f>((($W$39)^Q49)*((1-($W$39))^($U$35-Q49))*HLOOKUP($U$35,$AV$24:$BF$34,Q49+1))*V49</f>
        <v>3.309691684322854926E-07</v>
      </c>
      <c r="BH49">
        <f>BP14+1</f>
        <v>6</v>
      </c>
      <c r="BI49" t="n">
        <v>0</v>
      </c>
      <c r="BJ49" s="109">
        <f>$H$31*H39</f>
        <v>0.000263362935156000022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>
        <f>$H$31*H46</f>
        <v>0.000096181013426999975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>
        <f>$H$31*H47</f>
        <v>0.0000229744188700000018</v>
      </c>
    </row>
    <row r="52" spans="8:62">
      <c r="H52" s="109"/>
      <c r="BH52">
        <f>BH47+1</f>
        <v>6</v>
      </c>
      <c r="BI52" t="n">
        <v>9</v>
      </c>
      <c r="BJ52" s="109">
        <f>$H$31*H48</f>
        <v>4.120630382705907388E-06</v>
      </c>
    </row>
    <row r="53" spans="60:62">
      <c r="BH53">
        <f>BH48+1</f>
        <v>6</v>
      </c>
      <c r="BI53" t="n">
        <v>10</v>
      </c>
      <c r="BJ53" s="109">
        <f>$H$31*H49</f>
        <v>5.383135232942046409E-07</v>
      </c>
    </row>
    <row r="54" spans="60:62">
      <c r="BH54">
        <f>BH51+1</f>
        <v>7</v>
      </c>
      <c r="BI54" t="n">
        <v>8</v>
      </c>
      <c r="BJ54" s="109">
        <f>$H$32*H47</f>
        <v>4.392187254144392637E-06</v>
      </c>
    </row>
    <row r="55" spans="60:62">
      <c r="BH55">
        <f>BH52+1</f>
        <v>7</v>
      </c>
      <c r="BI55" t="n">
        <v>9</v>
      </c>
      <c r="BJ55" s="109">
        <f>$H$32*H48</f>
        <v>7.877709703121828244E-07</v>
      </c>
    </row>
    <row r="56" spans="60:62">
      <c r="BH56">
        <f>BH53+1</f>
        <v>7</v>
      </c>
      <c r="BI56" t="n">
        <v>10</v>
      </c>
      <c r="BJ56" s="109">
        <f>$H$32*H49</f>
        <v>1.029133232520534042E-07</v>
      </c>
    </row>
    <row r="57" spans="60:62">
      <c r="BH57">
        <f>BH55+1</f>
        <v>8</v>
      </c>
      <c r="BI57" t="n">
        <v>9</v>
      </c>
      <c r="BJ57" s="109">
        <f>$H$33*H48</f>
        <v>1.151633827083359935E-07</v>
      </c>
    </row>
    <row r="58" spans="60:62">
      <c r="BH58">
        <f>BH56+1</f>
        <v>8</v>
      </c>
      <c r="BI58" t="n">
        <v>10</v>
      </c>
      <c r="BJ58" s="109">
        <f>$H$33*H49</f>
        <v>1.504478697249557129E-08</v>
      </c>
    </row>
    <row r="59" spans="60:62">
      <c r="BH59">
        <f>BH58+1</f>
        <v>9</v>
      </c>
      <c r="BI59" t="n">
        <v>10</v>
      </c>
      <c r="BJ59" s="109">
        <f>$H$34*H49</f>
        <v>1.662726634066523069E-09</v>
      </c>
    </row>
  </sheetData>
  <mergeCells count="2">
    <mergeCell ref="P1:Q1"/>
    <mergeCell ref="B3:C3"/>
  </mergeCells>
  <conditionalFormatting sqref="H49">
    <cfRule type="cellIs" dxfId="70" priority="1" operator="greaterThan">
      <formula>0.15</formula>
    </cfRule>
  </conditionalFormatting>
  <conditionalFormatting sqref="H39:H49">
    <cfRule type="cellIs" dxfId="71" priority="2" operator="greaterThan">
      <formula>0.15</formula>
    </cfRule>
  </conditionalFormatting>
  <conditionalFormatting sqref="H49">
    <cfRule type="cellIs" dxfId="72" priority="3" operator="greaterThan">
      <formula>0.15</formula>
    </cfRule>
  </conditionalFormatting>
  <conditionalFormatting sqref="H39:H49">
    <cfRule type="cellIs" dxfId="73" priority="4" operator="greaterThan">
      <formula>0.15</formula>
    </cfRule>
  </conditionalFormatting>
  <conditionalFormatting sqref="H35">
    <cfRule type="cellIs" dxfId="74" priority="5" operator="greaterThan">
      <formula>0.15</formula>
    </cfRule>
  </conditionalFormatting>
  <conditionalFormatting sqref="H25:H35">
    <cfRule type="cellIs" dxfId="75" priority="6" operator="greaterThan">
      <formula>0.15</formula>
    </cfRule>
  </conditionalFormatting>
  <conditionalFormatting sqref="H35">
    <cfRule type="cellIs" dxfId="76" priority="7" operator="greaterThan">
      <formula>0.15</formula>
    </cfRule>
  </conditionalFormatting>
  <conditionalFormatting sqref="H25:H35">
    <cfRule type="cellIs" dxfId="77" priority="8" operator="greaterThan">
      <formula>0.15</formula>
    </cfRule>
  </conditionalFormatting>
  <conditionalFormatting sqref="V49">
    <cfRule type="cellIs" dxfId="78" priority="9" operator="greaterThan">
      <formula>0.15</formula>
    </cfRule>
  </conditionalFormatting>
  <conditionalFormatting sqref="V35">
    <cfRule type="cellIs" dxfId="79" priority="10" operator="greaterThan">
      <formula>0.15</formula>
    </cfRule>
  </conditionalFormatting>
  <conditionalFormatting sqref="V25:V35 V39:V49">
    <cfRule type="cellIs" dxfId="80" priority="11" operator="greaterThan">
      <formula>0.15</formula>
    </cfRule>
  </conditionalFormatting>
  <conditionalFormatting sqref="V49">
    <cfRule type="cellIs" dxfId="81" priority="12" operator="greaterThan">
      <formula>0.15</formula>
    </cfRule>
  </conditionalFormatting>
  <conditionalFormatting sqref="V35">
    <cfRule type="cellIs" dxfId="82" priority="13" operator="greaterThan">
      <formula>0.15</formula>
    </cfRule>
  </conditionalFormatting>
  <conditionalFormatting sqref="V25:V35 V39:V49">
    <cfRule type="cellIs" dxfId="83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"/>
  </sheetPr>
  <dimension ref="A1:BR59"/>
  <sheetViews>
    <sheetView view="normal" zoomScale="80" workbookViewId="0">
      <selection activeCell="O16" sqref="O16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7.142857" customWidth="1"/>
    <col min="17" max="17" width="8.857143" customWidth="1"/>
    <col min="19" max="19" width="8.857143" customWidth="1"/>
    <col min="21" max="21" width="8.857143" customWidth="1"/>
    <col min="23" max="23" width="17.428571" customWidth="1"/>
    <col min="24" max="24" width="7.142857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8.857143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5" max="35" width="8.428571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2">
      <c r="A1" s="155" t="s">
        <v>146</v>
      </c>
      <c r="B1" t="s">
        <v>1</v>
      </c>
      <c r="F1" s="12" t="s">
        <v>2</v>
      </c>
      <c r="G1" s="72">
        <f>IF(D3="SI",COUNTIF($F$6:$F$18,"RAP"),0)</f>
        <v>0</v>
      </c>
      <c r="H1" s="72">
        <f>G1+G2+G3</f>
        <v>0</v>
      </c>
      <c r="J1" s="13" t="s">
        <v>2</v>
      </c>
      <c r="K1" s="72">
        <f>IF(D3="SI",COUNTIF($J$6:$J$18,"RAP"),0)</f>
        <v>0</v>
      </c>
      <c r="L1" s="72">
        <f>K1+K2+K3</f>
        <v>0</v>
      </c>
      <c r="M1" s="150">
        <f>L1+H1</f>
        <v>0</v>
      </c>
      <c r="P1" s="155" t="s">
        <v>162</v>
      </c>
      <c r="Q1" s="155"/>
      <c r="R1" s="152" t="n">
        <v>-0.123640590504056269</v>
      </c>
      <c r="S1" s="153">
        <f>1+R1</f>
        <v>0.876359409495944064</v>
      </c>
      <c r="U1" s="158" t="s">
        <v>159</v>
      </c>
      <c r="V1">
        <f>IF(B17="JC",IF(C17="JC",1.2,1.1),IF(C17="JC",1.1,1))</f>
        <v>1</v>
      </c>
      <c r="AF1">
        <f>COUNTA(J16:J18)</f>
        <v>0</v>
      </c>
    </row>
    <row r="2" spans="1:26">
      <c r="A2" s="155" t="s">
        <v>151</v>
      </c>
      <c r="B2" t="s">
        <v>1</v>
      </c>
      <c r="F2" s="12" t="s">
        <v>5</v>
      </c>
      <c r="G2" s="72">
        <f>IF(D3="SI",COUNTIF($F$6:$F$18,"TEC"),0)</f>
        <v>0</v>
      </c>
      <c r="H2" s="15"/>
      <c r="J2" s="13" t="s">
        <v>5</v>
      </c>
      <c r="K2" s="72">
        <f>IF(D3="SI",COUNTIF($J$6:$J$18,"TEC"),0)</f>
        <v>0</v>
      </c>
      <c r="L2" s="15" t="s">
        <v>160</v>
      </c>
      <c r="M2" s="160" t="str">
        <f>IF(M1&lt;&gt;0,"SI","NO")</f>
        <v>NO</v>
      </c>
      <c r="O2" t="s">
        <v>6</v>
      </c>
      <c r="P2" s="162" t="s">
        <v>153</v>
      </c>
      <c r="R2" s="152" t="n">
        <v>0.0739597481170515003</v>
      </c>
      <c r="S2" s="153">
        <f>1+R2</f>
        <v>1.07395974811704997</v>
      </c>
      <c r="Y2" t="s">
        <v>6</v>
      </c>
      <c r="Z2" s="161" t="s">
        <v>153</v>
      </c>
    </row>
    <row r="3" spans="1:28">
      <c r="A3" s="159" t="s">
        <v>7</v>
      </c>
      <c r="B3" s="207" t="s">
        <v>133</v>
      </c>
      <c r="C3" s="207"/>
      <c r="D3" t="str">
        <f>IF(B3="Sol","SI",IF(B3="Lluvia","SI","NO"))</f>
        <v>NO</v>
      </c>
      <c r="F3" s="12" t="s">
        <v>9</v>
      </c>
      <c r="G3" s="72">
        <f>IF(D3="SI",COUNTIF($F$6:$F$18,"POT"),0)</f>
        <v>0</v>
      </c>
      <c r="H3" s="15"/>
      <c r="J3" s="13" t="s">
        <v>9</v>
      </c>
      <c r="K3" s="72">
        <f>IF(D3="SI",COUNTIF($J$6:$J$18,"POT"),0)</f>
        <v>0</v>
      </c>
      <c r="L3" s="15"/>
      <c r="O3" t="s">
        <v>10</v>
      </c>
      <c r="P3" s="162" t="s">
        <v>154</v>
      </c>
      <c r="Q3" t="s">
        <v>11</v>
      </c>
      <c r="R3" s="162" t="s">
        <v>155</v>
      </c>
      <c r="Y3" t="s">
        <v>10</v>
      </c>
      <c r="Z3" s="161" t="s">
        <v>154</v>
      </c>
      <c r="AA3" t="s">
        <v>11</v>
      </c>
      <c r="AB3" s="161" t="s">
        <v>155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163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164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BH4" t="n">
        <v>0</v>
      </c>
      <c r="BI4" t="n">
        <v>1</v>
      </c>
      <c r="BJ4" s="109" t="e">
        <f>$H$25*H40</f>
        <v>#DIV/0!</v>
      </c>
      <c r="BL4" t="n">
        <v>0</v>
      </c>
      <c r="BM4" t="n">
        <v>0</v>
      </c>
      <c r="BN4" s="109" t="e">
        <f>H25*H39</f>
        <v>#DIV/0!</v>
      </c>
      <c r="BP4" t="n">
        <v>1</v>
      </c>
      <c r="BQ4" t="n">
        <v>0</v>
      </c>
      <c r="BR4" s="109" t="e">
        <f>$H$26*H39</f>
        <v>#DIV/0!</v>
      </c>
    </row>
    <row r="5" spans="1:70">
      <c r="A5" s="185" t="s">
        <v>165</v>
      </c>
      <c r="B5" s="156" t="n">
        <v>352</v>
      </c>
      <c r="C5" s="156" t="n">
        <v>352</v>
      </c>
      <c r="E5" s="189" t="s">
        <v>34</v>
      </c>
      <c r="F5" s="164"/>
      <c r="G5" s="164" t="n">
        <v>12</v>
      </c>
      <c r="H5" s="12"/>
      <c r="I5" s="12"/>
      <c r="J5" s="163"/>
      <c r="K5" s="163" t="n">
        <v>12</v>
      </c>
      <c r="L5" s="12"/>
      <c r="M5" s="12"/>
      <c r="O5" s="69">
        <f>COUNTIF(F5:F18,"IMP")*0.017</f>
        <v>0</v>
      </c>
      <c r="P5" s="18" t="str">
        <f>P3</f>
        <v>0,6</v>
      </c>
      <c r="Q5" s="18">
        <f>P5*O5</f>
        <v>0</v>
      </c>
      <c r="R5" s="157" t="e">
        <f>IF($M$2="SI",Q5*$B$22/0.5*$S$1,Q5*$B$22/0.5*$S$2)</f>
        <v>#DIV/0!</v>
      </c>
      <c r="S5" s="173" t="e">
        <f>(1-R5)</f>
        <v>#DIV/0!</v>
      </c>
      <c r="T5" s="174" t="e">
        <f>R5*PRODUCT(S6:S19)</f>
        <v>#DIV/0!</v>
      </c>
      <c r="U5" s="174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V5" s="20"/>
      <c r="W5" s="183" t="s">
        <v>36</v>
      </c>
      <c r="X5" s="17" t="s">
        <v>37</v>
      </c>
      <c r="Y5" s="71">
        <f>COUNTIF(J5:J18,"IMP")*0.017</f>
        <v>0</v>
      </c>
      <c r="Z5" s="146" t="str">
        <f>Z3</f>
        <v>0,6</v>
      </c>
      <c r="AA5" s="21">
        <f>Z5*Y5</f>
        <v>0</v>
      </c>
      <c r="AB5" s="157" t="e">
        <f>IF($M$2="SI",AA5*$C$22/0.5*$S$1,AA5*$C$22/0.5*$S$2)</f>
        <v>#DIV/0!</v>
      </c>
      <c r="AC5" s="173" t="e">
        <f>(1-AB5)</f>
        <v>#DIV/0!</v>
      </c>
      <c r="AD5" s="174" t="e">
        <f>AB5*PRODUCT(AC6:AC19)</f>
        <v>#DIV/0!</v>
      </c>
      <c r="AE5" s="174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AF5" s="20"/>
      <c r="BH5" t="n">
        <v>0</v>
      </c>
      <c r="BI5" t="n">
        <v>2</v>
      </c>
      <c r="BJ5" s="109" t="e">
        <f>$H$25*H41</f>
        <v>#DIV/0!</v>
      </c>
      <c r="BL5" t="n">
        <v>1</v>
      </c>
      <c r="BM5" t="n">
        <v>1</v>
      </c>
      <c r="BN5" s="109" t="e">
        <f>$H$26*H40</f>
        <v>#DIV/0!</v>
      </c>
      <c r="BP5">
        <f>BP4+1</f>
        <v>2</v>
      </c>
      <c r="BQ5" t="n">
        <v>0</v>
      </c>
      <c r="BR5" s="109" t="e">
        <f>$H$27*H39</f>
        <v>#DIV/0!</v>
      </c>
    </row>
    <row r="6" spans="1:70">
      <c r="A6" s="4" t="s">
        <v>38</v>
      </c>
      <c r="B6" s="165"/>
      <c r="C6" s="166"/>
      <c r="E6" s="189" t="s">
        <v>39</v>
      </c>
      <c r="F6" s="164"/>
      <c r="G6" s="164"/>
      <c r="H6" s="12"/>
      <c r="I6" s="12"/>
      <c r="J6" s="163"/>
      <c r="K6" s="163"/>
      <c r="L6" s="12"/>
      <c r="M6" s="12"/>
      <c r="O6" s="69">
        <f>COUNTIF(F14:F18,"IMP")*0.017</f>
        <v>0</v>
      </c>
      <c r="P6" s="18" t="str">
        <f>P3</f>
        <v>0,6</v>
      </c>
      <c r="Q6" s="18">
        <f>P6*O6</f>
        <v>0</v>
      </c>
      <c r="R6" s="157" t="e">
        <f>IF($M$2="SI",Q6*$B$22/0.5*$S$1,Q6*$B$22/0.5*$S$2)</f>
        <v>#DIV/0!</v>
      </c>
      <c r="S6" s="173" t="e">
        <f>(1-R6)</f>
        <v>#DIV/0!</v>
      </c>
      <c r="T6" s="174" t="e">
        <f>R6*S5*PRODUCT(S7:S19)</f>
        <v>#DIV/0!</v>
      </c>
      <c r="U6" s="174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V6" s="20"/>
      <c r="W6" s="183" t="s">
        <v>41</v>
      </c>
      <c r="X6" s="17" t="s">
        <v>42</v>
      </c>
      <c r="Y6" s="71">
        <f>COUNTIF(J14:J18,"IMP")*0.017</f>
        <v>0</v>
      </c>
      <c r="Z6" s="146" t="str">
        <f>Z3</f>
        <v>0,6</v>
      </c>
      <c r="AA6" s="21">
        <f>Z6*Y6</f>
        <v>0</v>
      </c>
      <c r="AB6" s="157" t="e">
        <f>IF($M$2="SI",AA6*$C$22/0.5*$S$1,AA6*$C$22/0.5*$S$2)</f>
        <v>#DIV/0!</v>
      </c>
      <c r="AC6" s="173" t="e">
        <f>(1-AB6)</f>
        <v>#DIV/0!</v>
      </c>
      <c r="AD6" s="174" t="e">
        <f>AB6*AC5*PRODUCT(AC7:AC19)</f>
        <v>#DIV/0!</v>
      </c>
      <c r="AE6" s="174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AF6" s="20"/>
      <c r="BH6" t="n">
        <v>0</v>
      </c>
      <c r="BI6" t="n">
        <v>3</v>
      </c>
      <c r="BJ6" s="109" t="e">
        <f>$H$25*H42</f>
        <v>#DIV/0!</v>
      </c>
      <c r="BL6">
        <f>BH14+1</f>
        <v>2</v>
      </c>
      <c r="BM6" t="n">
        <v>2</v>
      </c>
      <c r="BN6" s="109" t="e">
        <f>$H$27*H41</f>
        <v>#DIV/0!</v>
      </c>
      <c r="BP6">
        <f>BL5+1</f>
        <v>2</v>
      </c>
      <c r="BQ6" t="n">
        <v>1</v>
      </c>
      <c r="BR6" s="109" t="e">
        <f>$H$27*H40</f>
        <v>#DIV/0!</v>
      </c>
    </row>
    <row r="7" spans="1:70">
      <c r="A7" s="7" t="s">
        <v>43</v>
      </c>
      <c r="B7" s="165"/>
      <c r="C7" s="166"/>
      <c r="E7" s="189" t="s">
        <v>44</v>
      </c>
      <c r="F7" s="164"/>
      <c r="G7" s="164"/>
      <c r="H7" s="12"/>
      <c r="I7" s="12"/>
      <c r="J7" s="163"/>
      <c r="K7" s="163"/>
      <c r="L7" s="12"/>
      <c r="M7" s="12"/>
      <c r="O7" s="69" t="n">
        <v>0</v>
      </c>
      <c r="P7" s="144" t="n">
        <v>0.5</v>
      </c>
      <c r="Q7" s="18">
        <f>P7*O7</f>
        <v>0</v>
      </c>
      <c r="R7" s="157" t="e">
        <f>IF($M$2="SI",Q7*$B$22/0.5*$S$1,Q7*$B$22/0.5*$S$2)</f>
        <v>#DIV/0!</v>
      </c>
      <c r="S7" s="173" t="e">
        <f>(1-R7)</f>
        <v>#DIV/0!</v>
      </c>
      <c r="T7" s="174" t="e">
        <f>R7*PRODUCT(S5:S6)*PRODUCT(S8:S19)</f>
        <v>#DIV/0!</v>
      </c>
      <c r="U7" s="174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183" t="s">
        <v>157</v>
      </c>
      <c r="X7" s="17" t="s">
        <v>158</v>
      </c>
      <c r="Y7" s="71" t="n">
        <v>0</v>
      </c>
      <c r="Z7" s="146" t="n">
        <v>0.5</v>
      </c>
      <c r="AA7" s="21">
        <f>Z7*Y7</f>
        <v>0</v>
      </c>
      <c r="AB7" s="157" t="e">
        <f>IF($M$2="SI",AA7*$C$22/0.5*$S$1,AA7*$C$22/0.5*$S$2)</f>
        <v>#DIV/0!</v>
      </c>
      <c r="AC7" s="173" t="e">
        <f>(1-AB7)</f>
        <v>#DIV/0!</v>
      </c>
      <c r="AD7" s="174" t="e">
        <f>AB7*PRODUCT(AC5:AC6)*PRODUCT(AC8:AC19)</f>
        <v>#DIV/0!</v>
      </c>
      <c r="AE7" s="174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BH7" t="n">
        <v>0</v>
      </c>
      <c r="BI7" t="n">
        <v>4</v>
      </c>
      <c r="BJ7" s="109" t="e">
        <f>$H$25*H43</f>
        <v>#DIV/0!</v>
      </c>
      <c r="BL7">
        <f>BH23+1</f>
        <v>3</v>
      </c>
      <c r="BM7" t="n">
        <v>3</v>
      </c>
      <c r="BN7" s="109" t="e">
        <f>$H$28*H42</f>
        <v>#DIV/0!</v>
      </c>
      <c r="BP7">
        <f>BP5+1</f>
        <v>3</v>
      </c>
      <c r="BQ7" t="n">
        <v>0</v>
      </c>
      <c r="BR7" s="109" t="e">
        <f>$H$28*H39</f>
        <v>#DIV/0!</v>
      </c>
    </row>
    <row r="8" spans="1:70">
      <c r="A8" s="7" t="s">
        <v>47</v>
      </c>
      <c r="B8" s="165"/>
      <c r="C8" s="166"/>
      <c r="E8" s="189" t="s">
        <v>44</v>
      </c>
      <c r="F8" s="164"/>
      <c r="G8" s="164"/>
      <c r="H8" s="12"/>
      <c r="I8" s="12"/>
      <c r="J8" s="163"/>
      <c r="K8" s="163"/>
      <c r="L8" s="12"/>
      <c r="M8" s="12"/>
      <c r="O8" s="69">
        <f>COUNTIF(F6:F18,"IMP")*0.01</f>
        <v>0</v>
      </c>
      <c r="P8" s="18" t="str">
        <f>P3</f>
        <v>0,6</v>
      </c>
      <c r="Q8" s="18">
        <f>P8*O8</f>
        <v>0</v>
      </c>
      <c r="R8" s="157" t="e">
        <f>IF($M$2="SI",Q8*$B$22/0.5*$S$1,Q8*$B$22/0.5*$S$2)</f>
        <v>#DIV/0!</v>
      </c>
      <c r="S8" s="173" t="e">
        <f>(1-R8)</f>
        <v>#DIV/0!</v>
      </c>
      <c r="T8" s="174" t="e">
        <f>R8*PRODUCT(S5:S7)*PRODUCT(S9:S19)</f>
        <v>#DIV/0!</v>
      </c>
      <c r="U8" s="174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183" t="s">
        <v>48</v>
      </c>
      <c r="X8" s="17" t="s">
        <v>49</v>
      </c>
      <c r="Y8" s="71">
        <f>COUNTIF(J6:J18,"IMP")*0.01</f>
        <v>0</v>
      </c>
      <c r="Z8" s="146" t="str">
        <f>Z3</f>
        <v>0,6</v>
      </c>
      <c r="AA8" s="21">
        <f>Z8*Y8</f>
        <v>0</v>
      </c>
      <c r="AB8" s="157" t="e">
        <f>IF($M$2="SI",AA8*$C$22/0.5*$S$1,AA8*$C$22/0.5*$S$2)</f>
        <v>#DIV/0!</v>
      </c>
      <c r="AC8" s="173" t="e">
        <f>(1-AB8)</f>
        <v>#DIV/0!</v>
      </c>
      <c r="AD8" s="174" t="e">
        <f>AB8*PRODUCT(AC5:AC7)*PRODUCT(AC9:AC19)</f>
        <v>#DIV/0!</v>
      </c>
      <c r="AE8" s="174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BH8" t="n">
        <v>0</v>
      </c>
      <c r="BI8" t="n">
        <v>5</v>
      </c>
      <c r="BJ8" s="109" t="e">
        <f>$H$25*H44</f>
        <v>#DIV/0!</v>
      </c>
      <c r="BL8">
        <f>BH31+1</f>
        <v>4</v>
      </c>
      <c r="BM8" t="n">
        <v>4</v>
      </c>
      <c r="BN8" s="109" t="e">
        <f>$H$29*H43</f>
        <v>#DIV/0!</v>
      </c>
      <c r="BP8">
        <f>BP6+1</f>
        <v>3</v>
      </c>
      <c r="BQ8" t="n">
        <v>1</v>
      </c>
      <c r="BR8" s="109" t="e">
        <f>$H$28*H40</f>
        <v>#DIV/0!</v>
      </c>
    </row>
    <row r="9" spans="1:70">
      <c r="A9" s="7" t="s">
        <v>50</v>
      </c>
      <c r="B9" s="165"/>
      <c r="C9" s="166"/>
      <c r="E9" s="189" t="s">
        <v>44</v>
      </c>
      <c r="F9" s="164"/>
      <c r="G9" s="164"/>
      <c r="H9" s="12"/>
      <c r="I9" s="12"/>
      <c r="J9" s="163"/>
      <c r="K9" s="163"/>
      <c r="L9" s="12"/>
      <c r="M9" s="12"/>
      <c r="O9" s="69">
        <f>COUNTIF(J6:J13,"IMP")*0.025</f>
        <v>0</v>
      </c>
      <c r="P9" s="144" t="n">
        <v>0.5</v>
      </c>
      <c r="Q9" s="18">
        <f>P9*O9</f>
        <v>0</v>
      </c>
      <c r="R9" s="157" t="e">
        <f>IF($M$2="SI",Q9*$B$22/0.5*$S$1,Q9*$B$22/0.5*$S$2)</f>
        <v>#DIV/0!</v>
      </c>
      <c r="S9" s="173" t="e">
        <f>(1-R9)</f>
        <v>#DIV/0!</v>
      </c>
      <c r="T9" s="174" t="e">
        <f>R9*PRODUCT(S5:S8)*PRODUCT(S10:S19)</f>
        <v>#DIV/0!</v>
      </c>
      <c r="U9" s="174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184" t="s">
        <v>51</v>
      </c>
      <c r="X9" s="17" t="s">
        <v>52</v>
      </c>
      <c r="Y9" s="71">
        <f>COUNTIF(F6:F13,"IMP")*0.025</f>
        <v>0</v>
      </c>
      <c r="Z9" s="146" t="n">
        <v>0.5</v>
      </c>
      <c r="AA9" s="21">
        <f>Z9*Y9</f>
        <v>0</v>
      </c>
      <c r="AB9" s="157" t="e">
        <f>IF($M$2="SI",AA9*$C$22/0.5*$S$1,AA9*$C$22/0.5*$S$2)</f>
        <v>#DIV/0!</v>
      </c>
      <c r="AC9" s="173" t="e">
        <f>(1-AB9)</f>
        <v>#DIV/0!</v>
      </c>
      <c r="AD9" s="174" t="e">
        <f>AB9*PRODUCT(AC5:AC8)*PRODUCT(AC10:AC19)</f>
        <v>#DIV/0!</v>
      </c>
      <c r="AE9" s="174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BH9" t="n">
        <v>0</v>
      </c>
      <c r="BI9" t="n">
        <v>6</v>
      </c>
      <c r="BJ9" s="109" t="e">
        <f>$H$25*H45</f>
        <v>#DIV/0!</v>
      </c>
      <c r="BL9">
        <f>BH38+1</f>
        <v>5</v>
      </c>
      <c r="BM9" t="n">
        <v>5</v>
      </c>
      <c r="BN9" s="109" t="e">
        <f>$H$30*H44</f>
        <v>#DIV/0!</v>
      </c>
      <c r="BP9">
        <f>BL6+1</f>
        <v>3</v>
      </c>
      <c r="BQ9" t="n">
        <v>2</v>
      </c>
      <c r="BR9" s="109" t="e">
        <f>$H$28*H41</f>
        <v>#DIV/0!</v>
      </c>
    </row>
    <row r="10" spans="1:70">
      <c r="A10" s="8" t="s">
        <v>53</v>
      </c>
      <c r="B10" s="165"/>
      <c r="C10" s="166"/>
      <c r="E10" s="189" t="s">
        <v>39</v>
      </c>
      <c r="F10" s="164"/>
      <c r="G10" s="164"/>
      <c r="H10" s="12"/>
      <c r="I10" s="12"/>
      <c r="J10" s="163"/>
      <c r="K10" s="163"/>
      <c r="L10" s="12"/>
      <c r="M10" s="12"/>
      <c r="O10" s="69">
        <f>COUNTIF(F14:F18,"RAP")*0.085</f>
        <v>0</v>
      </c>
      <c r="P10" s="18" t="str">
        <f>R3</f>
        <v>0,72</v>
      </c>
      <c r="Q10" s="18">
        <f>P10*O10</f>
        <v>0</v>
      </c>
      <c r="R10" s="157" t="e">
        <f>IF($M$2="SI",Q10*$B$22/0.5*$S$1,Q10*$B$22/0.5*$S$2)</f>
        <v>#DIV/0!</v>
      </c>
      <c r="S10" s="173" t="e">
        <f>(1-R10)</f>
        <v>#DIV/0!</v>
      </c>
      <c r="T10" s="174" t="e">
        <f>R10*PRODUCT(S5:S9)*PRODUCT(S11:S19)</f>
        <v>#DIV/0!</v>
      </c>
      <c r="U10" s="174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183" t="s">
        <v>54</v>
      </c>
      <c r="X10" s="17" t="s">
        <v>55</v>
      </c>
      <c r="Y10" s="71">
        <f>COUNTIF(J14:J18,"RAP")*0.085</f>
        <v>0.085</v>
      </c>
      <c r="Z10" s="146" t="str">
        <f>AB3</f>
        <v>0,72</v>
      </c>
      <c r="AA10" s="21">
        <f>Z10*Y10</f>
        <v>0.0612000000000000011</v>
      </c>
      <c r="AB10" s="157" t="e">
        <f>IF($M$2="SI",AA10*$C$22/0.5*$S$1,AA10*$C$22/0.5*$S$2)</f>
        <v>#DIV/0!</v>
      </c>
      <c r="AC10" s="173" t="e">
        <f>(1-AB10)</f>
        <v>#DIV/0!</v>
      </c>
      <c r="AD10" s="174" t="e">
        <f>AB10*PRODUCT(AC5:AC9)*PRODUCT(AC11:AC19)</f>
        <v>#DIV/0!</v>
      </c>
      <c r="AE10" s="174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BH10" t="n">
        <v>0</v>
      </c>
      <c r="BI10" t="n">
        <v>7</v>
      </c>
      <c r="BJ10" s="109" t="e">
        <f>$H$25*H46</f>
        <v>#DIV/0!</v>
      </c>
      <c r="BL10">
        <f>BH44+1</f>
        <v>6</v>
      </c>
      <c r="BM10" t="n">
        <v>6</v>
      </c>
      <c r="BN10" s="109" t="e">
        <f>$H$31*H45</f>
        <v>#DIV/0!</v>
      </c>
      <c r="BP10">
        <f>BP7+1</f>
        <v>4</v>
      </c>
      <c r="BQ10" t="n">
        <v>0</v>
      </c>
      <c r="BR10" s="109" t="e">
        <f>$H$29*H39</f>
        <v>#DIV/0!</v>
      </c>
    </row>
    <row r="11" spans="1:70">
      <c r="A11" s="8" t="s">
        <v>56</v>
      </c>
      <c r="B11" s="165"/>
      <c r="C11" s="166"/>
      <c r="E11" s="189" t="s">
        <v>57</v>
      </c>
      <c r="F11" s="164"/>
      <c r="G11" s="164"/>
      <c r="H11" s="12"/>
      <c r="I11" s="12"/>
      <c r="J11" s="163"/>
      <c r="K11" s="163"/>
      <c r="L11" s="12"/>
      <c r="M11" s="12"/>
      <c r="O11" s="69">
        <f>IF(COUNTA(F16:F18)=0,0,COUNTIF(F14:F15,"RAP")*0.085)+IF(COUNTA(F17:F18)=0,0,COUNTIF(F16,"RAP")*0.085)+IF(COUNTA(F16:F17)=0,0,COUNTIF(F18,"RAP")*0.085)+IF(COUNTA(F16,F18)=0,0,COUNTIF(F17,"RAP")*0.085)</f>
        <v>0</v>
      </c>
      <c r="P11" s="18" t="str">
        <f>R3</f>
        <v>0,72</v>
      </c>
      <c r="Q11" s="18">
        <f>P11*O11</f>
        <v>0</v>
      </c>
      <c r="R11" s="157" t="e">
        <f>IF($M$2="SI",Q11*$B$22/0.5*$S$1,Q11*$B$22/0.5*$S$2)</f>
        <v>#DIV/0!</v>
      </c>
      <c r="S11" s="173" t="e">
        <f>(1-R11)</f>
        <v>#DIV/0!</v>
      </c>
      <c r="T11" s="174" t="e">
        <f>R11*PRODUCT(S5:S10)*PRODUCT(S12:S19)</f>
        <v>#DIV/0!</v>
      </c>
      <c r="U11" s="174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183" t="s">
        <v>58</v>
      </c>
      <c r="X11" s="17" t="s">
        <v>59</v>
      </c>
      <c r="Y11" s="71">
        <f>IF(COUNTA(J16:J18)=0,0,COUNTIF(J14:J15,"RAP")*0.085)+IF(COUNTA(J17:J18)=0,0,COUNTIF(J16,"RAP")*0.085)+IF(COUNTA(J16:J17)=0,0,COUNTIF(J18,"RAP")*0.085)+IF(COUNTA(J16,J18)=0,0,COUNTIF(J17,"RAP")*0.085)</f>
        <v>0</v>
      </c>
      <c r="Z11" s="146" t="str">
        <f>AB3</f>
        <v>0,72</v>
      </c>
      <c r="AA11" s="21">
        <f>Z11*Y11</f>
        <v>0</v>
      </c>
      <c r="AB11" s="157" t="e">
        <f>IF($M$2="SI",AA11*$C$22/0.5*$S$1,AA11*$C$22/0.5*$S$2)</f>
        <v>#DIV/0!</v>
      </c>
      <c r="AC11" s="173" t="e">
        <f>(1-AB11)</f>
        <v>#DIV/0!</v>
      </c>
      <c r="AD11" s="174" t="e">
        <f>AB11*PRODUCT(AC5:AC10)*PRODUCT(AC12:AC19)</f>
        <v>#DIV/0!</v>
      </c>
      <c r="AE11" s="174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BH11" t="n">
        <v>0</v>
      </c>
      <c r="BI11" t="n">
        <v>8</v>
      </c>
      <c r="BJ11" s="109" t="e">
        <f>$H$25*H47</f>
        <v>#DIV/0!</v>
      </c>
      <c r="BL11">
        <f>BH50+1</f>
        <v>7</v>
      </c>
      <c r="BM11" t="n">
        <v>7</v>
      </c>
      <c r="BN11" s="109" t="e">
        <f>$H$32*H46</f>
        <v>#DIV/0!</v>
      </c>
      <c r="BP11">
        <f>BP8+1</f>
        <v>4</v>
      </c>
      <c r="BQ11" t="n">
        <v>1</v>
      </c>
      <c r="BR11" s="109" t="e">
        <f>$H$29*H40</f>
        <v>#DIV/0!</v>
      </c>
    </row>
    <row r="12" spans="1:70">
      <c r="A12" s="8" t="s">
        <v>60</v>
      </c>
      <c r="B12" s="165"/>
      <c r="C12" s="166"/>
      <c r="E12" s="189" t="s">
        <v>57</v>
      </c>
      <c r="F12" s="164"/>
      <c r="G12" s="164"/>
      <c r="H12" s="12"/>
      <c r="I12" s="12"/>
      <c r="J12" s="163"/>
      <c r="K12" s="163"/>
      <c r="L12" s="12"/>
      <c r="M12" s="12"/>
      <c r="O12" s="69"/>
      <c r="P12" s="144" t="n">
        <v>0.5</v>
      </c>
      <c r="Q12" s="18">
        <f>P12*O12</f>
        <v>0</v>
      </c>
      <c r="R12" s="157" t="e">
        <f>IF($M$2="SI",Q12*$B$22/0.5*$S$1,Q12*$B$22/0.5*$S$2)</f>
        <v>#DIV/0!</v>
      </c>
      <c r="S12" s="173" t="e">
        <f>(1-R12)</f>
        <v>#DIV/0!</v>
      </c>
      <c r="T12" s="174" t="e">
        <f>R12*PRODUCT(S5:S11)*PRODUCT(S13:S19)</f>
        <v>#DIV/0!</v>
      </c>
      <c r="U12" s="174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184" t="s">
        <v>61</v>
      </c>
      <c r="X12" s="17" t="s">
        <v>62</v>
      </c>
      <c r="Y12" s="71"/>
      <c r="Z12" s="146" t="n">
        <v>0.5</v>
      </c>
      <c r="AA12" s="21">
        <f>Z12*Y12</f>
        <v>0</v>
      </c>
      <c r="AB12" s="157" t="e">
        <f>IF($M$2="SI",AA12*$C$22/0.5*$S$1,AA12*$C$22/0.5*$S$2)</f>
        <v>#DIV/0!</v>
      </c>
      <c r="AC12" s="173" t="e">
        <f>(1-AB12)</f>
        <v>#DIV/0!</v>
      </c>
      <c r="AD12" s="174" t="e">
        <f>AB12*PRODUCT(AC5:AC11)*PRODUCT(AC13:AC19)</f>
        <v>#DIV/0!</v>
      </c>
      <c r="AE12" s="174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BH12" t="n">
        <v>0</v>
      </c>
      <c r="BI12" t="n">
        <v>9</v>
      </c>
      <c r="BJ12" s="109" t="e">
        <f>$H$25*H48</f>
        <v>#DIV/0!</v>
      </c>
      <c r="BL12">
        <f>BH54+1</f>
        <v>8</v>
      </c>
      <c r="BM12" t="n">
        <v>8</v>
      </c>
      <c r="BN12" s="109" t="e">
        <f>$H$33*H47</f>
        <v>#DIV/0!</v>
      </c>
      <c r="BP12">
        <f>BP9+1</f>
        <v>4</v>
      </c>
      <c r="BQ12" t="n">
        <v>2</v>
      </c>
      <c r="BR12" s="109" t="e">
        <f>$H$29*H41</f>
        <v>#DIV/0!</v>
      </c>
    </row>
    <row r="13" spans="1:70">
      <c r="A13" s="9" t="s">
        <v>63</v>
      </c>
      <c r="B13" s="165" t="n">
        <v>11.75</v>
      </c>
      <c r="C13" s="166" t="n">
        <v>12.5</v>
      </c>
      <c r="E13" s="189" t="s">
        <v>57</v>
      </c>
      <c r="F13" s="164"/>
      <c r="G13" s="164"/>
      <c r="H13" s="12"/>
      <c r="I13" s="12"/>
      <c r="J13" s="163"/>
      <c r="K13" s="163"/>
      <c r="L13" s="12"/>
      <c r="M13" s="12"/>
      <c r="O13" s="69" t="n">
        <v>0.125</v>
      </c>
      <c r="P13" s="18" t="str">
        <f>P2</f>
        <v>0,4</v>
      </c>
      <c r="Q13" s="18">
        <f>P13*O13</f>
        <v>0.05</v>
      </c>
      <c r="R13" s="157" t="e">
        <f>IF($M$2="SI",Q13*$B$22/0.5*$S$1,Q13*$B$22/0.5*$S$2)</f>
        <v>#DIV/0!</v>
      </c>
      <c r="S13" s="173" t="e">
        <f>(1-R13)</f>
        <v>#DIV/0!</v>
      </c>
      <c r="T13" s="174" t="e">
        <f>R13*PRODUCT(S5:S12)*PRODUCT(S14:S19)</f>
        <v>#DIV/0!</v>
      </c>
      <c r="U13" s="174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183" t="s">
        <v>64</v>
      </c>
      <c r="X13" s="17" t="s">
        <v>65</v>
      </c>
      <c r="Y13" s="71" t="n">
        <v>0.125</v>
      </c>
      <c r="Z13" s="21" t="str">
        <f>Z2</f>
        <v>0,4</v>
      </c>
      <c r="AA13" s="21">
        <f>Z13*Y13</f>
        <v>0.05</v>
      </c>
      <c r="AB13" s="157" t="e">
        <f>IF($M$2="SI",AA13*$C$22/0.5*$S$1,AA13*$C$22/0.5*$S$2)</f>
        <v>#DIV/0!</v>
      </c>
      <c r="AC13" s="173" t="e">
        <f>(1-AB13)</f>
        <v>#DIV/0!</v>
      </c>
      <c r="AD13" s="174" t="e">
        <f>AB13*PRODUCT(AC5:AC12)*PRODUCT(AC14:AC19)</f>
        <v>#DIV/0!</v>
      </c>
      <c r="AE13" s="174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BH13" t="n">
        <v>0</v>
      </c>
      <c r="BI13" t="n">
        <v>10</v>
      </c>
      <c r="BJ13" s="109" t="e">
        <f>$H$25*H49</f>
        <v>#DIV/0!</v>
      </c>
      <c r="BL13">
        <f>BH57+1</f>
        <v>9</v>
      </c>
      <c r="BM13" t="n">
        <v>9</v>
      </c>
      <c r="BN13" s="109" t="e">
        <f>$H$34*H48</f>
        <v>#DIV/0!</v>
      </c>
      <c r="BP13">
        <f>BL7+1</f>
        <v>4</v>
      </c>
      <c r="BQ13" t="n">
        <v>3</v>
      </c>
      <c r="BR13" s="109" t="e">
        <f>$H$29*H42</f>
        <v>#DIV/0!</v>
      </c>
    </row>
    <row r="14" spans="1:70">
      <c r="A14" s="9" t="s">
        <v>66</v>
      </c>
      <c r="B14" s="165" t="n">
        <v>9.25</v>
      </c>
      <c r="C14" s="166" t="n">
        <v>10.75</v>
      </c>
      <c r="E14" s="189" t="s">
        <v>67</v>
      </c>
      <c r="F14" s="164"/>
      <c r="G14" s="164"/>
      <c r="H14" s="12"/>
      <c r="I14" s="12"/>
      <c r="J14" s="163" t="s">
        <v>166</v>
      </c>
      <c r="K14" s="163"/>
      <c r="L14" s="12"/>
      <c r="M14" s="12"/>
      <c r="O14" s="69">
        <f>COUNTIF(F6:F18,"CAB")*0.095</f>
        <v>0</v>
      </c>
      <c r="P14" s="144" t="n">
        <v>0.95</v>
      </c>
      <c r="Q14" s="18">
        <f>P14*O14</f>
        <v>0</v>
      </c>
      <c r="R14" s="157" t="e">
        <f>IF($M$2="SI",Q14*$B$22/0.5*$S$1,Q14*$B$22/0.5*$S$2)</f>
        <v>#DIV/0!</v>
      </c>
      <c r="S14" s="173" t="e">
        <f>(1-R14)</f>
        <v>#DIV/0!</v>
      </c>
      <c r="T14" s="174" t="e">
        <f>R14*PRODUCT(S5:S13)*PRODUCT(S15:S19)</f>
        <v>#DIV/0!</v>
      </c>
      <c r="U14" s="174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183" t="s">
        <v>68</v>
      </c>
      <c r="X14" s="17" t="s">
        <v>69</v>
      </c>
      <c r="Y14" s="71">
        <f>COUNTIF(J6:J18,"CAB")*0.095</f>
        <v>0</v>
      </c>
      <c r="Z14" s="147" t="n">
        <v>0.95</v>
      </c>
      <c r="AA14" s="21">
        <f>Z14*Y14</f>
        <v>0</v>
      </c>
      <c r="AB14" s="157" t="e">
        <f>IF($M$2="SI",AA14*$C$22/0.5*$S$1,AA14*$C$22/0.5*$S$2)</f>
        <v>#DIV/0!</v>
      </c>
      <c r="AC14" s="173" t="e">
        <f>(1-AB14)</f>
        <v>#DIV/0!</v>
      </c>
      <c r="AD14" s="174" t="e">
        <f>AB14*PRODUCT(AC5:AC13)*PRODUCT(AC15:AC19)</f>
        <v>#DIV/0!</v>
      </c>
      <c r="AE14" s="174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BH14" t="n">
        <v>1</v>
      </c>
      <c r="BI14" t="n">
        <v>2</v>
      </c>
      <c r="BJ14" s="109" t="e">
        <f>$H$26*H41</f>
        <v>#DIV/0!</v>
      </c>
      <c r="BL14">
        <f>BP39+1</f>
        <v>10</v>
      </c>
      <c r="BM14" t="n">
        <v>10</v>
      </c>
      <c r="BN14" s="109" t="e">
        <f>$H$35*H49</f>
        <v>#DIV/0!</v>
      </c>
      <c r="BP14">
        <f>BP10+1</f>
        <v>5</v>
      </c>
      <c r="BQ14" t="n">
        <v>0</v>
      </c>
      <c r="BR14" s="109" t="e">
        <f>$H$30*H39</f>
        <v>#DIV/0!</v>
      </c>
    </row>
    <row r="15" spans="1:70">
      <c r="A15" s="186" t="s">
        <v>70</v>
      </c>
      <c r="B15" s="167" t="n">
        <v>7.75</v>
      </c>
      <c r="C15" s="168" t="n">
        <v>8.25</v>
      </c>
      <c r="E15" s="189" t="s">
        <v>67</v>
      </c>
      <c r="F15" s="164"/>
      <c r="G15" s="164"/>
      <c r="H15" s="12"/>
      <c r="I15" s="12"/>
      <c r="J15" s="163"/>
      <c r="K15" s="163"/>
      <c r="L15" s="12"/>
      <c r="M15" s="12"/>
      <c r="O15" s="69"/>
      <c r="P15" s="144" t="n">
        <v>0.5</v>
      </c>
      <c r="Q15" s="18">
        <f>P15*O15</f>
        <v>0</v>
      </c>
      <c r="R15" s="157" t="e">
        <f>IF($M$2="SI",Q15*$B$22/0.5*$S$1,Q15*$B$22/0.5*$S$2)</f>
        <v>#DIV/0!</v>
      </c>
      <c r="S15" s="173" t="e">
        <f>(1-R15)</f>
        <v>#DIV/0!</v>
      </c>
      <c r="T15" s="174" t="e">
        <f>R15*PRODUCT(S5:S14)*PRODUCT(S16:S19)</f>
        <v>#DIV/0!</v>
      </c>
      <c r="U15" s="174" t="e">
        <f>R15*R16*PRODUCT(S5:S14)*PRODUCT(S17:S19)+R15*R17*PRODUCT(S5:S14)*S16*PRODUCT(S18:S19)+R15*R18*PRODUCT(S5:S14)*S16*S17*S19+R15*R19*PRODUCT(S5:S14)*S16*S17*S18</f>
        <v>#DIV/0!</v>
      </c>
      <c r="W15" s="183" t="s">
        <v>71</v>
      </c>
      <c r="X15" s="17" t="s">
        <v>72</v>
      </c>
      <c r="Y15" s="71"/>
      <c r="Z15" s="146" t="n">
        <v>0.5</v>
      </c>
      <c r="AA15" s="21">
        <f>Z15*Y15</f>
        <v>0</v>
      </c>
      <c r="AB15" s="157" t="e">
        <f>IF($M$2="SI",AA15*$C$22/0.5*$S$1,AA15*$C$22/0.5*$S$2)</f>
        <v>#DIV/0!</v>
      </c>
      <c r="AC15" s="173" t="e">
        <f>(1-AB15)</f>
        <v>#DIV/0!</v>
      </c>
      <c r="AD15" s="174" t="e">
        <f>AB15*PRODUCT(AC5:AC14)*PRODUCT(AC16:AC19)</f>
        <v>#DIV/0!</v>
      </c>
      <c r="AE15" s="174" t="e">
        <f>AB15*AB16*PRODUCT(AC5:AC14)*PRODUCT(AC17:AC19)+AB15*AB17*PRODUCT(AC5:AC14)*AC16*PRODUCT(AC18:AC19)+AB15*AB18*PRODUCT(AC5:AC14)*AC16*AC17*AC19+AB15*AB19*PRODUCT(AC5:AC14)*AC16*AC17*AC18</f>
        <v>#DIV/0!</v>
      </c>
      <c r="BH15" t="n">
        <v>1</v>
      </c>
      <c r="BI15" t="n">
        <v>3</v>
      </c>
      <c r="BJ15" s="109" t="e">
        <f>$H$26*H42</f>
        <v>#DIV/0!</v>
      </c>
      <c r="BP15">
        <f>BP11+1</f>
        <v>5</v>
      </c>
      <c r="BQ15" t="n">
        <v>1</v>
      </c>
      <c r="BR15" s="109" t="e">
        <f>$H$30*H40</f>
        <v>#DIV/0!</v>
      </c>
    </row>
    <row r="16" spans="1:70">
      <c r="A16" s="186" t="s">
        <v>73</v>
      </c>
      <c r="B16" s="54">
        <f>AVERAGE(G5:G18)</f>
        <v>12</v>
      </c>
      <c r="C16" s="56">
        <f>AVERAGE(K5:K18)</f>
        <v>12</v>
      </c>
      <c r="E16" s="189" t="s">
        <v>74</v>
      </c>
      <c r="F16" s="164"/>
      <c r="G16" s="164"/>
      <c r="H16" s="12"/>
      <c r="I16" s="12"/>
      <c r="J16" s="163"/>
      <c r="K16" s="163"/>
      <c r="L16" s="12"/>
      <c r="M16" s="12"/>
      <c r="O16" s="69">
        <f>COUNTA(L6:L13)*0.03</f>
        <v>0</v>
      </c>
      <c r="P16" s="144" t="n">
        <v>0.25</v>
      </c>
      <c r="Q16" s="18">
        <f>P16*O16</f>
        <v>0</v>
      </c>
      <c r="R16" s="157" t="e">
        <f>IF($M$2="SI",Q16*$B$22/0.5*$S$1,Q16*$B$22/0.5*$S$2)</f>
        <v>#DIV/0!</v>
      </c>
      <c r="S16" s="173" t="e">
        <f>(1-R16)</f>
        <v>#DIV/0!</v>
      </c>
      <c r="T16" s="174" t="e">
        <f>R16*PRODUCT(S5:S15)*PRODUCT(S17:S19)</f>
        <v>#DIV/0!</v>
      </c>
      <c r="U16" s="174" t="e">
        <f>R16*R17*PRODUCT(S5:S15)*PRODUCT(S18:S19)+R16*R18*PRODUCT(S5:S15)*S17*S19+R16*R19*PRODUCT(S5:S15)*S17*S18</f>
        <v>#DIV/0!</v>
      </c>
      <c r="W16" s="184" t="s">
        <v>75</v>
      </c>
      <c r="X16" s="17" t="s">
        <v>76</v>
      </c>
      <c r="Y16" s="71">
        <f>COUNTA(H6:H13)*0.03</f>
        <v>0</v>
      </c>
      <c r="Z16" s="146" t="n">
        <v>0.25</v>
      </c>
      <c r="AA16" s="21">
        <f>Z16*Y16</f>
        <v>0</v>
      </c>
      <c r="AB16" s="157" t="e">
        <f>IF($M$2="SI",AA16*$C$22/0.5*$S$1,AA16*$C$22/0.5*$S$2)</f>
        <v>#DIV/0!</v>
      </c>
      <c r="AC16" s="173" t="e">
        <f>(1-AB16)</f>
        <v>#DIV/0!</v>
      </c>
      <c r="AD16" s="174" t="e">
        <f>AB16*PRODUCT(AC5:AC15)*PRODUCT(AC17:AC19)</f>
        <v>#DIV/0!</v>
      </c>
      <c r="AE16" s="174" t="e">
        <f>AB16*AB17*PRODUCT(AC5:AC15)*PRODUCT(AC18:AC19)+AB16*AB18*PRODUCT(AC5:AC15)*AC17*AC19+AB16*AB19*PRODUCT(AC5:AC15)*AC17*AC18</f>
        <v>#DIV/0!</v>
      </c>
      <c r="BH16" t="n">
        <v>1</v>
      </c>
      <c r="BI16" t="n">
        <v>4</v>
      </c>
      <c r="BJ16" s="109" t="e">
        <f>$H$26*H43</f>
        <v>#DIV/0!</v>
      </c>
      <c r="BP16">
        <f>BP12+1</f>
        <v>5</v>
      </c>
      <c r="BQ16" t="n">
        <v>2</v>
      </c>
      <c r="BR16" s="109" t="e">
        <f>$H$30*H41</f>
        <v>#DIV/0!</v>
      </c>
    </row>
    <row r="17" spans="1:70">
      <c r="A17" s="185" t="s">
        <v>77</v>
      </c>
      <c r="B17" s="169" t="s">
        <v>78</v>
      </c>
      <c r="C17" s="170" t="s">
        <v>78</v>
      </c>
      <c r="E17" s="189" t="s">
        <v>74</v>
      </c>
      <c r="F17" s="164"/>
      <c r="G17" s="164"/>
      <c r="H17" s="12"/>
      <c r="I17" s="12"/>
      <c r="J17" s="163"/>
      <c r="K17" s="163"/>
      <c r="L17" s="12"/>
      <c r="M17" s="12"/>
      <c r="O17" s="69">
        <f>(0.02*2)*IF(COUNTBLANK(F14:F15)&lt;&gt;0,(2-COUNTBLANK(F14:F15))/2,1)</f>
        <v>0</v>
      </c>
      <c r="P17" s="18" t="str">
        <f>P3</f>
        <v>0,6</v>
      </c>
      <c r="Q17" s="18">
        <f>P17*O17</f>
        <v>0</v>
      </c>
      <c r="R17" s="157" t="e">
        <f>IF($M$2="SI",Q17*$B$22/0.5*$S$1,Q17*$B$22/0.5*$S$2)</f>
        <v>#DIV/0!</v>
      </c>
      <c r="S17" s="173" t="e">
        <f>(1-R17)</f>
        <v>#DIV/0!</v>
      </c>
      <c r="T17" s="174" t="e">
        <f>R17*PRODUCT(S5:S16)*PRODUCT(S18:S19)</f>
        <v>#DIV/0!</v>
      </c>
      <c r="U17" s="174" t="e">
        <f>R17*R18*PRODUCT(S5:S16)*S19+R17*R19*PRODUCT(S5:S16)*S18</f>
        <v>#DIV/0!</v>
      </c>
      <c r="W17" s="183" t="s">
        <v>79</v>
      </c>
      <c r="X17" s="17" t="s">
        <v>80</v>
      </c>
      <c r="Y17" s="71">
        <f>(0.02*2)*IF(COUNTBLANK(J14:J15)&lt;&gt;0,(2-COUNTBLANK(J14:J15))/2,1)</f>
        <v>0.02</v>
      </c>
      <c r="Z17" s="146" t="str">
        <f>Z3</f>
        <v>0,6</v>
      </c>
      <c r="AA17" s="21">
        <f>Z17*Y17</f>
        <v>0.0119999999999999996</v>
      </c>
      <c r="AB17" s="157" t="e">
        <f>IF($M$2="SI",AA17*$C$22/0.5*$S$1,AA17*$C$22/0.5*$S$2)</f>
        <v>#DIV/0!</v>
      </c>
      <c r="AC17" s="173" t="e">
        <f>(1-AB17)</f>
        <v>#DIV/0!</v>
      </c>
      <c r="AD17" s="174" t="e">
        <f>AB17*PRODUCT(AC5:AC16)*PRODUCT(AC18:AC19)</f>
        <v>#DIV/0!</v>
      </c>
      <c r="AE17" s="174" t="e">
        <f>AB17*AB18*PRODUCT(AC5:AC16)*AC19+AB17*AB19*PRODUCT(AC5:AC16)*AC18</f>
        <v>#DIV/0!</v>
      </c>
      <c r="BH17" t="n">
        <v>1</v>
      </c>
      <c r="BI17" t="n">
        <v>5</v>
      </c>
      <c r="BJ17" s="109" t="e">
        <f>$H$26*H44</f>
        <v>#DIV/0!</v>
      </c>
      <c r="BP17">
        <f>BP13+1</f>
        <v>5</v>
      </c>
      <c r="BQ17" t="n">
        <v>3</v>
      </c>
      <c r="BR17" s="109" t="e">
        <f>$H$30*H42</f>
        <v>#DIV/0!</v>
      </c>
    </row>
    <row r="18" spans="1:70">
      <c r="A18" s="185" t="s">
        <v>81</v>
      </c>
      <c r="B18" s="169" t="n">
        <v>20</v>
      </c>
      <c r="C18" s="170" t="n">
        <v>20</v>
      </c>
      <c r="E18" s="189" t="s">
        <v>74</v>
      </c>
      <c r="F18" s="164"/>
      <c r="G18" s="164"/>
      <c r="H18" s="12"/>
      <c r="I18" s="12"/>
      <c r="J18" s="163"/>
      <c r="K18" s="163"/>
      <c r="L18" s="12"/>
      <c r="M18" s="12"/>
      <c r="O18" s="69" t="n">
        <v>0</v>
      </c>
      <c r="P18" s="144" t="n">
        <v>0.5</v>
      </c>
      <c r="Q18" s="18">
        <f>P18*O18</f>
        <v>0</v>
      </c>
      <c r="R18" s="157" t="e">
        <f>IF($M$2="SI",Q18*$B$22/0.5*$S$1,Q18*$B$22/0.5*$S$2)</f>
        <v>#DIV/0!</v>
      </c>
      <c r="S18" s="173" t="e">
        <f>(1-R18)</f>
        <v>#DIV/0!</v>
      </c>
      <c r="T18" s="174" t="e">
        <f>R18*PRODUCT(S5:S17)*PRODUCT(S19)</f>
        <v>#DIV/0!</v>
      </c>
      <c r="U18" s="174" t="e">
        <f>R18*R19*PRODUCT(S5:S17)</f>
        <v>#DIV/0!</v>
      </c>
      <c r="W18" s="183" t="s">
        <v>82</v>
      </c>
      <c r="X18" s="17" t="s">
        <v>83</v>
      </c>
      <c r="Y18" s="71" t="n">
        <v>0</v>
      </c>
      <c r="Z18" s="146" t="n">
        <v>0.5</v>
      </c>
      <c r="AA18" s="21">
        <f>Z18*Y18</f>
        <v>0</v>
      </c>
      <c r="AB18" s="157" t="e">
        <f>IF($M$2="SI",AA18*$C$22/0.5*$S$1,AA18*$C$22/0.5*$S$2)</f>
        <v>#DIV/0!</v>
      </c>
      <c r="AC18" s="173" t="e">
        <f>(1-AB18)</f>
        <v>#DIV/0!</v>
      </c>
      <c r="AD18" s="174" t="e">
        <f>AB18*PRODUCT(AC5:AC17)*PRODUCT(AC19)</f>
        <v>#DIV/0!</v>
      </c>
      <c r="AE18" s="174" t="e">
        <f>AB18*AB19*PRODUCT(AC5:AC17)</f>
        <v>#DIV/0!</v>
      </c>
      <c r="BH18" t="n">
        <v>1</v>
      </c>
      <c r="BI18" t="n">
        <v>6</v>
      </c>
      <c r="BJ18" s="109" t="e">
        <f>$H$26*H45</f>
        <v>#DIV/0!</v>
      </c>
      <c r="BP18">
        <f>BL8+1</f>
        <v>5</v>
      </c>
      <c r="BQ18" t="n">
        <v>4</v>
      </c>
      <c r="BR18" s="109" t="e">
        <f>$H$30*H43</f>
        <v>#DIV/0!</v>
      </c>
    </row>
    <row r="19" spans="8:70">
      <c r="H19" s="15" t="s">
        <v>161</v>
      </c>
      <c r="L19" s="15" t="s">
        <v>161</v>
      </c>
      <c r="O19" s="69">
        <f>COUNTIF(F14:F18,"TEC")*0.06*IF(COUNTIF(J6:J13,"CAB")&lt;&gt;0,1,0)</f>
        <v>0</v>
      </c>
      <c r="P19" s="18" t="str">
        <f>P3</f>
        <v>0,6</v>
      </c>
      <c r="Q19" s="18">
        <f>P19*O19</f>
        <v>0</v>
      </c>
      <c r="R19" s="157" t="e">
        <f>IF($M$2="SI",Q19*$B$22/0.5*$S$1,Q19*$B$22/0.5*$S$2)</f>
        <v>#DIV/0!</v>
      </c>
      <c r="S19" s="175" t="e">
        <f>(1-R19)</f>
        <v>#DIV/0!</v>
      </c>
      <c r="T19" s="176" t="e">
        <f>R19*PRODUCT(S5:S18)</f>
        <v>#DIV/0!</v>
      </c>
      <c r="U19" s="176" t="n">
        <v>0</v>
      </c>
      <c r="V19" s="3" t="s">
        <v>85</v>
      </c>
      <c r="W19" s="183" t="s">
        <v>86</v>
      </c>
      <c r="X19" s="17" t="s">
        <v>87</v>
      </c>
      <c r="Y19" s="71">
        <f>COUNTIF(J14:J18,"TEC")*0.06*IF(COUNTIF(F6:F13,"CAB")&lt;&gt;0,1,0)</f>
        <v>0</v>
      </c>
      <c r="Z19" s="146" t="str">
        <f>Z3</f>
        <v>0,6</v>
      </c>
      <c r="AA19" s="21">
        <f>Z19*Y19</f>
        <v>0</v>
      </c>
      <c r="AB19" s="157" t="e">
        <f>IF($M$2="SI",AA19*$C$22/0.5*$S$1,AA19*$C$22/0.5*$S$2)</f>
        <v>#DIV/0!</v>
      </c>
      <c r="AC19" s="175" t="e">
        <f>(1-AB19)</f>
        <v>#DIV/0!</v>
      </c>
      <c r="AD19" s="176" t="e">
        <f>AB19*PRODUCT(AC5:AC18)</f>
        <v>#DIV/0!</v>
      </c>
      <c r="AE19" s="176" t="n">
        <v>0</v>
      </c>
      <c r="AF19" s="3" t="s">
        <v>85</v>
      </c>
      <c r="BH19" t="n">
        <v>1</v>
      </c>
      <c r="BI19" t="n">
        <v>7</v>
      </c>
      <c r="BJ19" s="109" t="e">
        <f>$H$26*H46</f>
        <v>#DIV/0!</v>
      </c>
      <c r="BP19">
        <f>BP15+1</f>
        <v>6</v>
      </c>
      <c r="BQ19" t="n">
        <v>1</v>
      </c>
      <c r="BR19" s="109" t="e">
        <f>$H$31*H40</f>
        <v>#DIV/0!</v>
      </c>
    </row>
    <row r="20" spans="1:70">
      <c r="A20" s="187" t="s">
        <v>88</v>
      </c>
      <c r="B20">
        <f>IF(B17="Pres",IF(C17="Pres",2,1),IF(C17="Pres",1,0))</f>
        <v>0</v>
      </c>
      <c r="D20" s="38"/>
      <c r="O20" s="24"/>
      <c r="P20" s="24"/>
      <c r="Q20" s="24"/>
      <c r="S20" s="177" t="e">
        <f>PRODUCT(S5:S19)</f>
        <v>#DIV/0!</v>
      </c>
      <c r="T20" s="178" t="e">
        <f>SUM(T5:T19)</f>
        <v>#DIV/0!</v>
      </c>
      <c r="U20" s="178" t="e">
        <f>SUM(U5:U19)</f>
        <v>#DIV/0!</v>
      </c>
      <c r="V20" s="178" t="e">
        <f>1-S20-T20-U20</f>
        <v>#DIV/0!</v>
      </c>
      <c r="W20" s="23"/>
      <c r="X20" s="24"/>
      <c r="Y20" s="24"/>
      <c r="Z20" s="24"/>
      <c r="AA20" s="24"/>
      <c r="AB20" s="25"/>
      <c r="AC20" s="181" t="e">
        <f>PRODUCT(AC5:AC19)</f>
        <v>#DIV/0!</v>
      </c>
      <c r="AD20" s="178" t="e">
        <f>SUM(AD5:AD19)</f>
        <v>#DIV/0!</v>
      </c>
      <c r="AE20" s="178" t="e">
        <f>SUM(AE5:AE19)</f>
        <v>#DIV/0!</v>
      </c>
      <c r="AF20" s="178" t="e">
        <f>1-AC20-AD20-AE20</f>
        <v>#DIV/0!</v>
      </c>
      <c r="BH20" t="n">
        <v>1</v>
      </c>
      <c r="BI20" t="n">
        <v>8</v>
      </c>
      <c r="BJ20" s="109" t="e">
        <f>$H$26*H47</f>
        <v>#DIV/0!</v>
      </c>
      <c r="BP20">
        <f>BP16+1</f>
        <v>6</v>
      </c>
      <c r="BQ20" t="n">
        <v>2</v>
      </c>
      <c r="BR20" s="109" t="e">
        <f>$H$31*H41</f>
        <v>#DIV/0!</v>
      </c>
    </row>
    <row r="21" spans="1:70">
      <c r="A21" s="187" t="s">
        <v>89</v>
      </c>
      <c r="B21" s="188">
        <f>5-B20</f>
        <v>5</v>
      </c>
      <c r="C21" s="37"/>
      <c r="D21" s="26"/>
      <c r="E21" s="26"/>
      <c r="O21" s="24"/>
      <c r="P21" s="24"/>
      <c r="Q21" s="24"/>
      <c r="S21" s="179" t="e">
        <f>1-T21-U21-V21</f>
        <v>#DIV/0!</v>
      </c>
      <c r="T21" s="180" t="e">
        <f>T20*V1</f>
        <v>#DIV/0!</v>
      </c>
      <c r="U21" s="180" t="e">
        <f>U20*V1</f>
        <v>#DIV/0!</v>
      </c>
      <c r="V21" s="180" t="e">
        <f>V20*V1</f>
        <v>#DIV/0!</v>
      </c>
      <c r="W21" s="23"/>
      <c r="X21" s="24"/>
      <c r="Y21" s="24"/>
      <c r="Z21" s="24"/>
      <c r="AA21" s="24"/>
      <c r="AB21" s="25"/>
      <c r="AC21" s="182" t="e">
        <f>1-AD21-AE21-AF21</f>
        <v>#DIV/0!</v>
      </c>
      <c r="AD21" s="180" t="e">
        <f>AD20*V1</f>
        <v>#DIV/0!</v>
      </c>
      <c r="AE21" s="180" t="e">
        <f>AE20*V1</f>
        <v>#DIV/0!</v>
      </c>
      <c r="AF21" s="180" t="e">
        <f>AF20*V1</f>
        <v>#DIV/0!</v>
      </c>
      <c r="BH21" s="20" t="n">
        <v>1</v>
      </c>
      <c r="BI21" t="n">
        <v>9</v>
      </c>
      <c r="BJ21" s="109" t="e">
        <f>$H$26*H48</f>
        <v>#DIV/0!</v>
      </c>
      <c r="BP21">
        <f>BP17+1</f>
        <v>6</v>
      </c>
      <c r="BQ21" t="n">
        <v>3</v>
      </c>
      <c r="BR21" s="109" t="e">
        <f>$H$31*H42</f>
        <v>#DIV/0!</v>
      </c>
    </row>
    <row r="22" spans="1:70">
      <c r="A22" s="28" t="s">
        <v>90</v>
      </c>
      <c r="B22" s="64" t="e">
        <f>(B6)/((B6)+(C6))</f>
        <v>#DIV/0!</v>
      </c>
      <c r="C22" s="65" t="e">
        <f>1-B22</f>
        <v>#DIV/0!</v>
      </c>
      <c r="D22" s="26"/>
      <c r="E22" s="26"/>
      <c r="V22" s="61" t="e">
        <f>SUM(V25:V35)</f>
        <v>#DIV/0!</v>
      </c>
      <c r="AS22" s="84" t="e">
        <f>Y23+AA23+AC23+AE23+AG23+AI23+AK23+AM23+AO23+AQ23+AS23</f>
        <v>#DIV/0!</v>
      </c>
      <c r="BH22" t="n">
        <v>1</v>
      </c>
      <c r="BI22" t="n">
        <v>10</v>
      </c>
      <c r="BJ22" s="109" t="e">
        <f>$H$26*H49</f>
        <v>#DIV/0!</v>
      </c>
      <c r="BP22">
        <f>BP18+1</f>
        <v>6</v>
      </c>
      <c r="BQ22" t="n">
        <v>4</v>
      </c>
      <c r="BR22" s="109" t="e">
        <f>$H$31*H43</f>
        <v>#DIV/0!</v>
      </c>
    </row>
    <row r="23" spans="1:70">
      <c r="A23" s="42" t="s">
        <v>91</v>
      </c>
      <c r="B23" s="58" t="e">
        <f>((B22^2.8)/((B22^2.8)+(C22^2.8)))*B21</f>
        <v>#DIV/0!</v>
      </c>
      <c r="C23" s="59" t="e">
        <f>B21-B23</f>
        <v>#DIV/0!</v>
      </c>
      <c r="D23" s="151">
        <f>SUM(D25:D30)</f>
        <v>1</v>
      </c>
      <c r="E23" s="151">
        <f>SUM(E25:E30)</f>
        <v>1</v>
      </c>
      <c r="H23" s="61" t="e">
        <f>SUM(H25:H35)</f>
        <v>#DIV/0!</v>
      </c>
      <c r="J23" s="61" t="e">
        <f>SUM(J25:J35)</f>
        <v>#DIV/0!</v>
      </c>
      <c r="K23" s="61"/>
      <c r="L23" s="61" t="e">
        <f>SUM(L25:L35)</f>
        <v>#DIV/0!</v>
      </c>
      <c r="N23" s="61" t="e">
        <f>SUM(N25:N35)</f>
        <v>#DIV/0!</v>
      </c>
      <c r="O23" s="36"/>
      <c r="P23" s="61" t="e">
        <f>SUM(P25:P35)</f>
        <v>#DIV/0!</v>
      </c>
      <c r="R23" s="61" t="e">
        <f>SUM(R25:R35)</f>
        <v>#DIV/0!</v>
      </c>
      <c r="T23" s="61" t="e">
        <f>SUM(T25:T35)</f>
        <v>#DIV/0!</v>
      </c>
      <c r="V23" s="61" t="e">
        <f>SUM(V25:V34)</f>
        <v>#DIV/0!</v>
      </c>
      <c r="Y23" s="82" t="e">
        <f>SUM(Y25:Y35)</f>
        <v>#DIV/0!</v>
      </c>
      <c r="Z23" s="83"/>
      <c r="AA23" s="82" t="e">
        <f>SUM(AA25:AA35)</f>
        <v>#DIV/0!</v>
      </c>
      <c r="AB23" s="83"/>
      <c r="AC23" s="82" t="e">
        <f>SUM(AC25:AC35)</f>
        <v>#DIV/0!</v>
      </c>
      <c r="AD23" s="83"/>
      <c r="AE23" s="82" t="e">
        <f>SUM(AE25:AE35)</f>
        <v>#DIV/0!</v>
      </c>
      <c r="AF23" s="83"/>
      <c r="AG23" s="82" t="e">
        <f>SUM(AG25:AG35)</f>
        <v>#DIV/0!</v>
      </c>
      <c r="AH23" s="83"/>
      <c r="AI23" s="82" t="e">
        <f>SUM(AI25:AI35)</f>
        <v>#DIV/0!</v>
      </c>
      <c r="AJ23" s="83"/>
      <c r="AK23" s="82" t="e">
        <f>SUM(AK25:AK35)</f>
        <v>#DIV/0!</v>
      </c>
      <c r="AL23" s="83"/>
      <c r="AM23" s="82" t="e">
        <f>SUM(AM25:AM35)</f>
        <v>#DIV/0!</v>
      </c>
      <c r="AN23" s="83"/>
      <c r="AO23" s="82" t="e">
        <f>SUM(AO25:AO35)</f>
        <v>#DIV/0!</v>
      </c>
      <c r="AP23" s="83"/>
      <c r="AQ23" s="82" t="e">
        <f>SUM(AQ25:AQ35)</f>
        <v>#DIV/0!</v>
      </c>
      <c r="AR23" s="83"/>
      <c r="AS23" s="82" t="e">
        <f>SUM(AS25:AS35)</f>
        <v>#DIV/0!</v>
      </c>
      <c r="BH23">
        <f>BH15+1</f>
        <v>2</v>
      </c>
      <c r="BI23" t="n">
        <v>3</v>
      </c>
      <c r="BJ23" s="109" t="e">
        <f>$H$27*H42</f>
        <v>#DIV/0!</v>
      </c>
      <c r="BP23">
        <f>BL9+1</f>
        <v>6</v>
      </c>
      <c r="BQ23" t="n">
        <v>5</v>
      </c>
      <c r="BR23" s="109" t="e">
        <f>$H$31*H44</f>
        <v>#DIV/0!</v>
      </c>
    </row>
    <row r="24" spans="1:70">
      <c r="A24" s="28" t="s">
        <v>92</v>
      </c>
      <c r="B24" s="66" t="e">
        <f>B23/B21</f>
        <v>#DIV/0!</v>
      </c>
      <c r="C24" s="67" t="e">
        <f>C23/B21</f>
        <v>#DIV/0!</v>
      </c>
      <c r="D24" s="15" t="s">
        <v>93</v>
      </c>
      <c r="E24" s="15" t="s">
        <v>94</v>
      </c>
      <c r="G24" s="101" t="s">
        <v>95</v>
      </c>
      <c r="H24" s="102" t="s">
        <v>21</v>
      </c>
      <c r="I24" s="101" t="s">
        <v>96</v>
      </c>
      <c r="J24" s="103" t="s">
        <v>97</v>
      </c>
      <c r="K24" s="101" t="s">
        <v>98</v>
      </c>
      <c r="L24" s="103" t="s">
        <v>21</v>
      </c>
      <c r="M24" s="85" t="s">
        <v>99</v>
      </c>
      <c r="N24" s="29" t="s">
        <v>100</v>
      </c>
      <c r="O24" s="29" t="s">
        <v>101</v>
      </c>
      <c r="P24" s="29" t="s">
        <v>21</v>
      </c>
      <c r="Q24" s="29" t="s">
        <v>102</v>
      </c>
      <c r="R24" s="29" t="s">
        <v>21</v>
      </c>
      <c r="S24" s="29" t="s">
        <v>103</v>
      </c>
      <c r="T24" s="134" t="s">
        <v>21</v>
      </c>
      <c r="U24" s="138" t="s">
        <v>104</v>
      </c>
      <c r="V24" s="139" t="s">
        <v>100</v>
      </c>
      <c r="W24" s="85" t="s">
        <v>105</v>
      </c>
      <c r="X24" s="29" t="s">
        <v>106</v>
      </c>
      <c r="Y24" s="29" t="s">
        <v>21</v>
      </c>
      <c r="Z24" s="29" t="s">
        <v>107</v>
      </c>
      <c r="AA24" s="29" t="s">
        <v>21</v>
      </c>
      <c r="AB24" s="29" t="s">
        <v>108</v>
      </c>
      <c r="AC24" s="29" t="s">
        <v>21</v>
      </c>
      <c r="AD24" s="29" t="s">
        <v>109</v>
      </c>
      <c r="AE24" s="29" t="s">
        <v>21</v>
      </c>
      <c r="AF24" s="29" t="s">
        <v>110</v>
      </c>
      <c r="AG24" s="29" t="s">
        <v>21</v>
      </c>
      <c r="AH24" s="29" t="s">
        <v>111</v>
      </c>
      <c r="AI24" s="29" t="s">
        <v>21</v>
      </c>
      <c r="AJ24" s="29" t="s">
        <v>112</v>
      </c>
      <c r="AK24" s="29" t="s">
        <v>21</v>
      </c>
      <c r="AL24" s="29" t="s">
        <v>113</v>
      </c>
      <c r="AM24" s="29" t="s">
        <v>21</v>
      </c>
      <c r="AN24" s="29" t="s">
        <v>114</v>
      </c>
      <c r="AO24" s="29" t="s">
        <v>21</v>
      </c>
      <c r="AP24" s="29" t="s">
        <v>115</v>
      </c>
      <c r="AQ24" s="29" t="s">
        <v>21</v>
      </c>
      <c r="AR24" s="29" t="s">
        <v>116</v>
      </c>
      <c r="AS24" s="29" t="s">
        <v>21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 t="e">
        <f>$H$27*H43</f>
        <v>#DIV/0!</v>
      </c>
      <c r="BP24">
        <f>BH49+1</f>
        <v>7</v>
      </c>
      <c r="BQ24" t="n">
        <v>0</v>
      </c>
      <c r="BR24" s="109" t="e">
        <f>$H$32*H39</f>
        <v>#DIV/0!</v>
      </c>
    </row>
    <row r="25" spans="1:70">
      <c r="A25" s="28" t="s">
        <v>117</v>
      </c>
      <c r="B25" s="119" t="e">
        <f>1/(1+EXP(-3.1416*4*((B11/(B11+C8))-(3.1416/6))))</f>
        <v>#DIV/0!</v>
      </c>
      <c r="C25" s="120" t="e">
        <f>1/(1+EXP(-3.1416*4*((C11/(C11+B8))-(3.1416/6))))</f>
        <v>#DIV/0!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126" t="n">
        <v>0</v>
      </c>
      <c r="H25" s="127" t="e">
        <f>L25*J25</f>
        <v>#DIV/0!</v>
      </c>
      <c r="I25" s="99" t="n">
        <v>0</v>
      </c>
      <c r="J25" s="100" t="e">
        <f>Y25+AA25+AC25+AE25+AG25+AI25+AK25+AM25+AO25+AQ25+AS25</f>
        <v>#DIV/0!</v>
      </c>
      <c r="K25" s="99" t="n">
        <v>0</v>
      </c>
      <c r="L25" s="100" t="e">
        <f>S21</f>
        <v>#DIV/0!</v>
      </c>
      <c r="M25" s="86" t="n">
        <v>0</v>
      </c>
      <c r="N25" s="73" t="e">
        <f>(1-$B$24)^$B$21</f>
        <v>#DIV/0!</v>
      </c>
      <c r="O25" s="72" t="n">
        <v>0</v>
      </c>
      <c r="P25" s="73" t="e">
        <f>N25</f>
        <v>#DIV/0!</v>
      </c>
      <c r="Q25" s="14" t="n">
        <v>0</v>
      </c>
      <c r="R25" s="75" t="e">
        <f>P25*N25</f>
        <v>#DIV/0!</v>
      </c>
      <c r="S25" s="72" t="n">
        <v>0</v>
      </c>
      <c r="T25" s="135" t="e">
        <f>(1-$B$33)^(INT(C23*2*(1-C31)))</f>
        <v>#DIV/0!</v>
      </c>
      <c r="U25" s="140" t="n">
        <v>0</v>
      </c>
      <c r="V25" s="88" t="e">
        <f>R25*T25</f>
        <v>#DIV/0!</v>
      </c>
      <c r="W25" s="136" t="e">
        <f>B31</f>
        <v>#DIV/0!</v>
      </c>
      <c r="X25" s="14" t="n">
        <v>0</v>
      </c>
      <c r="Y25" s="81" t="e">
        <f>V25</f>
        <v>#DIV/0!</v>
      </c>
      <c r="Z25" s="14" t="n">
        <v>0</v>
      </c>
      <c r="AA25" s="80" t="e">
        <f>((1-W25)^Z26)*V26</f>
        <v>#DIV/0!</v>
      </c>
      <c r="AB25" s="14" t="n">
        <v>0</v>
      </c>
      <c r="AC25" s="81" t="e">
        <f>(((1-$W$25)^AB27))*V27</f>
        <v>#DIV/0!</v>
      </c>
      <c r="AD25" s="14" t="n">
        <v>0</v>
      </c>
      <c r="AE25" s="81" t="e">
        <f>(((1-$W$25)^AB28))*V28</f>
        <v>#DIV/0!</v>
      </c>
      <c r="AF25" s="14" t="n">
        <v>0</v>
      </c>
      <c r="AG25" s="81" t="e">
        <f>(((1-$W$25)^AB29))*V29</f>
        <v>#DIV/0!</v>
      </c>
      <c r="AH25" s="14" t="n">
        <v>0</v>
      </c>
      <c r="AI25" s="81" t="e">
        <f>(((1-$W$25)^AB30))*V30</f>
        <v>#DIV/0!</v>
      </c>
      <c r="AJ25" s="14" t="n">
        <v>0</v>
      </c>
      <c r="AK25" s="81" t="e">
        <f>(((1-$W$25)^AB31))*V31</f>
        <v>#DIV/0!</v>
      </c>
      <c r="AL25" s="14" t="n">
        <v>0</v>
      </c>
      <c r="AM25" s="81" t="e">
        <f>(((1-$W$25)^AB32))*V32</f>
        <v>#DIV/0!</v>
      </c>
      <c r="AN25" s="14" t="n">
        <v>0</v>
      </c>
      <c r="AO25" s="81" t="e">
        <f>(((1-$W$25)^AB33))*V33</f>
        <v>#DIV/0!</v>
      </c>
      <c r="AP25" s="14" t="n">
        <v>0</v>
      </c>
      <c r="AQ25" s="81" t="e">
        <f>(((1-$W$25)^AB34))*V34</f>
        <v>#DIV/0!</v>
      </c>
      <c r="AR25" s="14" t="n">
        <v>0</v>
      </c>
      <c r="AS25" s="81" t="e">
        <f>(((1-$W$25)^AB35))*V35</f>
        <v>#DIV/0!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 t="e">
        <f>$H$27*H44</f>
        <v>#DIV/0!</v>
      </c>
      <c r="BP25">
        <f>BP19+1</f>
        <v>7</v>
      </c>
      <c r="BQ25" t="n">
        <v>1</v>
      </c>
      <c r="BR25" s="109" t="e">
        <f>$H$32*H40</f>
        <v>#DIV/0!</v>
      </c>
    </row>
    <row r="26" spans="1:70">
      <c r="A26" s="42" t="s">
        <v>118</v>
      </c>
      <c r="B26" s="121" t="e">
        <f>1/(1+EXP(-3.1416*4*((B10/(B10+C9))-(3.1416/6))))</f>
        <v>#DIV/0!</v>
      </c>
      <c r="C26" s="120" t="e">
        <f>1/(1+EXP(-3.1416*4*((C10/(C10+B9))-(3.1416/6))))</f>
        <v>#DIV/0!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1</v>
      </c>
      <c r="H26" s="128" t="e">
        <f>L25*J26+L26*J25</f>
        <v>#DIV/0!</v>
      </c>
      <c r="I26" s="95" t="n">
        <v>1</v>
      </c>
      <c r="J26" s="88" t="e">
        <f>Y26+AA26+AC26+AE26+AG26+AI26+AK26+AM26+AO26+AQ26+AS26</f>
        <v>#DIV/0!</v>
      </c>
      <c r="K26" s="95" t="n">
        <v>1</v>
      </c>
      <c r="L26" s="88" t="e">
        <f>T21</f>
        <v>#DIV/0!</v>
      </c>
      <c r="M26" s="87" t="n">
        <v>1</v>
      </c>
      <c r="N26" s="73" t="e">
        <f>(($B$24)^M26)*((1-($B$24))^($B$21-M26))*HLOOKUP($B$21,$AV$24:$BF$34,M26+1)</f>
        <v>#DIV/0!</v>
      </c>
      <c r="O26" s="74" t="n">
        <v>1</v>
      </c>
      <c r="P26" s="73" t="e">
        <f>N26</f>
        <v>#DIV/0!</v>
      </c>
      <c r="Q26" s="30" t="n">
        <v>1</v>
      </c>
      <c r="R26" s="39" t="e">
        <f>N26*P25+P26*N25</f>
        <v>#DIV/0!</v>
      </c>
      <c r="S26" s="74" t="n">
        <v>1</v>
      </c>
      <c r="T26" s="135" t="e">
        <f>(($B$33)^S26)*((1-($B$33))^(INT($C$23*2*(1-$C$31))-S26))*HLOOKUP(INT($C$23*2*(1-$C$31)),$AV$24:$BF$34,S26+1)</f>
        <v>#DIV/0!</v>
      </c>
      <c r="U26" s="95" t="n">
        <v>1</v>
      </c>
      <c r="V26" s="88" t="e">
        <f>R26*T25+T26*R25</f>
        <v>#DIV/0!</v>
      </c>
      <c r="W26" s="137"/>
      <c r="X26" s="30" t="n">
        <v>1</v>
      </c>
      <c r="Y26" s="75"/>
      <c r="Z26" s="30" t="n">
        <v>1</v>
      </c>
      <c r="AA26" s="81" t="e">
        <f>(1-((1-W25)^Z26))*V26</f>
        <v>#DIV/0!</v>
      </c>
      <c r="AB26" s="30" t="n">
        <v>1</v>
      </c>
      <c r="AC26" s="81" t="e">
        <f>((($W$25)^M26)*((1-($W$25))^($U$27-M26))*HLOOKUP($U$27,$AV$24:$BF$34,M26+1))*V27</f>
        <v>#DIV/0!</v>
      </c>
      <c r="AD26" s="30" t="n">
        <v>1</v>
      </c>
      <c r="AE26" s="81" t="e">
        <f>((($W$25)^M26)*((1-($W$25))^($U$28-M26))*HLOOKUP($U$28,$AV$24:$BF$34,M26+1))*V28</f>
        <v>#DIV/0!</v>
      </c>
      <c r="AF26" s="30" t="n">
        <v>1</v>
      </c>
      <c r="AG26" s="81" t="e">
        <f>((($W$25)^M26)*((1-($W$25))^($U$29-M26))*HLOOKUP($U$29,$AV$24:$BF$34,M26+1))*V29</f>
        <v>#DIV/0!</v>
      </c>
      <c r="AH26" s="30" t="n">
        <v>1</v>
      </c>
      <c r="AI26" s="81" t="e">
        <f>((($W$25)^M26)*((1-($W$25))^($U$30-M26))*HLOOKUP($U$30,$AV$24:$BF$34,M26+1))*V30</f>
        <v>#DIV/0!</v>
      </c>
      <c r="AJ26" s="30" t="n">
        <v>1</v>
      </c>
      <c r="AK26" s="81" t="e">
        <f>((($W$25)^M26)*((1-($W$25))^($U$31-M26))*HLOOKUP($U$31,$AV$24:$BF$34,M26+1))*V31</f>
        <v>#DIV/0!</v>
      </c>
      <c r="AL26" s="30" t="n">
        <v>1</v>
      </c>
      <c r="AM26" s="81" t="e">
        <f>((($W$25)^Q26)*((1-($W$25))^($U$32-Q26))*HLOOKUP($U$32,$AV$24:$BF$34,Q26+1))*V32</f>
        <v>#DIV/0!</v>
      </c>
      <c r="AN26" s="30" t="n">
        <v>1</v>
      </c>
      <c r="AO26" s="81" t="e">
        <f>((($W$25)^Q26)*((1-($W$25))^($U$33-Q26))*HLOOKUP($U$33,$AV$24:$BF$34,Q26+1))*V33</f>
        <v>#DIV/0!</v>
      </c>
      <c r="AP26" s="30" t="n">
        <v>1</v>
      </c>
      <c r="AQ26" s="81" t="e">
        <f>((($W$25)^Q26)*((1-($W$25))^($U$34-Q26))*HLOOKUP($U$34,$AV$24:$BF$34,Q26+1))*V34</f>
        <v>#DIV/0!</v>
      </c>
      <c r="AR26" s="30" t="n">
        <v>1</v>
      </c>
      <c r="AS26" s="81" t="e">
        <f>((($W$25)^Q26)*((1-($W$25))^($U$35-Q26))*HLOOKUP($U$35,$AV$24:$BF$34,Q26+1))*V35</f>
        <v>#DIV/0!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 t="e">
        <f>$H$27*H45</f>
        <v>#DIV/0!</v>
      </c>
      <c r="BP26">
        <f>BP20+1</f>
        <v>7</v>
      </c>
      <c r="BQ26" t="n">
        <v>2</v>
      </c>
      <c r="BR26" s="109" t="e">
        <f>$H$32*H41</f>
        <v>#DIV/0!</v>
      </c>
    </row>
    <row r="27" spans="1:70">
      <c r="A27" s="28" t="s">
        <v>119</v>
      </c>
      <c r="B27" s="121" t="e">
        <f>1/(1+EXP(-3.1416*4*((B12/(B12+C7))-(3.1416/6))))</f>
        <v>#DIV/0!</v>
      </c>
      <c r="C27" s="120" t="e">
        <f>1/(1+EXP(-3.1416*4*((C12/(C12+B7))-(3.1416/6))))</f>
        <v>#DIV/0!</v>
      </c>
      <c r="D27" s="153">
        <f>D26</f>
        <v>0.257000000000000028</v>
      </c>
      <c r="E27" s="153">
        <f>E26</f>
        <v>0.257000000000000028</v>
      </c>
      <c r="G27" s="89" t="n">
        <v>2</v>
      </c>
      <c r="H27" s="128" t="e">
        <f>L25*J27+J26*L26+J25*L27</f>
        <v>#DIV/0!</v>
      </c>
      <c r="I27" s="95" t="n">
        <v>2</v>
      </c>
      <c r="J27" s="88" t="e">
        <f>Y27+AA27+AC27+AE27+AG27+AI27+AK27+AM27+AO27+AQ27+AS27</f>
        <v>#DIV/0!</v>
      </c>
      <c r="K27" s="95" t="n">
        <v>2</v>
      </c>
      <c r="L27" s="88" t="e">
        <f>U21</f>
        <v>#DIV/0!</v>
      </c>
      <c r="M27" s="87" t="n">
        <v>2</v>
      </c>
      <c r="N27" s="73" t="e">
        <f>(($B$24)^M27)*((1-($B$24))^($B$21-M27))*HLOOKUP($B$21,$AV$24:$BF$34,M27+1)</f>
        <v>#DIV/0!</v>
      </c>
      <c r="O27" s="74" t="n">
        <v>2</v>
      </c>
      <c r="P27" s="73" t="e">
        <f>N27</f>
        <v>#DIV/0!</v>
      </c>
      <c r="Q27" s="30" t="n">
        <v>2</v>
      </c>
      <c r="R27" s="39" t="e">
        <f>P25*N27+P26*N26+P27*N25</f>
        <v>#DIV/0!</v>
      </c>
      <c r="S27" s="74" t="n">
        <v>2</v>
      </c>
      <c r="T27" s="135" t="e">
        <f>(($B$33)^S27)*((1-($B$33))^(INT($C$23*2*(1-$C$31))-S27))*HLOOKUP(INT($C$23*2*(1-$C$31)),$AV$24:$BF$34,S27+1)</f>
        <v>#DIV/0!</v>
      </c>
      <c r="U27" s="95" t="n">
        <v>2</v>
      </c>
      <c r="V27" s="88" t="e">
        <f>R27*T25+T26*R26+R25*T27</f>
        <v>#DIV/0!</v>
      </c>
      <c r="W27" s="137"/>
      <c r="X27" s="30" t="n">
        <v>2</v>
      </c>
      <c r="Y27" s="75"/>
      <c r="Z27" s="30" t="n">
        <v>2</v>
      </c>
      <c r="AA27" s="81"/>
      <c r="AB27" s="30" t="n">
        <v>2</v>
      </c>
      <c r="AC27" s="81" t="e">
        <f>((($W$25)^M27)*((1-($W$25))^($U$27-M27))*HLOOKUP($U$27,$AV$24:$BF$34,M27+1))*V27</f>
        <v>#DIV/0!</v>
      </c>
      <c r="AD27" s="30" t="n">
        <v>2</v>
      </c>
      <c r="AE27" s="81" t="e">
        <f>((($W$25)^M27)*((1-($W$25))^($U$28-M27))*HLOOKUP($U$28,$AV$24:$BF$34,M27+1))*V28</f>
        <v>#DIV/0!</v>
      </c>
      <c r="AF27" s="30" t="n">
        <v>2</v>
      </c>
      <c r="AG27" s="81" t="e">
        <f>((($W$25)^M27)*((1-($W$25))^($U$29-M27))*HLOOKUP($U$29,$AV$24:$BF$34,M27+1))*V29</f>
        <v>#DIV/0!</v>
      </c>
      <c r="AH27" s="30" t="n">
        <v>2</v>
      </c>
      <c r="AI27" s="81" t="e">
        <f>((($W$25)^M27)*((1-($W$25))^($U$30-M27))*HLOOKUP($U$30,$AV$24:$BF$34,M27+1))*V30</f>
        <v>#DIV/0!</v>
      </c>
      <c r="AJ27" s="30" t="n">
        <v>2</v>
      </c>
      <c r="AK27" s="81" t="e">
        <f>((($W$25)^M27)*((1-($W$25))^($U$31-M27))*HLOOKUP($U$31,$AV$24:$BF$34,M27+1))*V31</f>
        <v>#DIV/0!</v>
      </c>
      <c r="AL27" s="30" t="n">
        <v>2</v>
      </c>
      <c r="AM27" s="81" t="e">
        <f>((($W$25)^Q27)*((1-($W$25))^($U$32-Q27))*HLOOKUP($U$32,$AV$24:$BF$34,Q27+1))*V32</f>
        <v>#DIV/0!</v>
      </c>
      <c r="AN27" s="30" t="n">
        <v>2</v>
      </c>
      <c r="AO27" s="81" t="e">
        <f>((($W$25)^Q27)*((1-($W$25))^($U$33-Q27))*HLOOKUP($U$33,$AV$24:$BF$34,Q27+1))*V33</f>
        <v>#DIV/0!</v>
      </c>
      <c r="AP27" s="30" t="n">
        <v>2</v>
      </c>
      <c r="AQ27" s="81" t="e">
        <f>((($W$25)^Q27)*((1-($W$25))^($U$34-Q27))*HLOOKUP($U$34,$AV$24:$BF$34,Q27+1))*V34</f>
        <v>#DIV/0!</v>
      </c>
      <c r="AR27" s="30" t="n">
        <v>2</v>
      </c>
      <c r="AS27" s="81" t="e">
        <f>((($W$25)^Q27)*((1-($W$25))^($U$35-Q27))*HLOOKUP($U$35,$AV$24:$BF$34,Q27+1))*V35</f>
        <v>#DIV/0!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 t="e">
        <f>$H$27*H46</f>
        <v>#DIV/0!</v>
      </c>
      <c r="BP27">
        <f>BP21+1</f>
        <v>7</v>
      </c>
      <c r="BQ27" t="n">
        <v>3</v>
      </c>
      <c r="BR27" s="109" t="e">
        <f>$H$32*H42</f>
        <v>#DIV/0!</v>
      </c>
    </row>
    <row r="28" spans="1:70">
      <c r="A28" s="28" t="s">
        <v>120</v>
      </c>
      <c r="B28" s="171" t="n">
        <v>0.9</v>
      </c>
      <c r="C28" s="172" t="n">
        <v>0.9</v>
      </c>
      <c r="D28" s="153" t="n">
        <v>0.085</v>
      </c>
      <c r="E28" s="153" t="n">
        <v>0.085</v>
      </c>
      <c r="G28" s="89" t="n">
        <v>3</v>
      </c>
      <c r="H28" s="128" t="e">
        <f>J28*L25+J27*L26+L28*J25+L27*J26</f>
        <v>#DIV/0!</v>
      </c>
      <c r="I28" s="95" t="n">
        <v>3</v>
      </c>
      <c r="J28" s="88" t="e">
        <f>Y28+AA28+AC28+AE28+AG28+AI28+AK28+AM28+AO28+AQ28+AS28</f>
        <v>#DIV/0!</v>
      </c>
      <c r="K28" s="95" t="n">
        <v>3</v>
      </c>
      <c r="L28" s="88" t="e">
        <f>V21</f>
        <v>#DIV/0!</v>
      </c>
      <c r="M28" s="87" t="n">
        <v>3</v>
      </c>
      <c r="N28" s="73" t="e">
        <f>(($B$24)^M28)*((1-($B$24))^($B$21-M28))*HLOOKUP($B$21,$AV$24:$BF$34,M28+1)</f>
        <v>#DIV/0!</v>
      </c>
      <c r="O28" s="74" t="n">
        <v>3</v>
      </c>
      <c r="P28" s="73" t="e">
        <f>N28</f>
        <v>#DIV/0!</v>
      </c>
      <c r="Q28" s="30" t="n">
        <v>3</v>
      </c>
      <c r="R28" s="39" t="e">
        <f>P25*N28+P26*N27+P27*N26+P28*N25</f>
        <v>#DIV/0!</v>
      </c>
      <c r="S28" s="74" t="n">
        <v>3</v>
      </c>
      <c r="T28" s="135" t="e">
        <f>(($B$33)^S28)*((1-($B$33))^(INT($C$23*2*(1-$C$31))-S28))*HLOOKUP(INT($C$23*2*(1-$C$31)),$AV$24:$BF$34,S28+1)</f>
        <v>#DIV/0!</v>
      </c>
      <c r="U28" s="95" t="n">
        <v>3</v>
      </c>
      <c r="V28" s="88" t="e">
        <f>R28*T25+R27*T26+R26*T27+R25*T28</f>
        <v>#DIV/0!</v>
      </c>
      <c r="W28" s="137"/>
      <c r="X28" s="30" t="n">
        <v>3</v>
      </c>
      <c r="Y28" s="75"/>
      <c r="Z28" s="30" t="n">
        <v>3</v>
      </c>
      <c r="AA28" s="81"/>
      <c r="AB28" s="30" t="n">
        <v>3</v>
      </c>
      <c r="AC28" s="81"/>
      <c r="AD28" s="30" t="n">
        <v>3</v>
      </c>
      <c r="AE28" s="81" t="e">
        <f>((($W$25)^M28)*((1-($W$25))^($U$28-M28))*HLOOKUP($U$28,$AV$24:$BF$34,M28+1))*V28</f>
        <v>#DIV/0!</v>
      </c>
      <c r="AF28" s="30" t="n">
        <v>3</v>
      </c>
      <c r="AG28" s="81" t="e">
        <f>((($W$25)^M28)*((1-($W$25))^($U$29-M28))*HLOOKUP($U$29,$AV$24:$BF$34,M28+1))*V29</f>
        <v>#DIV/0!</v>
      </c>
      <c r="AH28" s="30" t="n">
        <v>3</v>
      </c>
      <c r="AI28" s="81" t="e">
        <f>((($W$25)^M28)*((1-($W$25))^($U$30-M28))*HLOOKUP($U$30,$AV$24:$BF$34,M28+1))*V30</f>
        <v>#DIV/0!</v>
      </c>
      <c r="AJ28" s="30" t="n">
        <v>3</v>
      </c>
      <c r="AK28" s="81" t="e">
        <f>((($W$25)^M28)*((1-($W$25))^($U$31-M28))*HLOOKUP($U$31,$AV$24:$BF$34,M28+1))*V31</f>
        <v>#DIV/0!</v>
      </c>
      <c r="AL28" s="30" t="n">
        <v>3</v>
      </c>
      <c r="AM28" s="81" t="e">
        <f>((($W$25)^Q28)*((1-($W$25))^($U$32-Q28))*HLOOKUP($U$32,$AV$24:$BF$34,Q28+1))*V32</f>
        <v>#DIV/0!</v>
      </c>
      <c r="AN28" s="30" t="n">
        <v>3</v>
      </c>
      <c r="AO28" s="81" t="e">
        <f>((($W$25)^Q28)*((1-($W$25))^($U$33-Q28))*HLOOKUP($U$33,$AV$24:$BF$34,Q28+1))*V33</f>
        <v>#DIV/0!</v>
      </c>
      <c r="AP28" s="30" t="n">
        <v>3</v>
      </c>
      <c r="AQ28" s="81" t="e">
        <f>((($W$25)^Q28)*((1-($W$25))^($U$34-Q28))*HLOOKUP($U$34,$AV$24:$BF$34,Q28+1))*V34</f>
        <v>#DIV/0!</v>
      </c>
      <c r="AR28" s="30" t="n">
        <v>3</v>
      </c>
      <c r="AS28" s="81" t="e">
        <f>((($W$25)^Q28)*((1-($W$25))^($U$35-Q28))*HLOOKUP($U$35,$AV$24:$BF$34,Q28+1))*V35</f>
        <v>#DIV/0!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 t="e">
        <f>$H$27*H47</f>
        <v>#DIV/0!</v>
      </c>
      <c r="BP28">
        <f>BP22+1</f>
        <v>7</v>
      </c>
      <c r="BQ28" t="n">
        <v>4</v>
      </c>
      <c r="BR28" s="109" t="e">
        <f>$H$32*H43</f>
        <v>#DIV/0!</v>
      </c>
    </row>
    <row r="29" spans="1:70">
      <c r="A29" s="28" t="s">
        <v>121</v>
      </c>
      <c r="B29" s="121">
        <f>1/(1+EXP(-3.1416*4*((B14/(B14+C13))-(3.1416/6))))</f>
        <v>0.22523141403777398</v>
      </c>
      <c r="C29" s="120">
        <f>1/(1+EXP(-3.1416*4*((C14/(C14+B13))-(3.1416/6))))</f>
        <v>0.359894891685079976</v>
      </c>
      <c r="D29" s="153" t="n">
        <v>0.04</v>
      </c>
      <c r="E29" s="153" t="n">
        <v>0.04</v>
      </c>
      <c r="G29" s="89" t="n">
        <v>4</v>
      </c>
      <c r="H29" s="128" t="e">
        <f>J29*L25+J28*L26+J27*L27+J26*L28</f>
        <v>#DIV/0!</v>
      </c>
      <c r="I29" s="95" t="n">
        <v>4</v>
      </c>
      <c r="J29" s="88" t="e">
        <f>Y29+AA29+AC29+AE29+AG29+AI29+AK29+AM29+AO29+AQ29+AS29</f>
        <v>#DIV/0!</v>
      </c>
      <c r="K29" s="95" t="n">
        <v>4</v>
      </c>
      <c r="L29" s="88"/>
      <c r="M29" s="87" t="n">
        <v>4</v>
      </c>
      <c r="N29" s="73" t="e">
        <f>(($B$24)^M29)*((1-($B$24))^($B$21-M29))*HLOOKUP($B$21,$AV$24:$BF$34,M29+1)</f>
        <v>#DIV/0!</v>
      </c>
      <c r="O29" s="74" t="n">
        <v>4</v>
      </c>
      <c r="P29" s="73" t="e">
        <f>N29</f>
        <v>#DIV/0!</v>
      </c>
      <c r="Q29" s="30" t="n">
        <v>4</v>
      </c>
      <c r="R29" s="39" t="e">
        <f>P25*N29+P26*N28+P27*N27+P28*N26+P29*N25</f>
        <v>#DIV/0!</v>
      </c>
      <c r="S29" s="74" t="n">
        <v>4</v>
      </c>
      <c r="T29" s="135" t="e">
        <f>(($B$33)^S29)*((1-($B$33))^(INT($C$23*2*(1-$C$31))-S29))*HLOOKUP(INT($C$23*2*(1-$C$31)),$AV$24:$BF$34,S29+1)</f>
        <v>#DIV/0!</v>
      </c>
      <c r="U29" s="95" t="n">
        <v>4</v>
      </c>
      <c r="V29" s="88" t="e">
        <f>T29*R25+T28*R26+T27*R27+T26*R28+T25*R29</f>
        <v>#DIV/0!</v>
      </c>
      <c r="W29" s="137"/>
      <c r="X29" s="30" t="n">
        <v>4</v>
      </c>
      <c r="Y29" s="75"/>
      <c r="Z29" s="30" t="n">
        <v>4</v>
      </c>
      <c r="AA29" s="81"/>
      <c r="AB29" s="30" t="n">
        <v>4</v>
      </c>
      <c r="AC29" s="81"/>
      <c r="AD29" s="30" t="n">
        <v>4</v>
      </c>
      <c r="AE29" s="81"/>
      <c r="AF29" s="30" t="n">
        <v>4</v>
      </c>
      <c r="AG29" s="81" t="e">
        <f>((($W$25)^M29)*((1-($W$25))^($U$29-M29))*HLOOKUP($U$29,$AV$24:$BF$34,M29+1))*V29</f>
        <v>#DIV/0!</v>
      </c>
      <c r="AH29" s="30" t="n">
        <v>4</v>
      </c>
      <c r="AI29" s="81" t="e">
        <f>((($W$25)^M29)*((1-($W$25))^($U$30-M29))*HLOOKUP($U$30,$AV$24:$BF$34,M29+1))*V30</f>
        <v>#DIV/0!</v>
      </c>
      <c r="AJ29" s="30" t="n">
        <v>4</v>
      </c>
      <c r="AK29" s="81" t="e">
        <f>((($W$25)^M29)*((1-($W$25))^($U$31-M29))*HLOOKUP($U$31,$AV$24:$BF$34,M29+1))*V31</f>
        <v>#DIV/0!</v>
      </c>
      <c r="AL29" s="30" t="n">
        <v>4</v>
      </c>
      <c r="AM29" s="81" t="e">
        <f>((($W$25)^Q29)*((1-($W$25))^($U$32-Q29))*HLOOKUP($U$32,$AV$24:$BF$34,Q29+1))*V32</f>
        <v>#DIV/0!</v>
      </c>
      <c r="AN29" s="30" t="n">
        <v>4</v>
      </c>
      <c r="AO29" s="81" t="e">
        <f>((($W$25)^Q29)*((1-($W$25))^($U$33-Q29))*HLOOKUP($U$33,$AV$24:$BF$34,Q29+1))*V33</f>
        <v>#DIV/0!</v>
      </c>
      <c r="AP29" s="30" t="n">
        <v>4</v>
      </c>
      <c r="AQ29" s="81" t="e">
        <f>((($W$25)^Q29)*((1-($W$25))^($U$34-Q29))*HLOOKUP($U$34,$AV$24:$BF$34,Q29+1))*V34</f>
        <v>#DIV/0!</v>
      </c>
      <c r="AR29" s="30" t="n">
        <v>4</v>
      </c>
      <c r="AS29" s="81" t="e">
        <f>((($W$25)^Q29)*((1-($W$25))^($U$35-Q29))*HLOOKUP($U$35,$AV$24:$BF$34,Q29+1))*V35</f>
        <v>#DIV/0!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 t="e">
        <f>$H$27*H48</f>
        <v>#DIV/0!</v>
      </c>
      <c r="BP29">
        <f>BP23+1</f>
        <v>7</v>
      </c>
      <c r="BQ29" t="n">
        <v>5</v>
      </c>
      <c r="BR29" s="109" t="e">
        <f>$H$32*H44</f>
        <v>#DIV/0!</v>
      </c>
    </row>
    <row r="30" spans="1:70">
      <c r="A30" s="28" t="s">
        <v>122</v>
      </c>
      <c r="B30" s="171" t="n">
        <v>0.15</v>
      </c>
      <c r="C30" s="172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5</v>
      </c>
      <c r="H30" s="128" t="e">
        <f>J30*L25+J29*L26+J28*L27+J27*L28</f>
        <v>#DIV/0!</v>
      </c>
      <c r="I30" s="95" t="n">
        <v>5</v>
      </c>
      <c r="J30" s="88" t="e">
        <f>Y30+AA30+AC30+AE30+AG30+AI30+AK30+AM30+AO30+AQ30+AS30</f>
        <v>#DIV/0!</v>
      </c>
      <c r="K30" s="95" t="n">
        <v>5</v>
      </c>
      <c r="L30" s="88"/>
      <c r="M30" s="87" t="n">
        <v>5</v>
      </c>
      <c r="N30" s="73" t="e">
        <f>(($B$24)^M30)*((1-($B$24))^($B$21-M30))*HLOOKUP($B$21,$AV$24:$BF$34,M30+1)</f>
        <v>#DIV/0!</v>
      </c>
      <c r="O30" s="74" t="n">
        <v>5</v>
      </c>
      <c r="P30" s="73" t="e">
        <f>N30</f>
        <v>#DIV/0!</v>
      </c>
      <c r="Q30" s="30" t="n">
        <v>5</v>
      </c>
      <c r="R30" s="39" t="e">
        <f>P25*N30+P26*N29+P27*N28+P28*N27+P29*N26+P30*N25</f>
        <v>#DIV/0!</v>
      </c>
      <c r="S30" s="74" t="n">
        <v>5</v>
      </c>
      <c r="T30" s="135" t="e">
        <f>(($B$33)^S30)*((1-($B$33))^(INT($C$23*2*(1-$C$31))-S30))*HLOOKUP(INT($C$23*2*(1-$C$31)),$AV$24:$BF$34,S30+1)</f>
        <v>#DIV/0!</v>
      </c>
      <c r="U30" s="95" t="n">
        <v>5</v>
      </c>
      <c r="V30" s="88" t="e">
        <f>T30*R25+T29*R26+T28*R27+T27*R28+T26*R29+T25*R30</f>
        <v>#DIV/0!</v>
      </c>
      <c r="W30" s="137"/>
      <c r="X30" s="30" t="n">
        <v>5</v>
      </c>
      <c r="Y30" s="75"/>
      <c r="Z30" s="30" t="n">
        <v>5</v>
      </c>
      <c r="AA30" s="81"/>
      <c r="AB30" s="30" t="n">
        <v>5</v>
      </c>
      <c r="AC30" s="81"/>
      <c r="AD30" s="30" t="n">
        <v>5</v>
      </c>
      <c r="AE30" s="81"/>
      <c r="AF30" s="30" t="n">
        <v>5</v>
      </c>
      <c r="AG30" s="81"/>
      <c r="AH30" s="30" t="n">
        <v>5</v>
      </c>
      <c r="AI30" s="81" t="e">
        <f>((($W$25)^M30)*((1-($W$25))^($U$30-M30))*HLOOKUP($U$30,$AV$24:$BF$34,M30+1))*V30</f>
        <v>#DIV/0!</v>
      </c>
      <c r="AJ30" s="30" t="n">
        <v>5</v>
      </c>
      <c r="AK30" s="81" t="e">
        <f>((($W$25)^M30)*((1-($W$25))^($U$31-M30))*HLOOKUP($U$31,$AV$24:$BF$34,M30+1))*V31</f>
        <v>#DIV/0!</v>
      </c>
      <c r="AL30" s="30" t="n">
        <v>5</v>
      </c>
      <c r="AM30" s="81" t="e">
        <f>((($W$25)^Q30)*((1-($W$25))^($U$32-Q30))*HLOOKUP($U$32,$AV$24:$BF$34,Q30+1))*V32</f>
        <v>#DIV/0!</v>
      </c>
      <c r="AN30" s="30" t="n">
        <v>5</v>
      </c>
      <c r="AO30" s="81" t="e">
        <f>((($W$25)^Q30)*((1-($W$25))^($U$33-Q30))*HLOOKUP($U$33,$AV$24:$BF$34,Q30+1))*V33</f>
        <v>#DIV/0!</v>
      </c>
      <c r="AP30" s="30" t="n">
        <v>5</v>
      </c>
      <c r="AQ30" s="81" t="e">
        <f>((($W$25)^Q30)*((1-($W$25))^($U$34-Q30))*HLOOKUP($U$34,$AV$24:$BF$34,Q30+1))*V34</f>
        <v>#DIV/0!</v>
      </c>
      <c r="AR30" s="30" t="n">
        <v>5</v>
      </c>
      <c r="AS30" s="81" t="e">
        <f>((($W$25)^Q30)*((1-($W$25))^($U$35-Q30))*HLOOKUP($U$35,$AV$24:$BF$34,Q30+1))*V35</f>
        <v>#DIV/0!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 t="e">
        <f>$H$27*H49</f>
        <v>#DIV/0!</v>
      </c>
      <c r="BP30">
        <f>BL10+1</f>
        <v>7</v>
      </c>
      <c r="BQ30" t="n">
        <v>6</v>
      </c>
      <c r="BR30" s="109" t="e">
        <f>$H$32*H45</f>
        <v>#DIV/0!</v>
      </c>
    </row>
    <row r="31" spans="1:70">
      <c r="A31" s="186" t="s">
        <v>123</v>
      </c>
      <c r="B31" s="62" t="e">
        <f>(B25*D25)+(B26*D26)+(B27*D27)+(B28*D28)+(B29*D29)+(B30*D30)/(B25+B26+B27+B28+B29+B30)</f>
        <v>#DIV/0!</v>
      </c>
      <c r="C31" s="63" t="e">
        <f>(C25*E25)+(C26*E26)+(C27*E27)+(C28*E28)+(C29*E29)+(C30*E30)/(C25+C26+C27+C28+C29+C30)</f>
        <v>#DIV/0!</v>
      </c>
      <c r="G31" s="89" t="n">
        <v>6</v>
      </c>
      <c r="H31" s="128" t="e">
        <f>J31*L25+J30*L26+J29*L27+J28*L28</f>
        <v>#DIV/0!</v>
      </c>
      <c r="I31" s="95" t="n">
        <v>6</v>
      </c>
      <c r="J31" s="88" t="e">
        <f>Y31+AA31+AC31+AE31+AG31+AI31+AK31+AM31+AO31+AQ31+AS31</f>
        <v>#DIV/0!</v>
      </c>
      <c r="K31" s="95" t="n">
        <v>6</v>
      </c>
      <c r="L31" s="88"/>
      <c r="M31" s="87"/>
      <c r="N31" s="75"/>
      <c r="O31" s="39"/>
      <c r="P31" s="39"/>
      <c r="Q31" s="30" t="n">
        <v>6</v>
      </c>
      <c r="R31" s="39" t="e">
        <f>P26*N30+P27*N29+P28*N28+P29*N27+P30*N26</f>
        <v>#DIV/0!</v>
      </c>
      <c r="S31" s="72" t="n">
        <v>6</v>
      </c>
      <c r="T31" s="135" t="e">
        <f>(($B$33)^S31)*((1-($B$33))^(INT($C$23*2*(1-$C$31))-S31))*HLOOKUP(INT($C$23*2*(1-$C$31)),$AV$24:$BF$34,S31+1)</f>
        <v>#DIV/0!</v>
      </c>
      <c r="U31" s="95" t="n">
        <v>6</v>
      </c>
      <c r="V31" s="88" t="e">
        <f>T31*R25+T30*R26+T29*R27+T28*R28+T27*R29+T26*R30+T25*R31</f>
        <v>#DIV/0!</v>
      </c>
      <c r="W31" s="137"/>
      <c r="X31" s="30" t="n">
        <v>6</v>
      </c>
      <c r="Y31" s="75"/>
      <c r="Z31" s="30" t="n">
        <v>6</v>
      </c>
      <c r="AA31" s="81"/>
      <c r="AB31" s="30" t="n">
        <v>6</v>
      </c>
      <c r="AC31" s="81"/>
      <c r="AD31" s="30" t="n">
        <v>6</v>
      </c>
      <c r="AE31" s="81"/>
      <c r="AF31" s="30" t="n">
        <v>6</v>
      </c>
      <c r="AG31" s="81"/>
      <c r="AH31" s="30" t="n">
        <v>6</v>
      </c>
      <c r="AI31" s="81"/>
      <c r="AJ31" s="30" t="n">
        <v>6</v>
      </c>
      <c r="AK31" s="81" t="e">
        <f>((($W$25)^Q31)*((1-($W$25))^($U$31-Q31))*HLOOKUP($U$31,$AV$24:$BF$34,Q31+1))*V31</f>
        <v>#DIV/0!</v>
      </c>
      <c r="AL31" s="30" t="n">
        <v>6</v>
      </c>
      <c r="AM31" s="81" t="e">
        <f>((($W$25)^Q31)*((1-($W$25))^($U$32-Q31))*HLOOKUP($U$32,$AV$24:$BF$34,Q31+1))*V32</f>
        <v>#DIV/0!</v>
      </c>
      <c r="AN31" s="30" t="n">
        <v>6</v>
      </c>
      <c r="AO31" s="81" t="e">
        <f>((($W$25)^Q31)*((1-($W$25))^($U$33-Q31))*HLOOKUP($U$33,$AV$24:$BF$34,Q31+1))*V33</f>
        <v>#DIV/0!</v>
      </c>
      <c r="AP31" s="30" t="n">
        <v>6</v>
      </c>
      <c r="AQ31" s="81" t="e">
        <f>((($W$25)^Q31)*((1-($W$25))^($U$34-Q31))*HLOOKUP($U$34,$AV$24:$BF$34,Q31+1))*V34</f>
        <v>#DIV/0!</v>
      </c>
      <c r="AR31" s="30" t="n">
        <v>6</v>
      </c>
      <c r="AS31" s="81" t="e">
        <f>((($W$25)^Q31)*((1-($W$25))^($U$35-Q31))*HLOOKUP($U$35,$AV$24:$BF$34,Q31+1))*V35</f>
        <v>#DIV/0!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 t="e">
        <f>$H$28*H43</f>
        <v>#DIV/0!</v>
      </c>
      <c r="BP31">
        <f>BP24+1</f>
        <v>8</v>
      </c>
      <c r="BQ31" t="n">
        <v>0</v>
      </c>
      <c r="BR31" s="109" t="e">
        <f>$H$33*H39</f>
        <v>#DIV/0!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7</v>
      </c>
      <c r="H32" s="128" t="e">
        <f>J32*L25+J31*L26+J30*L27+J29*L28</f>
        <v>#DIV/0!</v>
      </c>
      <c r="I32" s="95" t="n">
        <v>7</v>
      </c>
      <c r="J32" s="88" t="e">
        <f>Y32+AA32+AC32+AE32+AG32+AI32+AK32+AM32+AO32+AQ32+AS32</f>
        <v>#DIV/0!</v>
      </c>
      <c r="K32" s="95" t="n">
        <v>7</v>
      </c>
      <c r="L32" s="88"/>
      <c r="M32" s="87"/>
      <c r="N32" s="75"/>
      <c r="O32" s="39"/>
      <c r="P32" s="39"/>
      <c r="Q32" s="30" t="n">
        <v>7</v>
      </c>
      <c r="R32" s="39" t="e">
        <f>P27*N30+P28*N29+P29*N28+P30*N27</f>
        <v>#DIV/0!</v>
      </c>
      <c r="S32" s="74" t="n">
        <v>7</v>
      </c>
      <c r="T32" s="135" t="e">
        <f>(($B$33)^S32)*((1-($B$33))^(INT($C$23*2*(1-$C$31))-S32))*HLOOKUP(INT($C$23*2*(1-$C$31)),$AV$24:$BF$34,S32+1)</f>
        <v>#DIV/0!</v>
      </c>
      <c r="U32" s="95" t="n">
        <v>7</v>
      </c>
      <c r="V32" s="88" t="e">
        <f>T32*R25+T31*R26+T30*R27+T29*R28+T28*R29+T27*R30+T26*R31+T25*R32</f>
        <v>#DIV/0!</v>
      </c>
      <c r="W32" s="137"/>
      <c r="X32" s="30" t="n">
        <v>7</v>
      </c>
      <c r="Y32" s="75"/>
      <c r="Z32" s="30" t="n">
        <v>7</v>
      </c>
      <c r="AA32" s="81"/>
      <c r="AB32" s="30" t="n">
        <v>7</v>
      </c>
      <c r="AC32" s="81"/>
      <c r="AD32" s="30" t="n">
        <v>7</v>
      </c>
      <c r="AE32" s="81"/>
      <c r="AF32" s="30" t="n">
        <v>7</v>
      </c>
      <c r="AG32" s="81"/>
      <c r="AH32" s="30" t="n">
        <v>7</v>
      </c>
      <c r="AI32" s="81"/>
      <c r="AJ32" s="30" t="n">
        <v>7</v>
      </c>
      <c r="AK32" s="81"/>
      <c r="AL32" s="30" t="n">
        <v>7</v>
      </c>
      <c r="AM32" s="81" t="e">
        <f>((($W$25)^Q32)*((1-($W$25))^($U$32-Q32))*HLOOKUP($U$32,$AV$24:$BF$34,Q32+1))*V32</f>
        <v>#DIV/0!</v>
      </c>
      <c r="AN32" s="30" t="n">
        <v>7</v>
      </c>
      <c r="AO32" s="81" t="e">
        <f>((($W$25)^Q32)*((1-($W$25))^($U$33-Q32))*HLOOKUP($U$33,$AV$24:$BF$34,Q32+1))*V33</f>
        <v>#DIV/0!</v>
      </c>
      <c r="AP32" s="30" t="n">
        <v>7</v>
      </c>
      <c r="AQ32" s="81" t="e">
        <f>((($W$25)^Q32)*((1-($W$25))^($U$34-Q32))*HLOOKUP($U$34,$AV$24:$BF$34,Q32+1))*V34</f>
        <v>#DIV/0!</v>
      </c>
      <c r="AR32" s="30" t="n">
        <v>7</v>
      </c>
      <c r="AS32" s="81" t="e">
        <f>((($W$25)^Q32)*((1-($W$25))^($U$35-Q32))*HLOOKUP($U$35,$AV$24:$BF$34,Q32+1))*V35</f>
        <v>#DIV/0!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 t="e">
        <f>$H$28*H44</f>
        <v>#DIV/0!</v>
      </c>
      <c r="BP32">
        <f>BP25+1</f>
        <v>8</v>
      </c>
      <c r="BQ32" t="n">
        <v>1</v>
      </c>
      <c r="BR32" s="109" t="e">
        <f>$H$33*H40</f>
        <v>#DIV/0!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8</v>
      </c>
      <c r="H33" s="128" t="e">
        <f>J33*L25+J32*L26+J31*L27+J30*L28</f>
        <v>#DIV/0!</v>
      </c>
      <c r="I33" s="95" t="n">
        <v>8</v>
      </c>
      <c r="J33" s="88" t="e">
        <f>Y33+AA33+AC33+AE33+AG33+AI33+AK33+AM33+AO33+AQ33+AS33</f>
        <v>#DIV/0!</v>
      </c>
      <c r="K33" s="95" t="n">
        <v>8</v>
      </c>
      <c r="L33" s="88"/>
      <c r="M33" s="87"/>
      <c r="N33" s="75"/>
      <c r="O33" s="39"/>
      <c r="P33" s="39"/>
      <c r="Q33" s="30" t="n">
        <v>8</v>
      </c>
      <c r="R33" s="39" t="e">
        <f>P28*N30+P29*N29+P30*N28</f>
        <v>#DIV/0!</v>
      </c>
      <c r="S33" s="74" t="n">
        <v>8</v>
      </c>
      <c r="T33" s="135" t="e">
        <f>(($B$33)^S33)*((1-($B$33))^(INT($C$23*2*(1-$C$31))-S33))*HLOOKUP(INT($C$23*2*(1-$C$31)),$AV$24:$BF$34,S33+1)</f>
        <v>#DIV/0!</v>
      </c>
      <c r="U33" s="95" t="n">
        <v>8</v>
      </c>
      <c r="V33" s="88" t="e">
        <f>T33*R25+T32*R26+T31*R27+T30*R28+T29*R29+T28*R30+T27*R31+T26*R32+T25*R33</f>
        <v>#DIV/0!</v>
      </c>
      <c r="W33" s="137"/>
      <c r="X33" s="30" t="n">
        <v>8</v>
      </c>
      <c r="Y33" s="75"/>
      <c r="Z33" s="30" t="n">
        <v>8</v>
      </c>
      <c r="AA33" s="81"/>
      <c r="AB33" s="30" t="n">
        <v>8</v>
      </c>
      <c r="AC33" s="81"/>
      <c r="AD33" s="30" t="n">
        <v>8</v>
      </c>
      <c r="AE33" s="81"/>
      <c r="AF33" s="30" t="n">
        <v>8</v>
      </c>
      <c r="AG33" s="81"/>
      <c r="AH33" s="30" t="n">
        <v>8</v>
      </c>
      <c r="AI33" s="81"/>
      <c r="AJ33" s="30" t="n">
        <v>8</v>
      </c>
      <c r="AK33" s="81"/>
      <c r="AL33" s="30" t="n">
        <v>8</v>
      </c>
      <c r="AM33" s="81"/>
      <c r="AN33" s="30" t="n">
        <v>8</v>
      </c>
      <c r="AO33" s="81" t="e">
        <f>((($W$25)^Q33)*((1-($W$25))^($U$33-Q33))*HLOOKUP($U$33,$AV$24:$BF$34,Q33+1))*V33</f>
        <v>#DIV/0!</v>
      </c>
      <c r="AP33" s="30" t="n">
        <v>8</v>
      </c>
      <c r="AQ33" s="81" t="e">
        <f>((($W$25)^Q33)*((1-($W$25))^($U$34-Q33))*HLOOKUP($U$34,$AV$24:$BF$34,Q33+1))*V34</f>
        <v>#DIV/0!</v>
      </c>
      <c r="AR33" s="30" t="n">
        <v>8</v>
      </c>
      <c r="AS33" s="81" t="e">
        <f>((($W$25)^Q33)*((1-($W$25))^($U$35-Q33))*HLOOKUP($U$35,$AV$24:$BF$34,Q33+1))*V35</f>
        <v>#DIV/0!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 t="e">
        <f>$H$28*H45</f>
        <v>#DIV/0!</v>
      </c>
      <c r="BP33">
        <f>BP26+1</f>
        <v>8</v>
      </c>
      <c r="BQ33" t="n">
        <v>2</v>
      </c>
      <c r="BR33" s="109" t="e">
        <f>$H$33*H41</f>
        <v>#DIV/0!</v>
      </c>
    </row>
    <row r="34" spans="1:70">
      <c r="A34" s="42" t="s">
        <v>126</v>
      </c>
      <c r="B34" s="58" t="e">
        <f>B23*2</f>
        <v>#DIV/0!</v>
      </c>
      <c r="C34" s="59" t="e">
        <f>C23*2</f>
        <v>#DIV/0!</v>
      </c>
      <c r="G34" s="89" t="n">
        <v>9</v>
      </c>
      <c r="H34" s="128" t="e">
        <f>J34*L25+J33*L26+J32*L27+J31*L28</f>
        <v>#DIV/0!</v>
      </c>
      <c r="I34" s="95" t="n">
        <v>9</v>
      </c>
      <c r="J34" s="88" t="e">
        <f>Y34+AA34+AC34+AE34+AG34+AI34+AK34+AM34+AO34+AQ34+AS34</f>
        <v>#DIV/0!</v>
      </c>
      <c r="K34" s="95" t="n">
        <v>9</v>
      </c>
      <c r="L34" s="88"/>
      <c r="M34" s="87"/>
      <c r="N34" s="75"/>
      <c r="O34" s="39"/>
      <c r="P34" s="39"/>
      <c r="Q34" s="30" t="n">
        <v>9</v>
      </c>
      <c r="R34" s="39" t="e">
        <f>P29*N30+P30*N29</f>
        <v>#DIV/0!</v>
      </c>
      <c r="S34" s="74" t="n">
        <v>9</v>
      </c>
      <c r="T34" s="135" t="e">
        <f>(($B$33)^S34)*((1-($B$33))^(INT($C$23*2*(1-$C$31))-S34))*HLOOKUP(INT($C$23*2*(1-$C$31)),$AV$24:$BF$34,S34+1)</f>
        <v>#DIV/0!</v>
      </c>
      <c r="U34" s="95" t="n">
        <v>9</v>
      </c>
      <c r="V34" s="88" t="e">
        <f>T34*R25+T33*R26+T32*R27+T31*R28+T30*R29+T29*R30+T28*R31+T27*R32+T26*R33+T25*R34</f>
        <v>#DIV/0!</v>
      </c>
      <c r="W34" s="137"/>
      <c r="X34" s="30" t="n">
        <v>9</v>
      </c>
      <c r="Y34" s="75"/>
      <c r="Z34" s="30" t="n">
        <v>9</v>
      </c>
      <c r="AA34" s="81"/>
      <c r="AB34" s="30" t="n">
        <v>9</v>
      </c>
      <c r="AC34" s="81"/>
      <c r="AD34" s="30" t="n">
        <v>9</v>
      </c>
      <c r="AE34" s="81"/>
      <c r="AF34" s="30" t="n">
        <v>9</v>
      </c>
      <c r="AG34" s="81"/>
      <c r="AH34" s="30" t="n">
        <v>9</v>
      </c>
      <c r="AI34" s="81"/>
      <c r="AJ34" s="30" t="n">
        <v>9</v>
      </c>
      <c r="AK34" s="81"/>
      <c r="AL34" s="30" t="n">
        <v>9</v>
      </c>
      <c r="AM34" s="81"/>
      <c r="AN34" s="30" t="n">
        <v>9</v>
      </c>
      <c r="AO34" s="81"/>
      <c r="AP34" s="30" t="n">
        <v>9</v>
      </c>
      <c r="AQ34" s="81" t="e">
        <f>((($W$25)^Q34)*((1-($W$25))^($U$34-Q34))*HLOOKUP($U$34,$AV$24:$BF$34,Q34+1))*V34</f>
        <v>#DIV/0!</v>
      </c>
      <c r="AR34" s="30" t="n">
        <v>9</v>
      </c>
      <c r="AS34" s="81" t="e">
        <f>((($W$25)^Q34)*((1-($W$25))^($U$35-Q34))*HLOOKUP($U$35,$AV$24:$BF$34,Q34+1))*V35</f>
        <v>#DIV/0!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 t="e">
        <f>$H$28*H46</f>
        <v>#DIV/0!</v>
      </c>
      <c r="BP34">
        <f>BP27+1</f>
        <v>8</v>
      </c>
      <c r="BQ34" t="n">
        <v>3</v>
      </c>
      <c r="BR34" s="109" t="e">
        <f>$H$33*H42</f>
        <v>#DIV/0!</v>
      </c>
    </row>
    <row r="35" spans="7:70">
      <c r="G35" s="90" t="n">
        <v>10</v>
      </c>
      <c r="H35" s="129" t="e">
        <f>J35*L25+J34*L26+J33*L27+J32*L28</f>
        <v>#DIV/0!</v>
      </c>
      <c r="I35" s="96" t="n">
        <v>10</v>
      </c>
      <c r="J35" s="91" t="e">
        <f>Y35+AA35+AC35+AE35+AG35+AI35+AK35+AM35+AO35+AQ35+AS35</f>
        <v>#DIV/0!</v>
      </c>
      <c r="K35" s="96" t="n">
        <v>10</v>
      </c>
      <c r="L35" s="91"/>
      <c r="M35" s="87"/>
      <c r="N35" s="75"/>
      <c r="O35" s="39"/>
      <c r="P35" s="39"/>
      <c r="Q35" s="30" t="n">
        <v>10</v>
      </c>
      <c r="R35" s="39" t="e">
        <f>P30*N30</f>
        <v>#DIV/0!</v>
      </c>
      <c r="S35" s="74" t="n">
        <v>10</v>
      </c>
      <c r="T35" s="135" t="e">
        <f>(($B$33)^S35)*((1-($B$33))^(INT($C$23*2*(1-$C$31))-S35))*HLOOKUP(INT($C$23*2*(1-$C$31)),$AV$24:$BF$34,S35+1)</f>
        <v>#DIV/0!</v>
      </c>
      <c r="U35" s="96" t="n">
        <v>10</v>
      </c>
      <c r="V35" s="91" t="e">
        <f>IF(((T35*R25+T34*R26+T33*R27+T32*R28+T31*R29+T30*R30+T29*R31+T28*R32+T27*R33+T26*R34+T25*R35)+V23)&lt;&gt;1,1-V23,(T35*R25+T34*R26+T33*R27+T32*R28+T31*R29+T30*R30+T29*R31+T28*R32+T27*R33+T26*R34+T25*R35))</f>
        <v>#DIV/0!</v>
      </c>
      <c r="W35" s="137"/>
      <c r="X35" s="30" t="n">
        <v>10</v>
      </c>
      <c r="Y35" s="75"/>
      <c r="Z35" s="30" t="n">
        <v>10</v>
      </c>
      <c r="AA35" s="81"/>
      <c r="AB35" s="30" t="n">
        <v>10</v>
      </c>
      <c r="AC35" s="81"/>
      <c r="AD35" s="30" t="n">
        <v>10</v>
      </c>
      <c r="AE35" s="81"/>
      <c r="AF35" s="30" t="n">
        <v>10</v>
      </c>
      <c r="AG35" s="81"/>
      <c r="AH35" s="30" t="n">
        <v>10</v>
      </c>
      <c r="AI35" s="81"/>
      <c r="AJ35" s="30" t="n">
        <v>10</v>
      </c>
      <c r="AK35" s="81"/>
      <c r="AL35" s="30" t="n">
        <v>10</v>
      </c>
      <c r="AM35" s="81"/>
      <c r="AN35" s="30" t="n">
        <v>10</v>
      </c>
      <c r="AO35" s="81"/>
      <c r="AP35" s="30" t="n">
        <v>10</v>
      </c>
      <c r="AQ35" s="81"/>
      <c r="AR35" s="30" t="n">
        <v>10</v>
      </c>
      <c r="AS35" s="81" t="e">
        <f>((($W$25)^Q35)*((1-($W$25))^($U$35-Q35))*HLOOKUP($U$35,$AV$24:$BF$34,Q35+1))*V35</f>
        <v>#DIV/0!</v>
      </c>
      <c r="BH35">
        <f>BH28+1</f>
        <v>3</v>
      </c>
      <c r="BI35" t="n">
        <v>8</v>
      </c>
      <c r="BJ35" s="109" t="e">
        <f>$H$28*H47</f>
        <v>#DIV/0!</v>
      </c>
      <c r="BP35">
        <f>BP28+1</f>
        <v>8</v>
      </c>
      <c r="BQ35" t="n">
        <v>4</v>
      </c>
      <c r="BR35" s="109" t="e">
        <f>$H$33*H43</f>
        <v>#DIV/0!</v>
      </c>
    </row>
    <row r="36" spans="1:70">
      <c r="A36" s="3"/>
      <c r="B36" s="110" t="e">
        <f>SUM(B37:B39)</f>
        <v>#DIV/0!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61" t="e">
        <f>SUM(V39:V49)</f>
        <v>#DIV/0!</v>
      </c>
      <c r="W36" s="15"/>
      <c r="X36" s="15"/>
      <c r="AS36" s="84" t="e">
        <f>Y37+AA37+AC37+AE37+AG37+AI37+AK37+AM37+AO37+AQ37+AS37</f>
        <v>#DIV/0!</v>
      </c>
      <c r="BH36">
        <f>BH29+1</f>
        <v>3</v>
      </c>
      <c r="BI36" t="n">
        <v>9</v>
      </c>
      <c r="BJ36" s="109" t="e">
        <f>$H$28*H48</f>
        <v>#DIV/0!</v>
      </c>
      <c r="BP36">
        <f>BP29+1</f>
        <v>8</v>
      </c>
      <c r="BQ36" t="n">
        <v>5</v>
      </c>
      <c r="BR36" s="109" t="e">
        <f>$H$33*H44</f>
        <v>#DIV/0!</v>
      </c>
    </row>
    <row r="37" spans="1:70">
      <c r="A37" s="111" t="s">
        <v>127</v>
      </c>
      <c r="B37" s="109" t="e">
        <f>SUM(BN4:BN14)</f>
        <v>#DIV/0!</v>
      </c>
      <c r="G37" s="15"/>
      <c r="H37" s="61" t="e">
        <f>SUM(H39:H49)</f>
        <v>#DIV/0!</v>
      </c>
      <c r="I37" s="15"/>
      <c r="J37" s="61" t="e">
        <f>SUM(J39:J49)</f>
        <v>#DIV/0!</v>
      </c>
      <c r="K37" s="61"/>
      <c r="L37" s="61" t="e">
        <f>SUM(L39:L49)</f>
        <v>#DIV/0!</v>
      </c>
      <c r="M37" s="15"/>
      <c r="N37" s="76" t="e">
        <f>SUM(N39:N49)</f>
        <v>#DIV/0!</v>
      </c>
      <c r="O37" s="15"/>
      <c r="P37" s="76" t="e">
        <f>SUM(P39:P49)</f>
        <v>#DIV/0!</v>
      </c>
      <c r="Q37" s="15"/>
      <c r="R37" s="61" t="e">
        <f>SUM(R39:R49)</f>
        <v>#DIV/0!</v>
      </c>
      <c r="S37" s="15"/>
      <c r="T37" s="61" t="e">
        <f>SUM(T39:T49)</f>
        <v>#DIV/0!</v>
      </c>
      <c r="U37" s="15"/>
      <c r="V37" s="61" t="e">
        <f>SUM(V39:V48)</f>
        <v>#DIV/0!</v>
      </c>
      <c r="W37" s="15"/>
      <c r="X37" s="15"/>
      <c r="Y37" s="82" t="e">
        <f>SUM(Y39:Y49)</f>
        <v>#DIV/0!</v>
      </c>
      <c r="Z37" s="83"/>
      <c r="AA37" s="82" t="e">
        <f>SUM(AA39:AA49)</f>
        <v>#DIV/0!</v>
      </c>
      <c r="AB37" s="83"/>
      <c r="AC37" s="82" t="e">
        <f>SUM(AC39:AC49)</f>
        <v>#DIV/0!</v>
      </c>
      <c r="AD37" s="83"/>
      <c r="AE37" s="82" t="e">
        <f>SUM(AE39:AE49)</f>
        <v>#DIV/0!</v>
      </c>
      <c r="AF37" s="83"/>
      <c r="AG37" s="82" t="e">
        <f>SUM(AG39:AG49)</f>
        <v>#DIV/0!</v>
      </c>
      <c r="AH37" s="83"/>
      <c r="AI37" s="82" t="e">
        <f>SUM(AI39:AI49)</f>
        <v>#DIV/0!</v>
      </c>
      <c r="AJ37" s="83"/>
      <c r="AK37" s="82" t="e">
        <f>SUM(AK39:AK49)</f>
        <v>#DIV/0!</v>
      </c>
      <c r="AL37" s="83"/>
      <c r="AM37" s="82" t="e">
        <f>SUM(AM39:AM49)</f>
        <v>#DIV/0!</v>
      </c>
      <c r="AN37" s="83"/>
      <c r="AO37" s="82" t="e">
        <f>SUM(AO39:AO49)</f>
        <v>#DIV/0!</v>
      </c>
      <c r="AP37" s="83"/>
      <c r="AQ37" s="82" t="e">
        <f>SUM(AQ39:AQ49)</f>
        <v>#DIV/0!</v>
      </c>
      <c r="AR37" s="83"/>
      <c r="AS37" s="82" t="e">
        <f>SUM(AS39:AS49)</f>
        <v>#DIV/0!</v>
      </c>
      <c r="BH37">
        <f>BH30+1</f>
        <v>3</v>
      </c>
      <c r="BI37" t="n">
        <v>10</v>
      </c>
      <c r="BJ37" s="109" t="e">
        <f>$H$28*H49</f>
        <v>#DIV/0!</v>
      </c>
      <c r="BP37">
        <f>BP30+1</f>
        <v>8</v>
      </c>
      <c r="BQ37" t="n">
        <v>6</v>
      </c>
      <c r="BR37" s="109" t="e">
        <f>$H$33*H45</f>
        <v>#DIV/0!</v>
      </c>
    </row>
    <row r="38" spans="1:70">
      <c r="A38" s="112" t="s">
        <v>128</v>
      </c>
      <c r="B38" s="109" t="e">
        <f>SUM(BJ4:BJ59)</f>
        <v>#DIV/0!</v>
      </c>
      <c r="G38" s="105" t="str">
        <f>G24</f>
        <v>G</v>
      </c>
      <c r="H38" s="106" t="str">
        <f>H24</f>
        <v>p</v>
      </c>
      <c r="I38" s="105" t="str">
        <f>I24</f>
        <v>GT</v>
      </c>
      <c r="J38" s="107" t="str">
        <f>J24</f>
        <v>p(x)</v>
      </c>
      <c r="K38" s="108" t="str">
        <f>K24</f>
        <v>EE(x)</v>
      </c>
      <c r="L38" s="107" t="str">
        <f>L24</f>
        <v>p</v>
      </c>
      <c r="M38" s="92" t="str">
        <f>M24</f>
        <v>OcaS</v>
      </c>
      <c r="N38" s="32" t="str">
        <f>N24</f>
        <v>P</v>
      </c>
      <c r="O38" s="32" t="str">
        <f>O24</f>
        <v>O_CA</v>
      </c>
      <c r="P38" s="32" t="str">
        <f>P24</f>
        <v>p</v>
      </c>
      <c r="Q38" s="32" t="str">
        <f>Q24</f>
        <v>TotalN</v>
      </c>
      <c r="R38" s="32" t="str">
        <f>R24</f>
        <v>p</v>
      </c>
      <c r="S38" s="32" t="str">
        <f>S24</f>
        <v>OcaCA</v>
      </c>
      <c r="T38" s="141" t="str">
        <f>T24</f>
        <v>p</v>
      </c>
      <c r="U38" s="142" t="str">
        <f>U24</f>
        <v>Total</v>
      </c>
      <c r="V38" s="143" t="str">
        <f>V24</f>
        <v>P</v>
      </c>
      <c r="W38" s="92" t="str">
        <f>W24</f>
        <v>E(x)</v>
      </c>
      <c r="X38" s="32" t="str">
        <f>X24</f>
        <v>G0</v>
      </c>
      <c r="Y38" s="32" t="str">
        <f>Y24</f>
        <v>p</v>
      </c>
      <c r="Z38" s="32" t="str">
        <f>Z24</f>
        <v>G1</v>
      </c>
      <c r="AA38" s="32" t="str">
        <f>AA24</f>
        <v>p</v>
      </c>
      <c r="AB38" s="32" t="str">
        <f>AB24</f>
        <v>G2</v>
      </c>
      <c r="AC38" s="32" t="str">
        <f>AC24</f>
        <v>p</v>
      </c>
      <c r="AD38" s="32" t="str">
        <f>AD24</f>
        <v>G3</v>
      </c>
      <c r="AE38" s="32" t="str">
        <f>AE24</f>
        <v>p</v>
      </c>
      <c r="AF38" s="32" t="str">
        <f>AF24</f>
        <v>G4</v>
      </c>
      <c r="AG38" s="32" t="str">
        <f>AG24</f>
        <v>p</v>
      </c>
      <c r="AH38" s="32" t="str">
        <f>AH24</f>
        <v>G5</v>
      </c>
      <c r="AI38" s="32" t="str">
        <f>AI24</f>
        <v>p</v>
      </c>
      <c r="AJ38" s="32" t="str">
        <f>AJ24</f>
        <v>G6</v>
      </c>
      <c r="AK38" s="32" t="str">
        <f>AK24</f>
        <v>p</v>
      </c>
      <c r="AL38" s="32" t="str">
        <f>AL24</f>
        <v>G7</v>
      </c>
      <c r="AM38" s="32" t="str">
        <f>AM24</f>
        <v>p</v>
      </c>
      <c r="AN38" s="32" t="str">
        <f>AN24</f>
        <v>G8</v>
      </c>
      <c r="AO38" s="32" t="str">
        <f>AO24</f>
        <v>p</v>
      </c>
      <c r="AP38" s="32" t="str">
        <f>AP24</f>
        <v>G9</v>
      </c>
      <c r="AQ38" s="32" t="str">
        <f>AQ24</f>
        <v>p</v>
      </c>
      <c r="AR38" s="32" t="str">
        <f>AR24</f>
        <v>G10</v>
      </c>
      <c r="AS38" s="32" t="str">
        <f>AS24</f>
        <v>p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 t="e">
        <f>$H$29*H44</f>
        <v>#DIV/0!</v>
      </c>
      <c r="BP38">
        <f>BL11+1</f>
        <v>8</v>
      </c>
      <c r="BQ38" t="n">
        <v>7</v>
      </c>
      <c r="BR38" s="109" t="e">
        <f>$H$33*H46</f>
        <v>#DIV/0!</v>
      </c>
    </row>
    <row r="39" spans="1:70">
      <c r="A39" s="113" t="s">
        <v>129</v>
      </c>
      <c r="B39" s="109" t="e">
        <f>SUM(BR4:BR47)</f>
        <v>#DIV/0!</v>
      </c>
      <c r="G39" s="130" t="n">
        <v>0</v>
      </c>
      <c r="H39" s="131" t="e">
        <f>L39*J39</f>
        <v>#DIV/0!</v>
      </c>
      <c r="I39" s="99" t="n">
        <v>0</v>
      </c>
      <c r="J39" s="100" t="e">
        <f>Y39+AA39+AC39+AE39+AG39+AI39+AK39+AM39+AO39+AQ39+AS39</f>
        <v>#DIV/0!</v>
      </c>
      <c r="K39" s="104" t="n">
        <v>0</v>
      </c>
      <c r="L39" s="100" t="e">
        <f>AC21</f>
        <v>#DIV/0!</v>
      </c>
      <c r="M39" s="86" t="n">
        <v>0</v>
      </c>
      <c r="N39" s="73" t="e">
        <f>(1-$C$24)^$B$21</f>
        <v>#DIV/0!</v>
      </c>
      <c r="O39" s="72" t="n">
        <v>0</v>
      </c>
      <c r="P39" s="73" t="e">
        <f>N39</f>
        <v>#DIV/0!</v>
      </c>
      <c r="Q39" s="14" t="n">
        <v>0</v>
      </c>
      <c r="R39" s="75" t="e">
        <f>P39*N39</f>
        <v>#DIV/0!</v>
      </c>
      <c r="S39" s="72" t="n">
        <v>0</v>
      </c>
      <c r="T39" s="135" t="e">
        <f>(1-$C$33)^(INT(B23*2*(1-B31)))</f>
        <v>#DIV/0!</v>
      </c>
      <c r="U39" s="140" t="n">
        <v>0</v>
      </c>
      <c r="V39" s="88" t="e">
        <f>R39*T39</f>
        <v>#DIV/0!</v>
      </c>
      <c r="W39" s="136" t="e">
        <f>C31</f>
        <v>#DIV/0!</v>
      </c>
      <c r="X39" s="14" t="n">
        <v>0</v>
      </c>
      <c r="Y39" s="81" t="e">
        <f>V39</f>
        <v>#DIV/0!</v>
      </c>
      <c r="Z39" s="14" t="n">
        <v>0</v>
      </c>
      <c r="AA39" s="80" t="e">
        <f>((1-W39)^Z40)*V40</f>
        <v>#DIV/0!</v>
      </c>
      <c r="AB39" s="14" t="n">
        <v>0</v>
      </c>
      <c r="AC39" s="81" t="e">
        <f>(((1-$W$39)^AB41))*V41</f>
        <v>#DIV/0!</v>
      </c>
      <c r="AD39" s="14" t="n">
        <v>0</v>
      </c>
      <c r="AE39" s="81" t="e">
        <f>(((1-$W$39)^AB42))*V42</f>
        <v>#DIV/0!</v>
      </c>
      <c r="AF39" s="14" t="n">
        <v>0</v>
      </c>
      <c r="AG39" s="81" t="e">
        <f>(((1-$W$39)^AB43))*V43</f>
        <v>#DIV/0!</v>
      </c>
      <c r="AH39" s="14" t="n">
        <v>0</v>
      </c>
      <c r="AI39" s="81" t="e">
        <f>(((1-$W$39)^AB44))*V44</f>
        <v>#DIV/0!</v>
      </c>
      <c r="AJ39" s="14" t="n">
        <v>0</v>
      </c>
      <c r="AK39" s="81" t="e">
        <f>(((1-$W$39)^AB45))*V45</f>
        <v>#DIV/0!</v>
      </c>
      <c r="AL39" s="14" t="n">
        <v>0</v>
      </c>
      <c r="AM39" s="81" t="e">
        <f>(((1-$W$39)^AB46))*V46</f>
        <v>#DIV/0!</v>
      </c>
      <c r="AN39" s="14" t="n">
        <v>0</v>
      </c>
      <c r="AO39" s="81" t="e">
        <f>(((1-$W$39)^AB47))*V47</f>
        <v>#DIV/0!</v>
      </c>
      <c r="AP39" s="14" t="n">
        <v>0</v>
      </c>
      <c r="AQ39" s="81" t="e">
        <f>(((1-$W$39)^AB48))*V48</f>
        <v>#DIV/0!</v>
      </c>
      <c r="AR39" s="14" t="n">
        <v>0</v>
      </c>
      <c r="AS39" s="81" t="e">
        <f>(((1-$W$39)^AB49))*V49</f>
        <v>#DIV/0!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 t="e">
        <f>$H$29*H45</f>
        <v>#DIV/0!</v>
      </c>
      <c r="BP39">
        <f>BP31+1</f>
        <v>9</v>
      </c>
      <c r="BQ39" t="n">
        <v>0</v>
      </c>
      <c r="BR39" s="109" t="e">
        <f>$H$34*H39</f>
        <v>#DIV/0!</v>
      </c>
    </row>
    <row r="40" spans="7:70">
      <c r="G40" s="93" t="n">
        <v>1</v>
      </c>
      <c r="H40" s="132" t="e">
        <f>L39*J40+L40*J39</f>
        <v>#DIV/0!</v>
      </c>
      <c r="I40" s="95" t="n">
        <v>1</v>
      </c>
      <c r="J40" s="88" t="e">
        <f>Y40+AA40+AC40+AE40+AG40+AI40+AK40+AM40+AO40+AQ40+AS40</f>
        <v>#DIV/0!</v>
      </c>
      <c r="K40" s="97" t="n">
        <v>1</v>
      </c>
      <c r="L40" s="88" t="e">
        <f>AD21</f>
        <v>#DIV/0!</v>
      </c>
      <c r="M40" s="87" t="n">
        <v>1</v>
      </c>
      <c r="N40" s="73" t="e">
        <f>(($C$24)^M26)*((1-($C$24))^($B$21-M26))*HLOOKUP($B$21,$AV$24:$BF$34,M26+1)</f>
        <v>#DIV/0!</v>
      </c>
      <c r="O40" s="74" t="n">
        <v>1</v>
      </c>
      <c r="P40" s="73" t="e">
        <f>N40</f>
        <v>#DIV/0!</v>
      </c>
      <c r="Q40" s="30" t="n">
        <v>1</v>
      </c>
      <c r="R40" s="39" t="e">
        <f>P40*N39+P39*N40</f>
        <v>#DIV/0!</v>
      </c>
      <c r="S40" s="74" t="n">
        <v>1</v>
      </c>
      <c r="T40" s="135" t="e">
        <f>(($C$33)^S40)*((1-($C$33))^(INT($B$23*2*(1-$B$31))-S40))*HLOOKUP(INT($B$23*2*(1-$B$31)),$AV$24:$BF$34,S40+1)</f>
        <v>#DIV/0!</v>
      </c>
      <c r="U40" s="95" t="n">
        <v>1</v>
      </c>
      <c r="V40" s="88" t="e">
        <f>R40*T39+T40*R39</f>
        <v>#DIV/0!</v>
      </c>
      <c r="W40" s="137"/>
      <c r="X40" s="30" t="n">
        <v>1</v>
      </c>
      <c r="Y40" s="75"/>
      <c r="Z40" s="30" t="n">
        <v>1</v>
      </c>
      <c r="AA40" s="81" t="e">
        <f>(1-((1-W39)^Z40))*V40</f>
        <v>#DIV/0!</v>
      </c>
      <c r="AB40" s="30" t="n">
        <v>1</v>
      </c>
      <c r="AC40" s="81" t="e">
        <f>((($W$39)^M40)*((1-($W$39))^($U$27-M40))*HLOOKUP($U$27,$AV$24:$BF$34,M40+1))*V41</f>
        <v>#DIV/0!</v>
      </c>
      <c r="AD40" s="30" t="n">
        <v>1</v>
      </c>
      <c r="AE40" s="81" t="e">
        <f>((($W$39)^M40)*((1-($W$39))^($U$28-M40))*HLOOKUP($U$28,$AV$24:$BF$34,M40+1))*V42</f>
        <v>#DIV/0!</v>
      </c>
      <c r="AF40" s="30" t="n">
        <v>1</v>
      </c>
      <c r="AG40" s="81" t="e">
        <f>((($W$39)^M40)*((1-($W$39))^($U$29-M40))*HLOOKUP($U$29,$AV$24:$BF$34,M40+1))*V43</f>
        <v>#DIV/0!</v>
      </c>
      <c r="AH40" s="30" t="n">
        <v>1</v>
      </c>
      <c r="AI40" s="81" t="e">
        <f>((($W$39)^M40)*((1-($W$39))^($U$30-M40))*HLOOKUP($U$30,$AV$24:$BF$34,M40+1))*V44</f>
        <v>#DIV/0!</v>
      </c>
      <c r="AJ40" s="30" t="n">
        <v>1</v>
      </c>
      <c r="AK40" s="81" t="e">
        <f>((($W$39)^M40)*((1-($W$39))^($U$31-M40))*HLOOKUP($U$31,$AV$24:$BF$34,M40+1))*V45</f>
        <v>#DIV/0!</v>
      </c>
      <c r="AL40" s="30" t="n">
        <v>1</v>
      </c>
      <c r="AM40" s="81" t="e">
        <f>((($W$39)^Q40)*((1-($W$39))^($U$32-Q40))*HLOOKUP($U$32,$AV$24:$BF$34,Q40+1))*V46</f>
        <v>#DIV/0!</v>
      </c>
      <c r="AN40" s="30" t="n">
        <v>1</v>
      </c>
      <c r="AO40" s="81" t="e">
        <f>((($W$39)^Q40)*((1-($W$39))^($U$33-Q40))*HLOOKUP($U$33,$AV$24:$BF$34,Q40+1))*V47</f>
        <v>#DIV/0!</v>
      </c>
      <c r="AP40" s="30" t="n">
        <v>1</v>
      </c>
      <c r="AQ40" s="81" t="e">
        <f>((($W$39)^Q40)*((1-($W$39))^($U$34-Q40))*HLOOKUP($U$34,$AV$24:$BF$34,Q40+1))*V48</f>
        <v>#DIV/0!</v>
      </c>
      <c r="AR40" s="30" t="n">
        <v>1</v>
      </c>
      <c r="AS40" s="81" t="e">
        <f>((($W$39)^Q40)*((1-($W$39))^($U$35-Q40))*HLOOKUP($U$35,$AV$24:$BF$34,Q40+1))*V49</f>
        <v>#DIV/0!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 t="e">
        <f>$H$29*H46</f>
        <v>#DIV/0!</v>
      </c>
      <c r="BP40">
        <f>BP32+1</f>
        <v>9</v>
      </c>
      <c r="BQ40" t="n">
        <v>1</v>
      </c>
      <c r="BR40" s="109" t="e">
        <f>$H$34*H40</f>
        <v>#DIV/0!</v>
      </c>
    </row>
    <row r="41" spans="7:70">
      <c r="G41" s="93" t="n">
        <v>2</v>
      </c>
      <c r="H41" s="132" t="e">
        <f>L39*J41+J40*L40+J39*L41</f>
        <v>#DIV/0!</v>
      </c>
      <c r="I41" s="95" t="n">
        <v>2</v>
      </c>
      <c r="J41" s="88" t="e">
        <f>Y41+AA41+AC41+AE41+AG41+AI41+AK41+AM41+AO41+AQ41+AS41</f>
        <v>#DIV/0!</v>
      </c>
      <c r="K41" s="97" t="n">
        <v>2</v>
      </c>
      <c r="L41" s="88" t="e">
        <f>AE21</f>
        <v>#DIV/0!</v>
      </c>
      <c r="M41" s="87" t="n">
        <v>2</v>
      </c>
      <c r="N41" s="73" t="e">
        <f>(($C$24)^M27)*((1-($C$24))^($B$21-M27))*HLOOKUP($B$21,$AV$24:$BF$34,M27+1)</f>
        <v>#DIV/0!</v>
      </c>
      <c r="O41" s="74" t="n">
        <v>2</v>
      </c>
      <c r="P41" s="73" t="e">
        <f>N41</f>
        <v>#DIV/0!</v>
      </c>
      <c r="Q41" s="30" t="n">
        <v>2</v>
      </c>
      <c r="R41" s="39" t="e">
        <f>P41*N39+P40*N40+P39*N41</f>
        <v>#DIV/0!</v>
      </c>
      <c r="S41" s="74" t="n">
        <v>2</v>
      </c>
      <c r="T41" s="135" t="e">
        <f>(($C$33)^S41)*((1-($C$33))^(INT($B$23*2*(1-$B$31))-S41))*HLOOKUP(INT($B$23*2*(1-$B$31)),$AV$24:$BF$34,S41+1)</f>
        <v>#DIV/0!</v>
      </c>
      <c r="U41" s="95" t="n">
        <v>2</v>
      </c>
      <c r="V41" s="88" t="e">
        <f>R41*T39+T40*R40+R39*T41</f>
        <v>#DIV/0!</v>
      </c>
      <c r="W41" s="137"/>
      <c r="X41" s="30" t="n">
        <v>2</v>
      </c>
      <c r="Y41" s="75"/>
      <c r="Z41" s="30" t="n">
        <v>2</v>
      </c>
      <c r="AA41" s="81"/>
      <c r="AB41" s="30" t="n">
        <v>2</v>
      </c>
      <c r="AC41" s="81" t="e">
        <f>((($W$39)^M41)*((1-($W$39))^($U$27-M41))*HLOOKUP($U$27,$AV$24:$BF$34,M41+1))*V41</f>
        <v>#DIV/0!</v>
      </c>
      <c r="AD41" s="30" t="n">
        <v>2</v>
      </c>
      <c r="AE41" s="81" t="e">
        <f>((($W$39)^M41)*((1-($W$39))^($U$28-M41))*HLOOKUP($U$28,$AV$24:$BF$34,M41+1))*V42</f>
        <v>#DIV/0!</v>
      </c>
      <c r="AF41" s="30" t="n">
        <v>2</v>
      </c>
      <c r="AG41" s="81" t="e">
        <f>((($W$39)^M41)*((1-($W$39))^($U$29-M41))*HLOOKUP($U$29,$AV$24:$BF$34,M41+1))*V43</f>
        <v>#DIV/0!</v>
      </c>
      <c r="AH41" s="30" t="n">
        <v>2</v>
      </c>
      <c r="AI41" s="81" t="e">
        <f>((($W$39)^M41)*((1-($W$39))^($U$30-M41))*HLOOKUP($U$30,$AV$24:$BF$34,M41+1))*V44</f>
        <v>#DIV/0!</v>
      </c>
      <c r="AJ41" s="30" t="n">
        <v>2</v>
      </c>
      <c r="AK41" s="81" t="e">
        <f>((($W$39)^M41)*((1-($W$39))^($U$31-M41))*HLOOKUP($U$31,$AV$24:$BF$34,M41+1))*V45</f>
        <v>#DIV/0!</v>
      </c>
      <c r="AL41" s="30" t="n">
        <v>2</v>
      </c>
      <c r="AM41" s="81" t="e">
        <f>((($W$39)^Q41)*((1-($W$39))^($U$32-Q41))*HLOOKUP($U$32,$AV$24:$BF$34,Q41+1))*V46</f>
        <v>#DIV/0!</v>
      </c>
      <c r="AN41" s="30" t="n">
        <v>2</v>
      </c>
      <c r="AO41" s="81" t="e">
        <f>((($W$39)^Q41)*((1-($W$39))^($U$33-Q41))*HLOOKUP($U$33,$AV$24:$BF$34,Q41+1))*V47</f>
        <v>#DIV/0!</v>
      </c>
      <c r="AP41" s="30" t="n">
        <v>2</v>
      </c>
      <c r="AQ41" s="81" t="e">
        <f>((($W$39)^Q41)*((1-($W$39))^($U$34-Q41))*HLOOKUP($U$34,$AV$24:$BF$34,Q41+1))*V48</f>
        <v>#DIV/0!</v>
      </c>
      <c r="AR41" s="30" t="n">
        <v>2</v>
      </c>
      <c r="AS41" s="81" t="e">
        <f>((($W$39)^Q41)*((1-($W$39))^($U$35-Q41))*HLOOKUP($U$35,$AV$24:$BF$34,Q41+1))*V49</f>
        <v>#DIV/0!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 t="e">
        <f>$H$29*H47</f>
        <v>#DIV/0!</v>
      </c>
      <c r="BP41">
        <f>BP33+1</f>
        <v>9</v>
      </c>
      <c r="BQ41" t="n">
        <v>2</v>
      </c>
      <c r="BR41" s="109" t="e">
        <f>$H$34*H41</f>
        <v>#DIV/0!</v>
      </c>
    </row>
    <row r="42" spans="7:70" ht="15" customHeight="1">
      <c r="G42" s="93" t="n">
        <v>3</v>
      </c>
      <c r="H42" s="132" t="e">
        <f>J42*L39+J41*L40+L42*J39+L41*J40</f>
        <v>#DIV/0!</v>
      </c>
      <c r="I42" s="95" t="n">
        <v>3</v>
      </c>
      <c r="J42" s="88" t="e">
        <f>Y42+AA42+AC42+AE42+AG42+AI42+AK42+AM42+AO42+AQ42+AS42</f>
        <v>#DIV/0!</v>
      </c>
      <c r="K42" s="97" t="n">
        <v>3</v>
      </c>
      <c r="L42" s="88" t="e">
        <f>AF21</f>
        <v>#DIV/0!</v>
      </c>
      <c r="M42" s="87" t="n">
        <v>3</v>
      </c>
      <c r="N42" s="73" t="e">
        <f>(($C$24)^M28)*((1-($C$24))^($B$21-M28))*HLOOKUP($B$21,$AV$24:$BF$34,M28+1)</f>
        <v>#DIV/0!</v>
      </c>
      <c r="O42" s="74" t="n">
        <v>3</v>
      </c>
      <c r="P42" s="73" t="e">
        <f>N42</f>
        <v>#DIV/0!</v>
      </c>
      <c r="Q42" s="30" t="n">
        <v>3</v>
      </c>
      <c r="R42" s="39" t="e">
        <f>P42*N39+P41*N40+P40*N41+P39*N42</f>
        <v>#DIV/0!</v>
      </c>
      <c r="S42" s="74" t="n">
        <v>3</v>
      </c>
      <c r="T42" s="135" t="e">
        <f>(($C$33)^S42)*((1-($C$33))^(INT($B$23*2*(1-$B$31))-S42))*HLOOKUP(INT($B$23*2*(1-$B$31)),$AV$24:$BF$34,S42+1)</f>
        <v>#DIV/0!</v>
      </c>
      <c r="U42" s="95" t="n">
        <v>3</v>
      </c>
      <c r="V42" s="88" t="e">
        <f>R42*T39+R41*T40+R40*T41+R39*T42</f>
        <v>#DIV/0!</v>
      </c>
      <c r="W42" s="137"/>
      <c r="X42" s="30" t="n">
        <v>3</v>
      </c>
      <c r="Y42" s="75"/>
      <c r="Z42" s="30" t="n">
        <v>3</v>
      </c>
      <c r="AA42" s="81"/>
      <c r="AB42" s="30" t="n">
        <v>3</v>
      </c>
      <c r="AC42" s="81"/>
      <c r="AD42" s="30" t="n">
        <v>3</v>
      </c>
      <c r="AE42" s="81" t="e">
        <f>((($W$39)^M42)*((1-($W$39))^($U$28-M42))*HLOOKUP($U$28,$AV$24:$BF$34,M42+1))*V42</f>
        <v>#DIV/0!</v>
      </c>
      <c r="AF42" s="30" t="n">
        <v>3</v>
      </c>
      <c r="AG42" s="81" t="e">
        <f>((($W$39)^M42)*((1-($W$39))^($U$29-M42))*HLOOKUP($U$29,$AV$24:$BF$34,M42+1))*V43</f>
        <v>#DIV/0!</v>
      </c>
      <c r="AH42" s="30" t="n">
        <v>3</v>
      </c>
      <c r="AI42" s="81" t="e">
        <f>((($W$39)^M42)*((1-($W$39))^($U$30-M42))*HLOOKUP($U$30,$AV$24:$BF$34,M42+1))*V44</f>
        <v>#DIV/0!</v>
      </c>
      <c r="AJ42" s="30" t="n">
        <v>3</v>
      </c>
      <c r="AK42" s="81" t="e">
        <f>((($W$39)^M42)*((1-($W$39))^($U$31-M42))*HLOOKUP($U$31,$AV$24:$BF$34,M42+1))*V45</f>
        <v>#DIV/0!</v>
      </c>
      <c r="AL42" s="30" t="n">
        <v>3</v>
      </c>
      <c r="AM42" s="81" t="e">
        <f>((($W$39)^Q42)*((1-($W$39))^($U$32-Q42))*HLOOKUP($U$32,$AV$24:$BF$34,Q42+1))*V46</f>
        <v>#DIV/0!</v>
      </c>
      <c r="AN42" s="30" t="n">
        <v>3</v>
      </c>
      <c r="AO42" s="81" t="e">
        <f>((($W$39)^Q42)*((1-($W$39))^($U$33-Q42))*HLOOKUP($U$33,$AV$24:$BF$34,Q42+1))*V47</f>
        <v>#DIV/0!</v>
      </c>
      <c r="AP42" s="30" t="n">
        <v>3</v>
      </c>
      <c r="AQ42" s="81" t="e">
        <f>((($W$39)^Q42)*((1-($W$39))^($U$34-Q42))*HLOOKUP($U$34,$AV$24:$BF$34,Q42+1))*V48</f>
        <v>#DIV/0!</v>
      </c>
      <c r="AR42" s="30" t="n">
        <v>3</v>
      </c>
      <c r="AS42" s="81" t="e">
        <f>((($W$39)^Q42)*((1-($W$39))^($U$35-Q42))*HLOOKUP($U$35,$AV$24:$BF$34,Q42+1))*V49</f>
        <v>#DIV/0!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 t="e">
        <f>$H$29*H48</f>
        <v>#DIV/0!</v>
      </c>
      <c r="BP42">
        <f>BP34+1</f>
        <v>9</v>
      </c>
      <c r="BQ42" t="n">
        <v>3</v>
      </c>
      <c r="BR42" s="109" t="e">
        <f>$H$34*H42</f>
        <v>#DIV/0!</v>
      </c>
    </row>
    <row r="43" spans="7:70" ht="15" customHeight="1">
      <c r="G43" s="93" t="n">
        <v>4</v>
      </c>
      <c r="H43" s="132" t="e">
        <f>J43*L39+J42*L40+J41*L41+J40*L42</f>
        <v>#DIV/0!</v>
      </c>
      <c r="I43" s="95" t="n">
        <v>4</v>
      </c>
      <c r="J43" s="88" t="e">
        <f>Y43+AA43+AC43+AE43+AG43+AI43+AK43+AM43+AO43+AQ43+AS43</f>
        <v>#DIV/0!</v>
      </c>
      <c r="K43" s="97" t="n">
        <v>4</v>
      </c>
      <c r="L43" s="88"/>
      <c r="M43" s="87" t="n">
        <v>4</v>
      </c>
      <c r="N43" s="73" t="e">
        <f>(($C$24)^M29)*((1-($C$24))^($B$21-M29))*HLOOKUP($B$21,$AV$24:$BF$34,M29+1)</f>
        <v>#DIV/0!</v>
      </c>
      <c r="O43" s="74" t="n">
        <v>4</v>
      </c>
      <c r="P43" s="73" t="e">
        <f>N43</f>
        <v>#DIV/0!</v>
      </c>
      <c r="Q43" s="30" t="n">
        <v>4</v>
      </c>
      <c r="R43" s="39" t="e">
        <f>P43*N39+P42*N40+P41*N41+P40*N42+P39*N43</f>
        <v>#DIV/0!</v>
      </c>
      <c r="S43" s="74" t="n">
        <v>4</v>
      </c>
      <c r="T43" s="135" t="e">
        <f>(($C$33)^S43)*((1-($C$33))^(INT($B$23*2*(1-$B$31))-S43))*HLOOKUP(INT($B$23*2*(1-$B$31)),$AV$24:$BF$34,S43+1)</f>
        <v>#DIV/0!</v>
      </c>
      <c r="U43" s="95" t="n">
        <v>4</v>
      </c>
      <c r="V43" s="88" t="e">
        <f>T43*R39+T42*R40+T41*R41+T40*R42+T39*R43</f>
        <v>#DIV/0!</v>
      </c>
      <c r="W43" s="137"/>
      <c r="X43" s="30" t="n">
        <v>4</v>
      </c>
      <c r="Y43" s="75"/>
      <c r="Z43" s="30" t="n">
        <v>4</v>
      </c>
      <c r="AA43" s="81"/>
      <c r="AB43" s="30" t="n">
        <v>4</v>
      </c>
      <c r="AC43" s="81"/>
      <c r="AD43" s="30" t="n">
        <v>4</v>
      </c>
      <c r="AE43" s="81"/>
      <c r="AF43" s="30" t="n">
        <v>4</v>
      </c>
      <c r="AG43" s="81" t="e">
        <f>((($W$39)^M43)*((1-($W$39))^($U$29-M43))*HLOOKUP($U$29,$AV$24:$BF$34,M43+1))*V43</f>
        <v>#DIV/0!</v>
      </c>
      <c r="AH43" s="30" t="n">
        <v>4</v>
      </c>
      <c r="AI43" s="81" t="e">
        <f>((($W$39)^M43)*((1-($W$39))^($U$30-M43))*HLOOKUP($U$30,$AV$24:$BF$34,M43+1))*V44</f>
        <v>#DIV/0!</v>
      </c>
      <c r="AJ43" s="30" t="n">
        <v>4</v>
      </c>
      <c r="AK43" s="81" t="e">
        <f>((($W$39)^M43)*((1-($W$39))^($U$31-M43))*HLOOKUP($U$31,$AV$24:$BF$34,M43+1))*V45</f>
        <v>#DIV/0!</v>
      </c>
      <c r="AL43" s="30" t="n">
        <v>4</v>
      </c>
      <c r="AM43" s="81" t="e">
        <f>((($W$39)^Q43)*((1-($W$39))^($U$32-Q43))*HLOOKUP($U$32,$AV$24:$BF$34,Q43+1))*V46</f>
        <v>#DIV/0!</v>
      </c>
      <c r="AN43" s="30" t="n">
        <v>4</v>
      </c>
      <c r="AO43" s="81" t="e">
        <f>((($W$39)^Q43)*((1-($W$39))^($U$33-Q43))*HLOOKUP($U$33,$AV$24:$BF$34,Q43+1))*V47</f>
        <v>#DIV/0!</v>
      </c>
      <c r="AP43" s="30" t="n">
        <v>4</v>
      </c>
      <c r="AQ43" s="81" t="e">
        <f>((($W$39)^Q43)*((1-($W$39))^($U$34-Q43))*HLOOKUP($U$34,$AV$24:$BF$34,Q43+1))*V48</f>
        <v>#DIV/0!</v>
      </c>
      <c r="AR43" s="30" t="n">
        <v>4</v>
      </c>
      <c r="AS43" s="81" t="e">
        <f>((($W$39)^Q43)*((1-($W$39))^($U$35-Q43))*HLOOKUP($U$35,$AV$24:$BF$34,Q43+1))*V49</f>
        <v>#DIV/0!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 t="e">
        <f>$H$29*H49</f>
        <v>#DIV/0!</v>
      </c>
      <c r="BP43">
        <f>BP35+1</f>
        <v>9</v>
      </c>
      <c r="BQ43" t="n">
        <v>4</v>
      </c>
      <c r="BR43" s="109" t="e">
        <f>$H$34*H43</f>
        <v>#DIV/0!</v>
      </c>
    </row>
    <row r="44" spans="7:70" ht="15" customHeight="1">
      <c r="G44" s="93" t="n">
        <v>5</v>
      </c>
      <c r="H44" s="132" t="e">
        <f>J44*L39+J43*L40+J42*L41+J41*L42</f>
        <v>#DIV/0!</v>
      </c>
      <c r="I44" s="95" t="n">
        <v>5</v>
      </c>
      <c r="J44" s="88" t="e">
        <f>Y44+AA44+AC44+AE44+AG44+AI44+AK44+AM44+AO44+AQ44+AS44</f>
        <v>#DIV/0!</v>
      </c>
      <c r="K44" s="97" t="n">
        <v>5</v>
      </c>
      <c r="L44" s="88"/>
      <c r="M44" s="87" t="n">
        <v>5</v>
      </c>
      <c r="N44" s="73" t="e">
        <f>(($C$24)^M30)*((1-($C$24))^($B$21-M30))*HLOOKUP($B$21,$AV$24:$BF$34,M30+1)</f>
        <v>#DIV/0!</v>
      </c>
      <c r="O44" s="74" t="n">
        <v>5</v>
      </c>
      <c r="P44" s="73" t="e">
        <f>N44</f>
        <v>#DIV/0!</v>
      </c>
      <c r="Q44" s="30" t="n">
        <v>5</v>
      </c>
      <c r="R44" s="39" t="e">
        <f>P44*N39+P43*N40+P42*N41+P41*N42+P40*N43+P39*N44</f>
        <v>#DIV/0!</v>
      </c>
      <c r="S44" s="74" t="n">
        <v>5</v>
      </c>
      <c r="T44" s="135" t="e">
        <f>(($C$33)^S44)*((1-($C$33))^(INT($B$23*2*(1-$B$31))-S44))*HLOOKUP(INT($B$23*2*(1-$B$31)),$AV$24:$BF$34,S44+1)</f>
        <v>#DIV/0!</v>
      </c>
      <c r="U44" s="95" t="n">
        <v>5</v>
      </c>
      <c r="V44" s="88" t="e">
        <f>T44*R39+T43*R40+T42*R41+T41*R42+T40*R43+T39*R44</f>
        <v>#DIV/0!</v>
      </c>
      <c r="W44" s="137"/>
      <c r="X44" s="30" t="n">
        <v>5</v>
      </c>
      <c r="Y44" s="75"/>
      <c r="Z44" s="30" t="n">
        <v>5</v>
      </c>
      <c r="AA44" s="81"/>
      <c r="AB44" s="30" t="n">
        <v>5</v>
      </c>
      <c r="AC44" s="81"/>
      <c r="AD44" s="30" t="n">
        <v>5</v>
      </c>
      <c r="AE44" s="81"/>
      <c r="AF44" s="30" t="n">
        <v>5</v>
      </c>
      <c r="AG44" s="81"/>
      <c r="AH44" s="30" t="n">
        <v>5</v>
      </c>
      <c r="AI44" s="81" t="e">
        <f>((($W$39)^M44)*((1-($W$39))^($U$30-M44))*HLOOKUP($U$30,$AV$24:$BF$34,M44+1))*V44</f>
        <v>#DIV/0!</v>
      </c>
      <c r="AJ44" s="30" t="n">
        <v>5</v>
      </c>
      <c r="AK44" s="81" t="e">
        <f>((($W$39)^M44)*((1-($W$39))^($U$31-M44))*HLOOKUP($U$31,$AV$24:$BF$34,M44+1))*V45</f>
        <v>#DIV/0!</v>
      </c>
      <c r="AL44" s="30" t="n">
        <v>5</v>
      </c>
      <c r="AM44" s="81" t="e">
        <f>((($W$39)^Q44)*((1-($W$39))^($U$32-Q44))*HLOOKUP($U$32,$AV$24:$BF$34,Q44+1))*V46</f>
        <v>#DIV/0!</v>
      </c>
      <c r="AN44" s="30" t="n">
        <v>5</v>
      </c>
      <c r="AO44" s="81" t="e">
        <f>((($W$39)^Q44)*((1-($W$39))^($U$33-Q44))*HLOOKUP($U$33,$AV$24:$BF$34,Q44+1))*V47</f>
        <v>#DIV/0!</v>
      </c>
      <c r="AP44" s="30" t="n">
        <v>5</v>
      </c>
      <c r="AQ44" s="81" t="e">
        <f>((($W$39)^Q44)*((1-($W$39))^($U$34-Q44))*HLOOKUP($U$34,$AV$24:$BF$34,Q44+1))*V48</f>
        <v>#DIV/0!</v>
      </c>
      <c r="AR44" s="30" t="n">
        <v>5</v>
      </c>
      <c r="AS44" s="81" t="e">
        <f>((($W$39)^Q44)*((1-($W$39))^($U$35-Q44))*HLOOKUP($U$35,$AV$24:$BF$34,Q44+1))*V49</f>
        <v>#DIV/0!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 t="e">
        <f>$H$30*H45</f>
        <v>#DIV/0!</v>
      </c>
      <c r="BP44">
        <f>BP36+1</f>
        <v>9</v>
      </c>
      <c r="BQ44" t="n">
        <v>5</v>
      </c>
      <c r="BR44" s="109" t="e">
        <f>$H$34*H44</f>
        <v>#DIV/0!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6</v>
      </c>
      <c r="H45" s="132" t="e">
        <f>J45*L39+J44*L40+J43*L41+J42*L42</f>
        <v>#DIV/0!</v>
      </c>
      <c r="I45" s="95" t="n">
        <v>6</v>
      </c>
      <c r="J45" s="88" t="e">
        <f>Y45+AA45+AC45+AE45+AG45+AI45+AK45+AM45+AO45+AQ45+AS45</f>
        <v>#DIV/0!</v>
      </c>
      <c r="K45" s="97" t="n">
        <v>6</v>
      </c>
      <c r="L45" s="88"/>
      <c r="M45" s="87"/>
      <c r="N45" s="39"/>
      <c r="O45" s="39"/>
      <c r="P45" s="39"/>
      <c r="Q45" s="30" t="n">
        <v>6</v>
      </c>
      <c r="R45" s="39" t="e">
        <f>P44*N40+P43*N41+P42*N42+P41*N43+P40*N44</f>
        <v>#DIV/0!</v>
      </c>
      <c r="S45" s="72" t="n">
        <v>6</v>
      </c>
      <c r="T45" s="135" t="e">
        <f>(($C$33)^S45)*((1-($C$33))^(INT($B$23*2*(1-$B$31))-S45))*HLOOKUP(INT($B$23*2*(1-$B$31)),$AV$24:$BF$34,S45+1)</f>
        <v>#DIV/0!</v>
      </c>
      <c r="U45" s="95" t="n">
        <v>6</v>
      </c>
      <c r="V45" s="88" t="e">
        <f>T45*R39+T44*R40+T43*R41+T42*R42+T41*R43+T40*R44+T39*R45</f>
        <v>#DIV/0!</v>
      </c>
      <c r="W45" s="137"/>
      <c r="X45" s="30" t="n">
        <v>6</v>
      </c>
      <c r="Y45" s="75"/>
      <c r="Z45" s="30" t="n">
        <v>6</v>
      </c>
      <c r="AA45" s="81"/>
      <c r="AB45" s="30" t="n">
        <v>6</v>
      </c>
      <c r="AC45" s="81"/>
      <c r="AD45" s="30" t="n">
        <v>6</v>
      </c>
      <c r="AE45" s="81"/>
      <c r="AF45" s="30" t="n">
        <v>6</v>
      </c>
      <c r="AG45" s="81"/>
      <c r="AH45" s="30" t="n">
        <v>6</v>
      </c>
      <c r="AI45" s="81"/>
      <c r="AJ45" s="30" t="n">
        <v>6</v>
      </c>
      <c r="AK45" s="81" t="e">
        <f>((($W$39)^Q45)*((1-($W$39))^($U$31-Q45))*HLOOKUP($U$31,$AV$24:$BF$34,Q45+1))*V45</f>
        <v>#DIV/0!</v>
      </c>
      <c r="AL45" s="30" t="n">
        <v>6</v>
      </c>
      <c r="AM45" s="81" t="e">
        <f>((($W$39)^Q45)*((1-($W$39))^($U$32-Q45))*HLOOKUP($U$32,$AV$24:$BF$34,Q45+1))*V46</f>
        <v>#DIV/0!</v>
      </c>
      <c r="AN45" s="30" t="n">
        <v>6</v>
      </c>
      <c r="AO45" s="81" t="e">
        <f>((($W$39)^Q45)*((1-($W$39))^($U$33-Q45))*HLOOKUP($U$33,$AV$24:$BF$34,Q45+1))*V47</f>
        <v>#DIV/0!</v>
      </c>
      <c r="AP45" s="30" t="n">
        <v>6</v>
      </c>
      <c r="AQ45" s="81" t="e">
        <f>((($W$39)^Q45)*((1-($W$39))^($U$34-Q45))*HLOOKUP($U$34,$AV$24:$BF$34,Q45+1))*V48</f>
        <v>#DIV/0!</v>
      </c>
      <c r="AR45" s="30" t="n">
        <v>6</v>
      </c>
      <c r="AS45" s="81" t="e">
        <f>((($W$39)^Q45)*((1-($W$39))^($U$35-Q45))*HLOOKUP($U$35,$AV$24:$BF$34,Q45+1))*V49</f>
        <v>#DIV/0!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 t="e">
        <f>$H$30*H46</f>
        <v>#DIV/0!</v>
      </c>
      <c r="BP45">
        <f>BP37+1</f>
        <v>9</v>
      </c>
      <c r="BQ45" t="n">
        <v>6</v>
      </c>
      <c r="BR45" s="109" t="e">
        <f>$H$34*H45</f>
        <v>#DIV/0!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7</v>
      </c>
      <c r="H46" s="132" t="e">
        <f>J46*L39+J45*L40+J44*L41+J43*L42</f>
        <v>#DIV/0!</v>
      </c>
      <c r="I46" s="95" t="n">
        <v>7</v>
      </c>
      <c r="J46" s="88" t="e">
        <f>Y46+AA46+AC46+AE46+AG46+AI46+AK46+AM46+AO46+AQ46+AS46</f>
        <v>#DIV/0!</v>
      </c>
      <c r="K46" s="97" t="n">
        <v>7</v>
      </c>
      <c r="L46" s="88"/>
      <c r="M46" s="87"/>
      <c r="N46" s="39"/>
      <c r="O46" s="39"/>
      <c r="P46" s="39"/>
      <c r="Q46" s="30" t="n">
        <v>7</v>
      </c>
      <c r="R46" s="39" t="e">
        <f>P44*N41+P43*N42+P42*N43+P41*N44</f>
        <v>#DIV/0!</v>
      </c>
      <c r="S46" s="74" t="n">
        <v>7</v>
      </c>
      <c r="T46" s="135" t="e">
        <f>(($C$33)^S46)*((1-($C$33))^(INT($B$23*2*(1-$B$31))-S46))*HLOOKUP(INT($B$23*2*(1-$B$31)),$AV$24:$BF$34,S46+1)</f>
        <v>#DIV/0!</v>
      </c>
      <c r="U46" s="95" t="n">
        <v>7</v>
      </c>
      <c r="V46" s="88" t="e">
        <f>T46*R39+T45*R40+T44*R41+T43*R42+T42*R43+T41*R44+T40*R45+T39*R46</f>
        <v>#DIV/0!</v>
      </c>
      <c r="W46" s="137"/>
      <c r="X46" s="30" t="n">
        <v>7</v>
      </c>
      <c r="Y46" s="75"/>
      <c r="Z46" s="30" t="n">
        <v>7</v>
      </c>
      <c r="AA46" s="81"/>
      <c r="AB46" s="30" t="n">
        <v>7</v>
      </c>
      <c r="AC46" s="81"/>
      <c r="AD46" s="30" t="n">
        <v>7</v>
      </c>
      <c r="AE46" s="81"/>
      <c r="AF46" s="30" t="n">
        <v>7</v>
      </c>
      <c r="AG46" s="81"/>
      <c r="AH46" s="30" t="n">
        <v>7</v>
      </c>
      <c r="AI46" s="81"/>
      <c r="AJ46" s="30" t="n">
        <v>7</v>
      </c>
      <c r="AK46" s="81"/>
      <c r="AL46" s="30" t="n">
        <v>7</v>
      </c>
      <c r="AM46" s="81" t="e">
        <f>((($W$39)^Q46)*((1-($W$39))^($U$32-Q46))*HLOOKUP($U$32,$AV$24:$BF$34,Q46+1))*V46</f>
        <v>#DIV/0!</v>
      </c>
      <c r="AN46" s="30" t="n">
        <v>7</v>
      </c>
      <c r="AO46" s="81" t="e">
        <f>((($W$39)^Q46)*((1-($W$39))^($U$33-Q46))*HLOOKUP($U$33,$AV$24:$BF$34,Q46+1))*V47</f>
        <v>#DIV/0!</v>
      </c>
      <c r="AP46" s="30" t="n">
        <v>7</v>
      </c>
      <c r="AQ46" s="81" t="e">
        <f>((($W$39)^Q46)*((1-($W$39))^($U$34-Q46))*HLOOKUP($U$34,$AV$24:$BF$34,Q46+1))*V48</f>
        <v>#DIV/0!</v>
      </c>
      <c r="AR46" s="30" t="n">
        <v>7</v>
      </c>
      <c r="AS46" s="81" t="e">
        <f>((($W$39)^Q46)*((1-($W$39))^($U$35-Q46))*HLOOKUP($U$35,$AV$24:$BF$34,Q46+1))*V49</f>
        <v>#DIV/0!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 t="e">
        <f>$H$30*H47</f>
        <v>#DIV/0!</v>
      </c>
      <c r="BP46">
        <f>BP38+1</f>
        <v>9</v>
      </c>
      <c r="BQ46" t="n">
        <v>7</v>
      </c>
      <c r="BR46" s="109" t="e">
        <f>$H$34*H46</f>
        <v>#DIV/0!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8</v>
      </c>
      <c r="H47" s="132" t="e">
        <f>J47*L39+J46*L40+J45*L41+J44*L42</f>
        <v>#DIV/0!</v>
      </c>
      <c r="I47" s="95" t="n">
        <v>8</v>
      </c>
      <c r="J47" s="88" t="e">
        <f>Y47+AA47+AC47+AE47+AG47+AI47+AK47+AM47+AO47+AQ47+AS47</f>
        <v>#DIV/0!</v>
      </c>
      <c r="K47" s="97" t="n">
        <v>8</v>
      </c>
      <c r="L47" s="88"/>
      <c r="M47" s="87"/>
      <c r="N47" s="39"/>
      <c r="O47" s="39"/>
      <c r="P47" s="39"/>
      <c r="Q47" s="30" t="n">
        <v>8</v>
      </c>
      <c r="R47" s="39" t="e">
        <f>P44*N42+P43*N43+P42*N44</f>
        <v>#DIV/0!</v>
      </c>
      <c r="S47" s="74" t="n">
        <v>8</v>
      </c>
      <c r="T47" s="135" t="e">
        <f>(($C$33)^S47)*((1-($C$33))^(INT($B$23*2*(1-$B$31))-S47))*HLOOKUP(INT($B$23*2*(1-$B$31)),$AV$24:$BF$34,S47+1)</f>
        <v>#DIV/0!</v>
      </c>
      <c r="U47" s="95" t="n">
        <v>8</v>
      </c>
      <c r="V47" s="88" t="e">
        <f>T47*R39+T46*R40+T45*R41+T44*R42+T43*R43+T42*R44+T41*R45+T40*R46+T39*R47</f>
        <v>#DIV/0!</v>
      </c>
      <c r="W47" s="137"/>
      <c r="X47" s="30" t="n">
        <v>8</v>
      </c>
      <c r="Y47" s="75"/>
      <c r="Z47" s="30" t="n">
        <v>8</v>
      </c>
      <c r="AA47" s="81"/>
      <c r="AB47" s="30" t="n">
        <v>8</v>
      </c>
      <c r="AC47" s="81"/>
      <c r="AD47" s="30" t="n">
        <v>8</v>
      </c>
      <c r="AE47" s="81"/>
      <c r="AF47" s="30" t="n">
        <v>8</v>
      </c>
      <c r="AG47" s="81"/>
      <c r="AH47" s="30" t="n">
        <v>8</v>
      </c>
      <c r="AI47" s="81"/>
      <c r="AJ47" s="30" t="n">
        <v>8</v>
      </c>
      <c r="AK47" s="81"/>
      <c r="AL47" s="30" t="n">
        <v>8</v>
      </c>
      <c r="AM47" s="81"/>
      <c r="AN47" s="30" t="n">
        <v>8</v>
      </c>
      <c r="AO47" s="81" t="e">
        <f>((($W$39)^Q47)*((1-($W$39))^($U$33-Q47))*HLOOKUP($U$33,$AV$24:$BF$34,Q47+1))*V47</f>
        <v>#DIV/0!</v>
      </c>
      <c r="AP47" s="30" t="n">
        <v>8</v>
      </c>
      <c r="AQ47" s="81" t="e">
        <f>((($W$39)^Q47)*((1-($W$39))^($U$34-Q47))*HLOOKUP($U$34,$AV$24:$BF$34,Q47+1))*V48</f>
        <v>#DIV/0!</v>
      </c>
      <c r="AR47" s="30" t="n">
        <v>8</v>
      </c>
      <c r="AS47" s="81" t="e">
        <f>((($W$39)^Q47)*((1-($W$39))^($U$35-Q47))*HLOOKUP($U$35,$AV$24:$BF$34,Q47+1))*V49</f>
        <v>#DIV/0!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 t="e">
        <f>$H$30*H48</f>
        <v>#DIV/0!</v>
      </c>
      <c r="BP47">
        <f>BL12+1</f>
        <v>9</v>
      </c>
      <c r="BQ47" t="n">
        <v>8</v>
      </c>
      <c r="BR47" s="109" t="e">
        <f>$H$34*H47</f>
        <v>#DIV/0!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3" t="n">
        <v>9</v>
      </c>
      <c r="H48" s="132" t="e">
        <f>J48*L39+J47*L40+J46*L41+J45*L42</f>
        <v>#DIV/0!</v>
      </c>
      <c r="I48" s="95" t="n">
        <v>9</v>
      </c>
      <c r="J48" s="88" t="e">
        <f>Y48+AA48+AC48+AE48+AG48+AI48+AK48+AM48+AO48+AQ48+AS48</f>
        <v>#DIV/0!</v>
      </c>
      <c r="K48" s="97" t="n">
        <v>9</v>
      </c>
      <c r="L48" s="88"/>
      <c r="M48" s="87"/>
      <c r="N48" s="39"/>
      <c r="O48" s="39"/>
      <c r="P48" s="39"/>
      <c r="Q48" s="30" t="n">
        <v>9</v>
      </c>
      <c r="R48" s="39" t="e">
        <f>P44*N43+P43*N44</f>
        <v>#DIV/0!</v>
      </c>
      <c r="S48" s="74" t="n">
        <v>9</v>
      </c>
      <c r="T48" s="135" t="e">
        <f>(($C$33)^S48)*((1-($C$33))^(INT($B$23*2*(1-$B$31))-S48))*HLOOKUP(INT($B$23*2*(1-$B$31)),$AV$24:$BF$34,S48+1)</f>
        <v>#DIV/0!</v>
      </c>
      <c r="U48" s="95" t="n">
        <v>9</v>
      </c>
      <c r="V48" s="88" t="e">
        <f>T48*R39+T47*R40+T46*R41+T45*R42+T44*R43+T43*R44+T42*R45+T41*R46+T40*R47+T39*R48</f>
        <v>#DIV/0!</v>
      </c>
      <c r="W48" s="137"/>
      <c r="X48" s="30" t="n">
        <v>9</v>
      </c>
      <c r="Y48" s="75"/>
      <c r="Z48" s="30" t="n">
        <v>9</v>
      </c>
      <c r="AA48" s="81"/>
      <c r="AB48" s="30" t="n">
        <v>9</v>
      </c>
      <c r="AC48" s="81"/>
      <c r="AD48" s="30" t="n">
        <v>9</v>
      </c>
      <c r="AE48" s="81"/>
      <c r="AF48" s="30" t="n">
        <v>9</v>
      </c>
      <c r="AG48" s="81"/>
      <c r="AH48" s="30" t="n">
        <v>9</v>
      </c>
      <c r="AI48" s="81"/>
      <c r="AJ48" s="30" t="n">
        <v>9</v>
      </c>
      <c r="AK48" s="81"/>
      <c r="AL48" s="30" t="n">
        <v>9</v>
      </c>
      <c r="AM48" s="81"/>
      <c r="AN48" s="30" t="n">
        <v>9</v>
      </c>
      <c r="AO48" s="81"/>
      <c r="AP48" s="30" t="n">
        <v>9</v>
      </c>
      <c r="AQ48" s="81" t="e">
        <f>((($W$39)^Q48)*((1-($W$39))^($U$34-Q48))*HLOOKUP($U$34,$AV$24:$BF$34,Q48+1))*V48</f>
        <v>#DIV/0!</v>
      </c>
      <c r="AR48" s="30" t="n">
        <v>9</v>
      </c>
      <c r="AS48" s="81" t="e">
        <f>((($W$39)^Q48)*((1-($W$39))^($U$35-Q48))*HLOOKUP($U$35,$AV$24:$BF$34,Q48+1))*V49</f>
        <v>#DIV/0!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 t="e">
        <f>$H$30*H49</f>
        <v>#DIV/0!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94" t="n">
        <v>10</v>
      </c>
      <c r="H49" s="133" t="e">
        <f>J49*L39+J48*L40+J47*L41+J46*L42</f>
        <v>#DIV/0!</v>
      </c>
      <c r="I49" s="96" t="n">
        <v>10</v>
      </c>
      <c r="J49" s="91" t="e">
        <f>Y49+AA49+AC49+AE49+AG49+AI49+AK49+AM49+AO49+AQ49+AS49</f>
        <v>#DIV/0!</v>
      </c>
      <c r="K49" s="98" t="n">
        <v>10</v>
      </c>
      <c r="L49" s="91"/>
      <c r="M49" s="87"/>
      <c r="N49" s="39"/>
      <c r="O49" s="39"/>
      <c r="P49" s="39"/>
      <c r="Q49" s="30" t="n">
        <v>10</v>
      </c>
      <c r="R49" s="39" t="e">
        <f>P44*N44</f>
        <v>#DIV/0!</v>
      </c>
      <c r="S49" s="74" t="n">
        <v>10</v>
      </c>
      <c r="T49" s="135" t="e">
        <f>(($C$33)^S49)*((1-($C$33))^(INT($B$23*2*(1-$B$31))-S49))*HLOOKUP(INT($B$23*2*(1-$B$31)),$AV$24:$BF$34,S49+1)</f>
        <v>#DIV/0!</v>
      </c>
      <c r="U49" s="96" t="n">
        <v>10</v>
      </c>
      <c r="V49" s="91" t="e">
        <f>IF(((T49*R39+T48*R40+T47*R41+T46*R42+T45*R43+T44*R44+T43*R45+T42*R46+T41*R47+T40*R48+T39*R49)+V37)&lt;&gt;1,1-V37,(T49*R39+T48*R40+T47*R41+T46*R42+T45*R43+T44*R44+T43*R45+T42*R46+T41*R47+T40*R48+T39*R49))</f>
        <v>#DIV/0!</v>
      </c>
      <c r="W49" s="137"/>
      <c r="X49" s="30" t="n">
        <v>10</v>
      </c>
      <c r="Y49" s="75"/>
      <c r="Z49" s="30" t="n">
        <v>10</v>
      </c>
      <c r="AA49" s="81"/>
      <c r="AB49" s="30" t="n">
        <v>10</v>
      </c>
      <c r="AC49" s="81"/>
      <c r="AD49" s="30" t="n">
        <v>10</v>
      </c>
      <c r="AE49" s="81"/>
      <c r="AF49" s="30" t="n">
        <v>10</v>
      </c>
      <c r="AG49" s="81"/>
      <c r="AH49" s="30" t="n">
        <v>10</v>
      </c>
      <c r="AI49" s="81"/>
      <c r="AJ49" s="30" t="n">
        <v>10</v>
      </c>
      <c r="AK49" s="81"/>
      <c r="AL49" s="30" t="n">
        <v>10</v>
      </c>
      <c r="AM49" s="81"/>
      <c r="AN49" s="30" t="n">
        <v>10</v>
      </c>
      <c r="AO49" s="81"/>
      <c r="AP49" s="30" t="n">
        <v>10</v>
      </c>
      <c r="AQ49" s="81"/>
      <c r="AR49" s="30" t="n">
        <v>10</v>
      </c>
      <c r="AS49" s="81" t="e">
        <f>((($W$39)^Q49)*((1-($W$39))^($U$35-Q49))*HLOOKUP($U$35,$AV$24:$BF$34,Q49+1))*V49</f>
        <v>#DIV/0!</v>
      </c>
      <c r="BH49">
        <f>BP14+1</f>
        <v>6</v>
      </c>
      <c r="BI49" t="n">
        <v>0</v>
      </c>
      <c r="BJ49" s="109" t="e">
        <f>$H$31*H39</f>
        <v>#DIV/0!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G50" s="78"/>
      <c r="H50" s="79"/>
      <c r="I50" s="35"/>
      <c r="J50" s="35"/>
      <c r="K50" s="79"/>
      <c r="L50" s="79"/>
      <c r="M50" s="33"/>
      <c r="N50" s="33"/>
      <c r="O50" s="34"/>
      <c r="P50" s="34"/>
      <c r="Q50" s="34"/>
      <c r="R50" s="34"/>
      <c r="S50" s="78"/>
      <c r="T50" s="78"/>
      <c r="U50" s="78"/>
      <c r="V50" s="79"/>
      <c r="W50" s="35"/>
      <c r="X50" s="15"/>
      <c r="Y50" s="15"/>
      <c r="BH50">
        <f>BH45+1</f>
        <v>6</v>
      </c>
      <c r="BI50" t="n">
        <v>7</v>
      </c>
      <c r="BJ50" s="109" t="e">
        <f>$H$31*H46</f>
        <v>#DIV/0!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BH51">
        <f>BH46+1</f>
        <v>6</v>
      </c>
      <c r="BI51" t="n">
        <v>8</v>
      </c>
      <c r="BJ51" s="109" t="e">
        <f>$H$31*H47</f>
        <v>#DIV/0!</v>
      </c>
    </row>
    <row r="52" spans="8:62">
      <c r="H52" s="109"/>
      <c r="BH52">
        <f>BH47+1</f>
        <v>6</v>
      </c>
      <c r="BI52" t="n">
        <v>9</v>
      </c>
      <c r="BJ52" s="109" t="e">
        <f>$H$31*H48</f>
        <v>#DIV/0!</v>
      </c>
    </row>
    <row r="53" spans="60:62">
      <c r="BH53">
        <f>BH48+1</f>
        <v>6</v>
      </c>
      <c r="BI53" t="n">
        <v>10</v>
      </c>
      <c r="BJ53" s="109" t="e">
        <f>$H$31*H49</f>
        <v>#DIV/0!</v>
      </c>
    </row>
    <row r="54" spans="60:62">
      <c r="BH54">
        <f>BH51+1</f>
        <v>7</v>
      </c>
      <c r="BI54" t="n">
        <v>8</v>
      </c>
      <c r="BJ54" s="109" t="e">
        <f>$H$32*H47</f>
        <v>#DIV/0!</v>
      </c>
    </row>
    <row r="55" spans="60:62">
      <c r="BH55">
        <f>BH52+1</f>
        <v>7</v>
      </c>
      <c r="BI55" t="n">
        <v>9</v>
      </c>
      <c r="BJ55" s="109" t="e">
        <f>$H$32*H48</f>
        <v>#DIV/0!</v>
      </c>
    </row>
    <row r="56" spans="60:62">
      <c r="BH56">
        <f>BH53+1</f>
        <v>7</v>
      </c>
      <c r="BI56" t="n">
        <v>10</v>
      </c>
      <c r="BJ56" s="109" t="e">
        <f>$H$32*H49</f>
        <v>#DIV/0!</v>
      </c>
    </row>
    <row r="57" spans="60:62">
      <c r="BH57">
        <f>BH55+1</f>
        <v>8</v>
      </c>
      <c r="BI57" t="n">
        <v>9</v>
      </c>
      <c r="BJ57" s="109" t="e">
        <f>$H$33*H48</f>
        <v>#DIV/0!</v>
      </c>
    </row>
    <row r="58" spans="60:62">
      <c r="BH58">
        <f>BH56+1</f>
        <v>8</v>
      </c>
      <c r="BI58" t="n">
        <v>10</v>
      </c>
      <c r="BJ58" s="109" t="e">
        <f>$H$33*H49</f>
        <v>#DIV/0!</v>
      </c>
    </row>
    <row r="59" spans="60:62">
      <c r="BH59">
        <f>BH58+1</f>
        <v>9</v>
      </c>
      <c r="BI59" t="n">
        <v>10</v>
      </c>
      <c r="BJ59" s="109" t="e">
        <f>$H$34*H49</f>
        <v>#DIV/0!</v>
      </c>
    </row>
  </sheetData>
  <mergeCells count="2">
    <mergeCell ref="P1:Q1"/>
    <mergeCell ref="B3:C3"/>
  </mergeCells>
  <conditionalFormatting sqref="H49">
    <cfRule type="cellIs" dxfId="84" priority="1" operator="greaterThan">
      <formula>0.15</formula>
    </cfRule>
  </conditionalFormatting>
  <conditionalFormatting sqref="H39:H49">
    <cfRule type="cellIs" dxfId="85" priority="2" operator="greaterThan">
      <formula>0.15</formula>
    </cfRule>
  </conditionalFormatting>
  <conditionalFormatting sqref="H49">
    <cfRule type="cellIs" dxfId="86" priority="3" operator="greaterThan">
      <formula>0.15</formula>
    </cfRule>
  </conditionalFormatting>
  <conditionalFormatting sqref="H39:H49">
    <cfRule type="cellIs" dxfId="87" priority="4" operator="greaterThan">
      <formula>0.15</formula>
    </cfRule>
  </conditionalFormatting>
  <conditionalFormatting sqref="H35">
    <cfRule type="cellIs" dxfId="88" priority="5" operator="greaterThan">
      <formula>0.15</formula>
    </cfRule>
  </conditionalFormatting>
  <conditionalFormatting sqref="H25:H35">
    <cfRule type="cellIs" dxfId="89" priority="6" operator="greaterThan">
      <formula>0.15</formula>
    </cfRule>
  </conditionalFormatting>
  <conditionalFormatting sqref="H35">
    <cfRule type="cellIs" dxfId="90" priority="7" operator="greaterThan">
      <formula>0.15</formula>
    </cfRule>
  </conditionalFormatting>
  <conditionalFormatting sqref="H25:H35">
    <cfRule type="cellIs" dxfId="91" priority="8" operator="greaterThan">
      <formula>0.15</formula>
    </cfRule>
  </conditionalFormatting>
  <conditionalFormatting sqref="V49">
    <cfRule type="cellIs" dxfId="92" priority="9" operator="greaterThan">
      <formula>0.15</formula>
    </cfRule>
  </conditionalFormatting>
  <conditionalFormatting sqref="V35">
    <cfRule type="cellIs" dxfId="93" priority="10" operator="greaterThan">
      <formula>0.15</formula>
    </cfRule>
  </conditionalFormatting>
  <conditionalFormatting sqref="V25:V35 V39:V49">
    <cfRule type="cellIs" dxfId="94" priority="11" operator="greaterThan">
      <formula>0.15</formula>
    </cfRule>
  </conditionalFormatting>
  <conditionalFormatting sqref="V49">
    <cfRule type="cellIs" dxfId="95" priority="12" operator="greaterThan">
      <formula>0.15</formula>
    </cfRule>
  </conditionalFormatting>
  <conditionalFormatting sqref="V35">
    <cfRule type="cellIs" dxfId="96" priority="13" operator="greaterThan">
      <formula>0.15</formula>
    </cfRule>
  </conditionalFormatting>
  <conditionalFormatting sqref="V25:V35 V39:V49">
    <cfRule type="cellIs" dxfId="97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"/>
  </sheetPr>
  <dimension ref="A1:BR59"/>
  <sheetViews>
    <sheetView view="normal" topLeftCell="A4" zoomScale="80" workbookViewId="0">
      <selection activeCell="C5" sqref="C5"/>
    </sheetView>
  </sheetViews>
  <sheetFormatPr defaultRowHeight="15.40"/>
  <cols>
    <col min="1" max="1" width="22.714286" customWidth="1"/>
    <col min="4" max="4" width="11.285714" customWidth="1"/>
    <col min="5" max="5" width="10.142857" customWidth="1"/>
    <col min="6" max="6" width="4.857143" customWidth="1"/>
    <col min="7" max="7" width="6.000000" customWidth="1"/>
    <col min="9" max="9" width="4.428571" customWidth="1"/>
    <col min="11" max="11" width="6.000000" customWidth="1"/>
    <col min="13" max="13" width="5.714286" customWidth="1"/>
    <col min="15" max="15" width="7.142857" customWidth="1"/>
    <col min="17" max="17" width="8.857143" customWidth="1"/>
    <col min="19" max="19" width="7.714286" customWidth="1"/>
    <col min="21" max="21" width="7.142857" customWidth="1"/>
    <col min="23" max="23" width="17.428571" customWidth="1"/>
    <col min="24" max="24" width="7.142857" customWidth="1"/>
    <col min="26" max="26" width="8.714286" customWidth="1"/>
    <col min="27" max="27" width="8.000000" customWidth="1"/>
    <col min="28" max="28" width="10.000000" customWidth="1"/>
    <col min="29" max="29" width="8.428571" customWidth="1"/>
    <col min="30" max="30" width="7.142857" customWidth="1"/>
    <col min="31" max="31" width="8.428571" customWidth="1"/>
    <col min="32" max="32" width="8.714286" customWidth="1"/>
    <col min="33" max="33" width="8.428571" customWidth="1"/>
    <col min="34" max="34" width="3.714286" customWidth="1"/>
    <col min="35" max="35" width="8.428571" customWidth="1"/>
    <col min="36" max="36" width="3.714286" customWidth="1"/>
    <col min="37" max="37" width="8.428571" customWidth="1"/>
    <col min="38" max="38" width="4.857143" customWidth="1"/>
    <col min="42" max="42" width="4.571429" customWidth="1"/>
    <col min="43" max="43" width="8.428571" customWidth="1"/>
    <col min="44" max="44" width="5.428571" customWidth="1"/>
    <col min="45" max="45" width="8.428571" customWidth="1"/>
    <col min="46" max="46" width="2.285714" customWidth="1"/>
    <col min="47" max="47" width="3.428571" customWidth="1"/>
    <col min="48" max="48" width="4.285714" customWidth="1"/>
    <col min="49" max="52" width="3.000000" customWidth="1"/>
    <col min="53" max="56" width="3.428571" customWidth="1"/>
    <col min="57" max="58" width="4.428571" customWidth="1"/>
    <col min="60" max="60" width="2.428571" customWidth="1"/>
    <col min="61" max="61" width="3.428571" customWidth="1"/>
    <col min="62" max="62" width="6.142857" customWidth="1"/>
    <col min="63" max="63" width="4.714286" customWidth="1"/>
    <col min="64" max="65" width="3.428571" customWidth="1"/>
    <col min="66" max="66" width="6.142857" customWidth="1"/>
    <col min="67" max="67" width="4.428571" customWidth="1"/>
    <col min="68" max="69" width="2.428571" customWidth="1"/>
    <col min="70" max="70" width="5.285714" customWidth="1"/>
  </cols>
  <sheetData>
    <row r="1" spans="1:32">
      <c r="A1" s="155" t="s">
        <v>146</v>
      </c>
      <c r="F1" s="12" t="s">
        <v>2</v>
      </c>
      <c r="G1" s="72">
        <f>IF(D3="SI",COUNTIF($F$6:$F$18,"RAP"),0)</f>
        <v>0</v>
      </c>
      <c r="H1" s="72">
        <f>G1+G2+G3</f>
        <v>0</v>
      </c>
      <c r="J1" s="13" t="s">
        <v>2</v>
      </c>
      <c r="K1" s="72">
        <f>IF(D3="SI",COUNTIF($J$6:$J$18,"RAP"),0)</f>
        <v>0</v>
      </c>
      <c r="L1" s="72">
        <f>K1+K2+K3</f>
        <v>0</v>
      </c>
      <c r="M1" s="150">
        <f>L1+H1</f>
        <v>0</v>
      </c>
      <c r="P1" s="155" t="s">
        <v>162</v>
      </c>
      <c r="Q1" s="155"/>
      <c r="R1" s="152" t="n">
        <v>-0.123640590504056269</v>
      </c>
      <c r="S1" s="153">
        <f>1+R1</f>
        <v>0.876359409495944064</v>
      </c>
      <c r="AF1">
        <f>COUNTA(J16:J18)</f>
        <v>0</v>
      </c>
    </row>
    <row r="2" spans="1:19">
      <c r="A2" s="155" t="s">
        <v>151</v>
      </c>
      <c r="F2" s="12" t="s">
        <v>5</v>
      </c>
      <c r="G2" s="72">
        <f>IF(D3="SI",COUNTIF($F$6:$F$18,"TEC"),0)</f>
        <v>0</v>
      </c>
      <c r="H2" s="15"/>
      <c r="J2" s="13" t="s">
        <v>5</v>
      </c>
      <c r="K2" s="72">
        <f>IF(D3="SI",COUNTIF($J$6:$J$18,"TEC"),0)</f>
        <v>0</v>
      </c>
      <c r="L2" s="15" t="s">
        <v>160</v>
      </c>
      <c r="M2" s="149" t="str">
        <f>IF(M1&lt;&gt;0,"SI","NO")</f>
        <v>NO</v>
      </c>
      <c r="R2" s="152" t="n">
        <v>0.0739597481170515003</v>
      </c>
      <c r="S2" s="153">
        <f>1+R2</f>
        <v>1.07395974811704997</v>
      </c>
    </row>
    <row r="3" spans="1:28">
      <c r="A3" s="148" t="s">
        <v>7</v>
      </c>
      <c r="B3" s="208" t="s">
        <v>167</v>
      </c>
      <c r="C3" s="208"/>
      <c r="D3" t="str">
        <f>IF(B3="Sol","SI",IF(B3="Lluvia","SI","NO"))</f>
        <v>NO</v>
      </c>
      <c r="F3" s="12" t="s">
        <v>9</v>
      </c>
      <c r="G3" s="72">
        <f>IF(D3="SI",COUNTIF($F$6:$F$18,"POT"),0)</f>
        <v>0</v>
      </c>
      <c r="H3" s="15"/>
      <c r="J3" s="13" t="s">
        <v>9</v>
      </c>
      <c r="K3" s="72">
        <f>IF(D3="SI",COUNTIF($J$6:$J$18,"POT"),0)</f>
        <v>0</v>
      </c>
      <c r="L3" s="15"/>
      <c r="O3" t="s">
        <v>10</v>
      </c>
      <c r="P3" s="18" t="s">
        <v>154</v>
      </c>
      <c r="Q3" t="s">
        <v>11</v>
      </c>
      <c r="R3" s="18" t="s">
        <v>155</v>
      </c>
      <c r="Y3" t="s">
        <v>10</v>
      </c>
      <c r="Z3" s="21" t="s">
        <v>154</v>
      </c>
      <c r="AA3" t="s">
        <v>11</v>
      </c>
      <c r="AB3" s="21" t="s">
        <v>155</v>
      </c>
    </row>
    <row r="4" spans="1:70">
      <c r="A4" s="124"/>
      <c r="B4" s="10" t="s">
        <v>12</v>
      </c>
      <c r="C4" s="11" t="s">
        <v>13</v>
      </c>
      <c r="D4" s="15"/>
      <c r="E4" s="15"/>
      <c r="F4" s="10" t="s">
        <v>14</v>
      </c>
      <c r="G4" s="10" t="s">
        <v>15</v>
      </c>
      <c r="H4" s="10" t="s">
        <v>16</v>
      </c>
      <c r="I4" s="10" t="s">
        <v>17</v>
      </c>
      <c r="J4" s="11" t="s">
        <v>18</v>
      </c>
      <c r="K4" s="11" t="s">
        <v>15</v>
      </c>
      <c r="L4" s="11" t="s">
        <v>16</v>
      </c>
      <c r="M4" s="11" t="s">
        <v>17</v>
      </c>
      <c r="N4" s="15"/>
      <c r="O4" s="10" t="s">
        <v>19</v>
      </c>
      <c r="P4" s="10" t="s">
        <v>20</v>
      </c>
      <c r="Q4" s="10" t="s">
        <v>163</v>
      </c>
      <c r="R4" s="10" t="s">
        <v>22</v>
      </c>
      <c r="S4" s="10" t="s">
        <v>23</v>
      </c>
      <c r="T4" s="10" t="s">
        <v>24</v>
      </c>
      <c r="U4" s="10" t="s">
        <v>25</v>
      </c>
      <c r="V4" s="155"/>
      <c r="W4" s="125"/>
      <c r="X4" s="14" t="s">
        <v>26</v>
      </c>
      <c r="Y4" s="11" t="s">
        <v>19</v>
      </c>
      <c r="Z4" s="11" t="s">
        <v>20</v>
      </c>
      <c r="AA4" s="11" t="s">
        <v>164</v>
      </c>
      <c r="AB4" s="11" t="s">
        <v>27</v>
      </c>
      <c r="AC4" s="11" t="s">
        <v>23</v>
      </c>
      <c r="AD4" s="11" t="s">
        <v>24</v>
      </c>
      <c r="AE4" s="11" t="s">
        <v>25</v>
      </c>
      <c r="AF4" s="16"/>
      <c r="BH4" t="n">
        <v>0</v>
      </c>
      <c r="BI4" t="n">
        <v>1</v>
      </c>
      <c r="BJ4" s="109" t="e">
        <f>$H$24*H39</f>
        <v>#DIV/0!</v>
      </c>
      <c r="BL4" t="n">
        <v>0</v>
      </c>
      <c r="BM4" t="n">
        <v>0</v>
      </c>
      <c r="BN4" s="109" t="e">
        <f>H24*H38</f>
        <v>#DIV/0!</v>
      </c>
      <c r="BP4" t="n">
        <v>1</v>
      </c>
      <c r="BQ4" t="n">
        <v>0</v>
      </c>
      <c r="BR4" s="109" t="e">
        <f>$H$25*H38</f>
        <v>#DIV/0!</v>
      </c>
    </row>
    <row r="5" spans="1:70">
      <c r="A5" s="27" t="s">
        <v>165</v>
      </c>
      <c r="B5" s="156" t="n">
        <v>352</v>
      </c>
      <c r="C5" s="156" t="n">
        <v>352</v>
      </c>
      <c r="E5" s="52" t="s">
        <v>34</v>
      </c>
      <c r="F5" s="12" t="s">
        <v>35</v>
      </c>
      <c r="G5" s="12" t="n">
        <v>12</v>
      </c>
      <c r="H5" s="12"/>
      <c r="I5" s="12"/>
      <c r="J5" s="13" t="s">
        <v>35</v>
      </c>
      <c r="K5" s="13" t="n">
        <v>12</v>
      </c>
      <c r="L5" s="12"/>
      <c r="M5" s="12"/>
      <c r="O5" s="68">
        <f>COUNTIF(F5:F18,"IMP")*0.017</f>
        <v>0</v>
      </c>
      <c r="P5" s="18" t="str">
        <f>P3</f>
        <v>0,6</v>
      </c>
      <c r="Q5" s="19">
        <f>P5*O5</f>
        <v>0</v>
      </c>
      <c r="R5" s="157" t="e">
        <f>IF($M$2="SI",Q5*$B$22/0.5*$S$1,Q5*$B$22/0.5*$S$2)</f>
        <v>#DIV/0!</v>
      </c>
      <c r="S5" s="43" t="e">
        <f>(1-R5)</f>
        <v>#DIV/0!</v>
      </c>
      <c r="T5" s="44" t="e">
        <f>R5*PRODUCT(S6:S19)</f>
        <v>#DIV/0!</v>
      </c>
      <c r="U5" s="44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V5" s="20"/>
      <c r="W5" s="50" t="s">
        <v>36</v>
      </c>
      <c r="X5" s="17" t="s">
        <v>37</v>
      </c>
      <c r="Y5" s="70">
        <f>COUNTIF(J5:J18,"IMP")*0.017</f>
        <v>0</v>
      </c>
      <c r="Z5" s="146" t="str">
        <f>Z3</f>
        <v>0,6</v>
      </c>
      <c r="AA5" s="22">
        <f>Z5*Y5</f>
        <v>0</v>
      </c>
      <c r="AB5" s="157" t="e">
        <f>IF($M$2="SI",AA5*$C$22/0.5*$S$1,AA5*$C$22/0.5*$S$2)</f>
        <v>#DIV/0!</v>
      </c>
      <c r="AC5" s="43" t="e">
        <f>(1-AB5)</f>
        <v>#DIV/0!</v>
      </c>
      <c r="AD5" s="44" t="e">
        <f>AB5*PRODUCT(AC6:AC19)</f>
        <v>#DIV/0!</v>
      </c>
      <c r="AE5" s="44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AF5" s="20"/>
      <c r="BH5" t="n">
        <v>0</v>
      </c>
      <c r="BI5" t="n">
        <v>2</v>
      </c>
      <c r="BJ5" s="109" t="e">
        <f>$H$24*H40</f>
        <v>#DIV/0!</v>
      </c>
      <c r="BL5" t="n">
        <v>1</v>
      </c>
      <c r="BM5" t="n">
        <v>1</v>
      </c>
      <c r="BN5" s="109" t="e">
        <f>$H$25*H39</f>
        <v>#DIV/0!</v>
      </c>
      <c r="BP5">
        <f>BP4+1</f>
        <v>2</v>
      </c>
      <c r="BQ5" t="n">
        <v>0</v>
      </c>
      <c r="BR5" s="109" t="e">
        <f>$H$26*H38</f>
        <v>#DIV/0!</v>
      </c>
    </row>
    <row r="6" spans="1:70">
      <c r="A6" s="4" t="s">
        <v>38</v>
      </c>
      <c r="B6" s="5"/>
      <c r="C6" s="6"/>
      <c r="E6" s="52" t="s">
        <v>39</v>
      </c>
      <c r="F6" s="12"/>
      <c r="G6" s="12"/>
      <c r="H6" s="154"/>
      <c r="I6" s="12"/>
      <c r="J6" s="13"/>
      <c r="K6" s="13"/>
      <c r="L6" s="154"/>
      <c r="M6" s="12"/>
      <c r="O6" s="68">
        <f>COUNTIF(F14:F18,"IMP")*0.017</f>
        <v>0</v>
      </c>
      <c r="P6" s="18" t="str">
        <f>P3</f>
        <v>0,6</v>
      </c>
      <c r="Q6" s="19">
        <f>P6*O6</f>
        <v>0</v>
      </c>
      <c r="R6" s="157" t="e">
        <f>IF($M$2="SI",Q6*$B$22/0.5*$S$1,Q6*$B$22/0.5*$S$2)</f>
        <v>#DIV/0!</v>
      </c>
      <c r="S6" s="43" t="e">
        <f>(1-R6)</f>
        <v>#DIV/0!</v>
      </c>
      <c r="T6" s="44" t="e">
        <f>R6*S5*PRODUCT(S7:S19)</f>
        <v>#DIV/0!</v>
      </c>
      <c r="U6" s="44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V6" s="20"/>
      <c r="W6" s="50" t="s">
        <v>41</v>
      </c>
      <c r="X6" s="17" t="s">
        <v>42</v>
      </c>
      <c r="Y6" s="70">
        <f>COUNTIF(J14:J18,"IMP")*0.017</f>
        <v>0</v>
      </c>
      <c r="Z6" s="146" t="str">
        <f>Z3</f>
        <v>0,6</v>
      </c>
      <c r="AA6" s="22">
        <f>Z6*Y6</f>
        <v>0</v>
      </c>
      <c r="AB6" s="157" t="e">
        <f>IF($M$2="SI",AA6*$C$22/0.5*$S$1,AA6*$C$22/0.5*$S$2)</f>
        <v>#DIV/0!</v>
      </c>
      <c r="AC6" s="43" t="e">
        <f>(1-AB6)</f>
        <v>#DIV/0!</v>
      </c>
      <c r="AD6" s="44" t="e">
        <f>AB6*AC5*PRODUCT(AC7:AC19)</f>
        <v>#DIV/0!</v>
      </c>
      <c r="AE6" s="44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AF6" s="20"/>
      <c r="BH6" t="n">
        <v>0</v>
      </c>
      <c r="BI6" t="n">
        <v>3</v>
      </c>
      <c r="BJ6" s="109" t="e">
        <f>$H$24*H41</f>
        <v>#DIV/0!</v>
      </c>
      <c r="BL6">
        <f>BH14+1</f>
        <v>2</v>
      </c>
      <c r="BM6" t="n">
        <v>2</v>
      </c>
      <c r="BN6" s="109" t="e">
        <f>$H$26*H40</f>
        <v>#DIV/0!</v>
      </c>
      <c r="BP6">
        <f>BL5+1</f>
        <v>2</v>
      </c>
      <c r="BQ6" t="n">
        <v>1</v>
      </c>
      <c r="BR6" s="109" t="e">
        <f>$H$26*H39</f>
        <v>#DIV/0!</v>
      </c>
    </row>
    <row r="7" spans="1:70">
      <c r="A7" s="7" t="s">
        <v>43</v>
      </c>
      <c r="B7" s="5"/>
      <c r="C7" s="6"/>
      <c r="E7" s="52" t="s">
        <v>44</v>
      </c>
      <c r="F7" s="12"/>
      <c r="G7" s="12"/>
      <c r="H7" s="154"/>
      <c r="I7" s="12"/>
      <c r="J7" s="13"/>
      <c r="K7" s="13"/>
      <c r="L7" s="154"/>
      <c r="M7" s="12"/>
      <c r="O7" s="68" t="n">
        <v>0</v>
      </c>
      <c r="P7" s="144" t="n">
        <v>0.5</v>
      </c>
      <c r="Q7" s="19">
        <f>P7*O7</f>
        <v>0</v>
      </c>
      <c r="R7" s="157" t="e">
        <f>IF($M$2="SI",Q7*$B$22/0.5*$S$1,Q7*$B$22/0.5*$S$2)</f>
        <v>#DIV/0!</v>
      </c>
      <c r="S7" s="43" t="e">
        <f>(1-R7)</f>
        <v>#DIV/0!</v>
      </c>
      <c r="T7" s="44" t="e">
        <f>R7*PRODUCT(S5:S6)*PRODUCT(S8:S19)</f>
        <v>#DIV/0!</v>
      </c>
      <c r="U7" s="44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50" t="s">
        <v>157</v>
      </c>
      <c r="X7" s="17" t="s">
        <v>158</v>
      </c>
      <c r="Y7" s="70" t="n">
        <v>0</v>
      </c>
      <c r="Z7" s="146" t="n">
        <v>0.5</v>
      </c>
      <c r="AA7" s="22">
        <f>Z7*Y7</f>
        <v>0</v>
      </c>
      <c r="AB7" s="157" t="e">
        <f>IF($M$2="SI",AA7*$C$22/0.5*$S$1,AA7*$C$22/0.5*$S$2)</f>
        <v>#DIV/0!</v>
      </c>
      <c r="AC7" s="43" t="e">
        <f>(1-AB7)</f>
        <v>#DIV/0!</v>
      </c>
      <c r="AD7" s="44" t="e">
        <f>AB7*PRODUCT(AC5:AC6)*PRODUCT(AC8:AC19)</f>
        <v>#DIV/0!</v>
      </c>
      <c r="AE7" s="44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BH7" t="n">
        <v>0</v>
      </c>
      <c r="BI7" t="n">
        <v>4</v>
      </c>
      <c r="BJ7" s="109" t="e">
        <f>$H$24*H42</f>
        <v>#DIV/0!</v>
      </c>
      <c r="BL7">
        <f>BH23+1</f>
        <v>3</v>
      </c>
      <c r="BM7" t="n">
        <v>3</v>
      </c>
      <c r="BN7" s="109" t="e">
        <f>$H$27*H41</f>
        <v>#DIV/0!</v>
      </c>
      <c r="BP7">
        <f>BP5+1</f>
        <v>3</v>
      </c>
      <c r="BQ7" t="n">
        <v>0</v>
      </c>
      <c r="BR7" s="109" t="e">
        <f>$H$27*H38</f>
        <v>#DIV/0!</v>
      </c>
    </row>
    <row r="8" spans="1:70">
      <c r="A8" s="7" t="s">
        <v>47</v>
      </c>
      <c r="B8" s="5"/>
      <c r="C8" s="6"/>
      <c r="E8" s="52" t="s">
        <v>44</v>
      </c>
      <c r="F8" s="12"/>
      <c r="G8" s="12"/>
      <c r="H8" s="154"/>
      <c r="I8" s="12"/>
      <c r="J8" s="13"/>
      <c r="K8" s="13"/>
      <c r="L8" s="154"/>
      <c r="M8" s="12"/>
      <c r="O8" s="68">
        <f>COUNTIF(F6:F18,"IMP")*0.01</f>
        <v>0</v>
      </c>
      <c r="P8" s="18" t="str">
        <f>P3</f>
        <v>0,6</v>
      </c>
      <c r="Q8" s="19">
        <f>P8*O8</f>
        <v>0</v>
      </c>
      <c r="R8" s="157" t="e">
        <f>IF($M$2="SI",Q8*$B$22/0.5*$S$1,Q8*$B$22/0.5*$S$2)</f>
        <v>#DIV/0!</v>
      </c>
      <c r="S8" s="43" t="e">
        <f>(1-R8)</f>
        <v>#DIV/0!</v>
      </c>
      <c r="T8" s="44" t="e">
        <f>R8*PRODUCT(S5:S7)*PRODUCT(S9:S19)</f>
        <v>#DIV/0!</v>
      </c>
      <c r="U8" s="44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50" t="s">
        <v>48</v>
      </c>
      <c r="X8" s="17" t="s">
        <v>49</v>
      </c>
      <c r="Y8" s="70">
        <f>COUNTIF(J6:J18,"IMP")*0.01</f>
        <v>0</v>
      </c>
      <c r="Z8" s="146" t="str">
        <f>Z3</f>
        <v>0,6</v>
      </c>
      <c r="AA8" s="22">
        <f>Z8*Y8</f>
        <v>0</v>
      </c>
      <c r="AB8" s="157" t="e">
        <f>IF($M$2="SI",AA8*$C$22/0.5*$S$1,AA8*$C$22/0.5*$S$2)</f>
        <v>#DIV/0!</v>
      </c>
      <c r="AC8" s="43" t="e">
        <f>(1-AB8)</f>
        <v>#DIV/0!</v>
      </c>
      <c r="AD8" s="44" t="e">
        <f>AB8*PRODUCT(AC5:AC7)*PRODUCT(AC9:AC19)</f>
        <v>#DIV/0!</v>
      </c>
      <c r="AE8" s="44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BH8" t="n">
        <v>0</v>
      </c>
      <c r="BI8" t="n">
        <v>5</v>
      </c>
      <c r="BJ8" s="109" t="e">
        <f>$H$24*H43</f>
        <v>#DIV/0!</v>
      </c>
      <c r="BL8">
        <f>BH31+1</f>
        <v>4</v>
      </c>
      <c r="BM8" t="n">
        <v>4</v>
      </c>
      <c r="BN8" s="109" t="e">
        <f>$H$28*H42</f>
        <v>#DIV/0!</v>
      </c>
      <c r="BP8">
        <f>BP6+1</f>
        <v>3</v>
      </c>
      <c r="BQ8" t="n">
        <v>1</v>
      </c>
      <c r="BR8" s="109" t="e">
        <f>$H$27*H39</f>
        <v>#DIV/0!</v>
      </c>
    </row>
    <row r="9" spans="1:70">
      <c r="A9" s="7" t="s">
        <v>50</v>
      </c>
      <c r="B9" s="5"/>
      <c r="C9" s="6"/>
      <c r="E9" s="52" t="s">
        <v>44</v>
      </c>
      <c r="F9" s="12"/>
      <c r="G9" s="12"/>
      <c r="H9" s="154"/>
      <c r="I9" s="12"/>
      <c r="J9" s="13"/>
      <c r="K9" s="13"/>
      <c r="L9" s="154"/>
      <c r="M9" s="12"/>
      <c r="O9" s="68">
        <f>COUNTIF(J6:J13,"IMP")*0.025</f>
        <v>0</v>
      </c>
      <c r="P9" s="144" t="n">
        <v>0.5</v>
      </c>
      <c r="Q9" s="19">
        <f>P9*O9</f>
        <v>0</v>
      </c>
      <c r="R9" s="157" t="e">
        <f>IF($M$2="SI",Q9*$B$22/0.5*$S$1,Q9*$B$22/0.5*$S$2)</f>
        <v>#DIV/0!</v>
      </c>
      <c r="S9" s="43" t="e">
        <f>(1-R9)</f>
        <v>#DIV/0!</v>
      </c>
      <c r="T9" s="44" t="e">
        <f>R9*PRODUCT(S5:S8)*PRODUCT(S10:S19)</f>
        <v>#DIV/0!</v>
      </c>
      <c r="U9" s="44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51" t="s">
        <v>51</v>
      </c>
      <c r="X9" s="17" t="s">
        <v>52</v>
      </c>
      <c r="Y9" s="70">
        <f>COUNTIF(F6:F13,"IMP")*0.025</f>
        <v>0</v>
      </c>
      <c r="Z9" s="146" t="n">
        <v>0.5</v>
      </c>
      <c r="AA9" s="22">
        <f>Z9*Y9</f>
        <v>0</v>
      </c>
      <c r="AB9" s="157" t="e">
        <f>IF($M$2="SI",AA9*$C$22/0.5*$S$1,AA9*$C$22/0.5*$S$2)</f>
        <v>#DIV/0!</v>
      </c>
      <c r="AC9" s="43" t="e">
        <f>(1-AB9)</f>
        <v>#DIV/0!</v>
      </c>
      <c r="AD9" s="44" t="e">
        <f>AB9*PRODUCT(AC5:AC8)*PRODUCT(AC10:AC19)</f>
        <v>#DIV/0!</v>
      </c>
      <c r="AE9" s="44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BH9" t="n">
        <v>0</v>
      </c>
      <c r="BI9" t="n">
        <v>6</v>
      </c>
      <c r="BJ9" s="109" t="e">
        <f>$H$24*H44</f>
        <v>#DIV/0!</v>
      </c>
      <c r="BL9">
        <f>BH38+1</f>
        <v>5</v>
      </c>
      <c r="BM9" t="n">
        <v>5</v>
      </c>
      <c r="BN9" s="109" t="e">
        <f>$H$29*H43</f>
        <v>#DIV/0!</v>
      </c>
      <c r="BP9">
        <f>BL6+1</f>
        <v>3</v>
      </c>
      <c r="BQ9" t="n">
        <v>2</v>
      </c>
      <c r="BR9" s="109" t="e">
        <f>$H$27*H40</f>
        <v>#DIV/0!</v>
      </c>
    </row>
    <row r="10" spans="1:70">
      <c r="A10" s="8" t="s">
        <v>53</v>
      </c>
      <c r="B10" s="5"/>
      <c r="C10" s="6"/>
      <c r="E10" s="52" t="s">
        <v>39</v>
      </c>
      <c r="F10" s="12"/>
      <c r="G10" s="12"/>
      <c r="H10" s="154"/>
      <c r="I10" s="12"/>
      <c r="J10" s="13"/>
      <c r="K10" s="13"/>
      <c r="L10" s="154"/>
      <c r="M10" s="12"/>
      <c r="O10" s="68">
        <f>COUNTIF(F14:F18,"RAP")*0.0785</f>
        <v>0</v>
      </c>
      <c r="P10" s="18" t="str">
        <f>R3</f>
        <v>0,72</v>
      </c>
      <c r="Q10" s="19">
        <f>P10*O10</f>
        <v>0</v>
      </c>
      <c r="R10" s="157" t="e">
        <f>IF($M$2="SI",Q10*$B$22/0.5*$S$1,Q10*$B$22/0.5*$S$2)</f>
        <v>#DIV/0!</v>
      </c>
      <c r="S10" s="43" t="e">
        <f>(1-R10)</f>
        <v>#DIV/0!</v>
      </c>
      <c r="T10" s="44" t="e">
        <f>R10*PRODUCT(S5:S9)*PRODUCT(S11:S19)</f>
        <v>#DIV/0!</v>
      </c>
      <c r="U10" s="44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50" t="s">
        <v>54</v>
      </c>
      <c r="X10" s="17" t="s">
        <v>55</v>
      </c>
      <c r="Y10" s="70">
        <f>COUNTIF(J14:J18,"RAP")*0.0785</f>
        <v>0</v>
      </c>
      <c r="Z10" s="146" t="str">
        <f>AB3</f>
        <v>0,72</v>
      </c>
      <c r="AA10" s="22">
        <f>Z10*Y10</f>
        <v>0</v>
      </c>
      <c r="AB10" s="157" t="e">
        <f>IF($M$2="SI",AA10*$C$22/0.5*$S$1,AA10*$C$22/0.5*$S$2)</f>
        <v>#DIV/0!</v>
      </c>
      <c r="AC10" s="43" t="e">
        <f>(1-AB10)</f>
        <v>#DIV/0!</v>
      </c>
      <c r="AD10" s="44" t="e">
        <f>AB10*PRODUCT(AC5:AC9)*PRODUCT(AC11:AC19)</f>
        <v>#DIV/0!</v>
      </c>
      <c r="AE10" s="44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BH10" t="n">
        <v>0</v>
      </c>
      <c r="BI10" t="n">
        <v>7</v>
      </c>
      <c r="BJ10" s="109" t="e">
        <f>$H$24*H45</f>
        <v>#DIV/0!</v>
      </c>
      <c r="BL10">
        <f>BH44+1</f>
        <v>6</v>
      </c>
      <c r="BM10" t="n">
        <v>6</v>
      </c>
      <c r="BN10" s="109" t="e">
        <f>$H$30*H44</f>
        <v>#DIV/0!</v>
      </c>
      <c r="BP10">
        <f>BP7+1</f>
        <v>4</v>
      </c>
      <c r="BQ10" t="n">
        <v>0</v>
      </c>
      <c r="BR10" s="109" t="e">
        <f>$H$28*H38</f>
        <v>#DIV/0!</v>
      </c>
    </row>
    <row r="11" spans="1:70">
      <c r="A11" s="8" t="s">
        <v>56</v>
      </c>
      <c r="B11" s="5"/>
      <c r="C11" s="6"/>
      <c r="E11" s="52" t="s">
        <v>57</v>
      </c>
      <c r="F11" s="12"/>
      <c r="G11" s="12"/>
      <c r="H11" s="154"/>
      <c r="I11" s="12"/>
      <c r="J11" s="13"/>
      <c r="K11" s="13"/>
      <c r="L11" s="154"/>
      <c r="M11" s="12"/>
      <c r="O11" s="68">
        <f>IF(COUNTA(F16:F18)=0,0,COUNTIF(F14:F15,"RAP")*0.035)+IF(COUNTA(F17:F18)=0,0,COUNTIF(F16,"RAP")*0.035)+IF(COUNTA(F16:F17)=0,0,COUNTIF(F18,"RAP")*0.035)+IF(COUNTA(F16,F18)=0,0,COUNTIF(F17,"RAP")*0.035)</f>
        <v>0</v>
      </c>
      <c r="P11" s="18" t="str">
        <f>R3</f>
        <v>0,72</v>
      </c>
      <c r="Q11" s="19">
        <f>P11*O11</f>
        <v>0</v>
      </c>
      <c r="R11" s="157" t="e">
        <f>IF($M$2="SI",Q11*$B$22/0.5*$S$1,Q11*$B$22/0.5*$S$2)</f>
        <v>#DIV/0!</v>
      </c>
      <c r="S11" s="43" t="e">
        <f>(1-R11)</f>
        <v>#DIV/0!</v>
      </c>
      <c r="T11" s="44" t="e">
        <f>R11*PRODUCT(S5:S10)*PRODUCT(S12:S19)</f>
        <v>#DIV/0!</v>
      </c>
      <c r="U11" s="44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50" t="s">
        <v>58</v>
      </c>
      <c r="X11" s="17" t="s">
        <v>59</v>
      </c>
      <c r="Y11" s="70">
        <f>IF(COUNTA(J16:J18)=0,0,COUNTIF(J14:J15,"RAP")*0.035)+IF(COUNTA(J17:J18)=0,0,COUNTIF(J16,"RAP")*0.035)+IF(COUNTA(J16:J17)=0,0,COUNTIF(J18,"RAP")*0.035)+IF(COUNTA(J16,J18)=0,0,COUNTIF(J17,"RAP")*0.035)</f>
        <v>0</v>
      </c>
      <c r="Z11" s="146" t="str">
        <f>AB3</f>
        <v>0,72</v>
      </c>
      <c r="AA11" s="22">
        <f>Z11*Y11</f>
        <v>0</v>
      </c>
      <c r="AB11" s="157" t="e">
        <f>IF($M$2="SI",AA11*$C$22/0.5*$S$1,AA11*$C$22/0.5*$S$2)</f>
        <v>#DIV/0!</v>
      </c>
      <c r="AC11" s="43" t="e">
        <f>(1-AB11)</f>
        <v>#DIV/0!</v>
      </c>
      <c r="AD11" s="44" t="e">
        <f>AB11*PRODUCT(AC5:AC10)*PRODUCT(AC12:AC19)</f>
        <v>#DIV/0!</v>
      </c>
      <c r="AE11" s="44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BH11" t="n">
        <v>0</v>
      </c>
      <c r="BI11" t="n">
        <v>8</v>
      </c>
      <c r="BJ11" s="109" t="e">
        <f>$H$24*H46</f>
        <v>#DIV/0!</v>
      </c>
      <c r="BL11">
        <f>BH50+1</f>
        <v>7</v>
      </c>
      <c r="BM11" t="n">
        <v>7</v>
      </c>
      <c r="BN11" s="109" t="e">
        <f>$H$31*H45</f>
        <v>#DIV/0!</v>
      </c>
      <c r="BP11">
        <f>BP8+1</f>
        <v>4</v>
      </c>
      <c r="BQ11" t="n">
        <v>1</v>
      </c>
      <c r="BR11" s="109" t="e">
        <f>$H$28*H39</f>
        <v>#DIV/0!</v>
      </c>
    </row>
    <row r="12" spans="1:70">
      <c r="A12" s="8" t="s">
        <v>60</v>
      </c>
      <c r="B12" s="5"/>
      <c r="C12" s="6"/>
      <c r="E12" s="52" t="s">
        <v>57</v>
      </c>
      <c r="F12" s="12"/>
      <c r="G12" s="12"/>
      <c r="H12" s="154"/>
      <c r="I12" s="12"/>
      <c r="J12" s="13"/>
      <c r="K12" s="13"/>
      <c r="L12" s="154"/>
      <c r="M12" s="12"/>
      <c r="O12" s="69"/>
      <c r="P12" s="144" t="n">
        <v>0.5</v>
      </c>
      <c r="Q12" s="19">
        <f>P12*O12</f>
        <v>0</v>
      </c>
      <c r="R12" s="157" t="e">
        <f>IF($M$2="SI",Q12*$B$22/0.5*$S$1,Q12*$B$22/0.5*$S$2)</f>
        <v>#DIV/0!</v>
      </c>
      <c r="S12" s="43" t="e">
        <f>(1-R12)</f>
        <v>#DIV/0!</v>
      </c>
      <c r="T12" s="44" t="e">
        <f>R12*PRODUCT(S5:S11)*PRODUCT(S13:S19)</f>
        <v>#DIV/0!</v>
      </c>
      <c r="U12" s="44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51" t="s">
        <v>61</v>
      </c>
      <c r="X12" s="17" t="s">
        <v>62</v>
      </c>
      <c r="Y12" s="71"/>
      <c r="Z12" s="146" t="n">
        <v>0.5</v>
      </c>
      <c r="AA12" s="22">
        <f>Z12*Y12</f>
        <v>0</v>
      </c>
      <c r="AB12" s="157" t="e">
        <f>IF($M$2="SI",AA12*$C$22/0.5*$S$1,AA12*$C$22/0.5*$S$2)</f>
        <v>#DIV/0!</v>
      </c>
      <c r="AC12" s="43" t="e">
        <f>(1-AB12)</f>
        <v>#DIV/0!</v>
      </c>
      <c r="AD12" s="44" t="e">
        <f>AB12*PRODUCT(AC5:AC11)*PRODUCT(AC13:AC19)</f>
        <v>#DIV/0!</v>
      </c>
      <c r="AE12" s="44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BH12" t="n">
        <v>0</v>
      </c>
      <c r="BI12" t="n">
        <v>9</v>
      </c>
      <c r="BJ12" s="109" t="e">
        <f>$H$24*H47</f>
        <v>#DIV/0!</v>
      </c>
      <c r="BL12">
        <f>BH54+1</f>
        <v>8</v>
      </c>
      <c r="BM12" t="n">
        <v>8</v>
      </c>
      <c r="BN12" s="109" t="e">
        <f>$H$32*H46</f>
        <v>#DIV/0!</v>
      </c>
      <c r="BP12">
        <f>BP9+1</f>
        <v>4</v>
      </c>
      <c r="BQ12" t="n">
        <v>2</v>
      </c>
      <c r="BR12" s="109" t="e">
        <f>$H$28*H40</f>
        <v>#DIV/0!</v>
      </c>
    </row>
    <row r="13" spans="1:70">
      <c r="A13" s="9" t="s">
        <v>63</v>
      </c>
      <c r="B13" s="5" t="n">
        <v>8.25</v>
      </c>
      <c r="C13" s="6" t="n">
        <v>11</v>
      </c>
      <c r="E13" s="52" t="s">
        <v>57</v>
      </c>
      <c r="F13" s="12"/>
      <c r="G13" s="12"/>
      <c r="H13" s="154"/>
      <c r="I13" s="12"/>
      <c r="J13" s="13"/>
      <c r="K13" s="13"/>
      <c r="L13" s="154"/>
      <c r="M13" s="12"/>
      <c r="O13" s="68" t="n">
        <v>0.0975</v>
      </c>
      <c r="P13" s="18" t="str">
        <f>P3</f>
        <v>0,6</v>
      </c>
      <c r="Q13" s="19">
        <f>P13*O13</f>
        <v>0.0585000000000000053</v>
      </c>
      <c r="R13" s="157" t="e">
        <f>IF($M$2="SI",Q13*$B$22/0.5*$S$1,Q13*$B$22/0.5*$S$2)</f>
        <v>#DIV/0!</v>
      </c>
      <c r="S13" s="43" t="e">
        <f>(1-R13)</f>
        <v>#DIV/0!</v>
      </c>
      <c r="T13" s="44" t="e">
        <f>R13*PRODUCT(S5:S12)*PRODUCT(S14:S19)</f>
        <v>#DIV/0!</v>
      </c>
      <c r="U13" s="44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50" t="s">
        <v>64</v>
      </c>
      <c r="X13" s="17" t="s">
        <v>65</v>
      </c>
      <c r="Y13" s="70" t="n">
        <v>0.0975</v>
      </c>
      <c r="Z13" s="146" t="str">
        <f>Z3</f>
        <v>0,6</v>
      </c>
      <c r="AA13" s="22">
        <f>Z13*Y13</f>
        <v>0.0585000000000000053</v>
      </c>
      <c r="AB13" s="157" t="e">
        <f>IF($M$2="SI",AA13*$C$22/0.5*$S$1,AA13*$C$22/0.5*$S$2)</f>
        <v>#DIV/0!</v>
      </c>
      <c r="AC13" s="43" t="e">
        <f>(1-AB13)</f>
        <v>#DIV/0!</v>
      </c>
      <c r="AD13" s="44" t="e">
        <f>AB13*PRODUCT(AC5:AC12)*PRODUCT(AC14:AC19)</f>
        <v>#DIV/0!</v>
      </c>
      <c r="AE13" s="44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BH13" t="n">
        <v>0</v>
      </c>
      <c r="BI13" t="n">
        <v>10</v>
      </c>
      <c r="BJ13" s="109" t="e">
        <f>$H$24*H48</f>
        <v>#DIV/0!</v>
      </c>
      <c r="BL13">
        <f>BH57+1</f>
        <v>9</v>
      </c>
      <c r="BM13" t="n">
        <v>9</v>
      </c>
      <c r="BN13" s="109" t="e">
        <f>$H$33*H47</f>
        <v>#DIV/0!</v>
      </c>
      <c r="BP13">
        <f>BL7+1</f>
        <v>4</v>
      </c>
      <c r="BQ13" t="n">
        <v>3</v>
      </c>
      <c r="BR13" s="109" t="e">
        <f>$H$28*H41</f>
        <v>#DIV/0!</v>
      </c>
    </row>
    <row r="14" spans="1:70">
      <c r="A14" s="9" t="s">
        <v>66</v>
      </c>
      <c r="B14" s="5" t="n">
        <v>7.75</v>
      </c>
      <c r="C14" s="6" t="n">
        <v>10</v>
      </c>
      <c r="E14" s="52" t="s">
        <v>67</v>
      </c>
      <c r="F14" s="12"/>
      <c r="G14" s="12"/>
      <c r="H14" s="12"/>
      <c r="I14" s="12"/>
      <c r="J14" s="13"/>
      <c r="K14" s="13"/>
      <c r="L14" s="12"/>
      <c r="M14" s="12"/>
      <c r="O14" s="68">
        <f>COUNTIF(F6:F18,"CAB")*0.071</f>
        <v>0</v>
      </c>
      <c r="P14" s="145" t="n">
        <v>0.95</v>
      </c>
      <c r="Q14" s="19">
        <f>P14*O14</f>
        <v>0</v>
      </c>
      <c r="R14" s="157" t="e">
        <f>IF($M$2="SI",Q14*$B$22/0.5*$S$1,Q14*$B$22/0.5*$S$2)</f>
        <v>#DIV/0!</v>
      </c>
      <c r="S14" s="43" t="e">
        <f>(1-R14)</f>
        <v>#DIV/0!</v>
      </c>
      <c r="T14" s="44" t="e">
        <f>R14*PRODUCT(S5:S13)*PRODUCT(S15:S19)</f>
        <v>#DIV/0!</v>
      </c>
      <c r="U14" s="44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50" t="s">
        <v>68</v>
      </c>
      <c r="X14" s="17" t="s">
        <v>69</v>
      </c>
      <c r="Y14" s="70">
        <f>COUNTIF(J6:J18,"CAB")*0.071</f>
        <v>0</v>
      </c>
      <c r="Z14" s="147" t="n">
        <v>0.95</v>
      </c>
      <c r="AA14" s="22">
        <f>Z14*Y14</f>
        <v>0</v>
      </c>
      <c r="AB14" s="157" t="e">
        <f>IF($M$2="SI",AA14*$C$22/0.5*$S$1,AA14*$C$22/0.5*$S$2)</f>
        <v>#DIV/0!</v>
      </c>
      <c r="AC14" s="43" t="e">
        <f>(1-AB14)</f>
        <v>#DIV/0!</v>
      </c>
      <c r="AD14" s="44" t="e">
        <f>AB14*PRODUCT(AC5:AC13)*PRODUCT(AC15:AC19)</f>
        <v>#DIV/0!</v>
      </c>
      <c r="AE14" s="44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BH14" t="n">
        <v>1</v>
      </c>
      <c r="BI14" t="n">
        <v>2</v>
      </c>
      <c r="BJ14" s="109" t="e">
        <f>$H$25*H40</f>
        <v>#DIV/0!</v>
      </c>
      <c r="BL14">
        <f>BP39+1</f>
        <v>10</v>
      </c>
      <c r="BM14" t="n">
        <v>10</v>
      </c>
      <c r="BN14" s="109" t="e">
        <f>$H$34*H48</f>
        <v>#DIV/0!</v>
      </c>
      <c r="BP14">
        <f>BP10+1</f>
        <v>5</v>
      </c>
      <c r="BQ14" t="n">
        <v>0</v>
      </c>
      <c r="BR14" s="109" t="e">
        <f>$H$29*H38</f>
        <v>#DIV/0!</v>
      </c>
    </row>
    <row r="15" spans="1:70">
      <c r="A15" s="53" t="s">
        <v>70</v>
      </c>
      <c r="B15" s="54"/>
      <c r="C15" s="56"/>
      <c r="E15" s="52" t="s">
        <v>67</v>
      </c>
      <c r="F15" s="12"/>
      <c r="G15" s="12"/>
      <c r="H15" s="12"/>
      <c r="I15" s="12"/>
      <c r="J15" s="13"/>
      <c r="K15" s="13"/>
      <c r="L15" s="12"/>
      <c r="M15" s="12"/>
      <c r="O15" s="69"/>
      <c r="P15" s="144" t="n">
        <v>0.5</v>
      </c>
      <c r="Q15" s="19">
        <f>P15*O15</f>
        <v>0</v>
      </c>
      <c r="R15" s="157" t="e">
        <f>IF($M$2="SI",Q15*$B$22/0.5*$S$1,Q15*$B$22/0.5*$S$2)</f>
        <v>#DIV/0!</v>
      </c>
      <c r="S15" s="43" t="e">
        <f>(1-R15)</f>
        <v>#DIV/0!</v>
      </c>
      <c r="T15" s="44" t="e">
        <f>R15*PRODUCT(S5:S14)*PRODUCT(S16:S19)</f>
        <v>#DIV/0!</v>
      </c>
      <c r="U15" s="44" t="e">
        <f>R15*R16*PRODUCT(S5:S14)*PRODUCT(S17:S19)+R15*R17*PRODUCT(S5:S14)*S16*PRODUCT(S18:S19)+R15*R18*PRODUCT(S5:S14)*S16*S17*S19+R15*R19*PRODUCT(S5:S14)*S16*S17*S18</f>
        <v>#DIV/0!</v>
      </c>
      <c r="W15" s="50" t="s">
        <v>71</v>
      </c>
      <c r="X15" s="17" t="s">
        <v>72</v>
      </c>
      <c r="Y15" s="71"/>
      <c r="Z15" s="146" t="n">
        <v>0.5</v>
      </c>
      <c r="AA15" s="22">
        <f>Z15*Y15</f>
        <v>0</v>
      </c>
      <c r="AB15" s="157" t="e">
        <f>IF($M$2="SI",AA15*$C$22/0.5*$S$1,AA15*$C$22/0.5*$S$2)</f>
        <v>#DIV/0!</v>
      </c>
      <c r="AC15" s="43" t="e">
        <f>(1-AB15)</f>
        <v>#DIV/0!</v>
      </c>
      <c r="AD15" s="44" t="e">
        <f>AB15*PRODUCT(AC5:AC14)*PRODUCT(AC16:AC19)</f>
        <v>#DIV/0!</v>
      </c>
      <c r="AE15" s="44" t="e">
        <f>AB15*AB16*PRODUCT(AC5:AC14)*PRODUCT(AC17:AC19)+AB15*AB17*PRODUCT(AC5:AC14)*AC16*PRODUCT(AC18:AC19)+AB15*AB18*PRODUCT(AC5:AC14)*AC16*AC17*AC19+AB15*AB19*PRODUCT(AC5:AC14)*AC16*AC17*AC18</f>
        <v>#DIV/0!</v>
      </c>
      <c r="BH15" t="n">
        <v>1</v>
      </c>
      <c r="BI15" t="n">
        <v>3</v>
      </c>
      <c r="BJ15" s="109" t="e">
        <f>$H$25*H41</f>
        <v>#DIV/0!</v>
      </c>
      <c r="BP15">
        <f>BP11+1</f>
        <v>5</v>
      </c>
      <c r="BQ15" t="n">
        <v>1</v>
      </c>
      <c r="BR15" s="109" t="e">
        <f>$H$29*H39</f>
        <v>#DIV/0!</v>
      </c>
    </row>
    <row r="16" spans="1:70">
      <c r="A16" s="53" t="s">
        <v>73</v>
      </c>
      <c r="B16" s="54">
        <f>AVERAGE(G5:G18)</f>
        <v>12</v>
      </c>
      <c r="C16" s="56">
        <f>AVERAGE(K5:K18)</f>
        <v>12</v>
      </c>
      <c r="E16" s="52" t="s">
        <v>74</v>
      </c>
      <c r="F16" s="12"/>
      <c r="G16" s="12"/>
      <c r="H16" s="12"/>
      <c r="I16" s="12"/>
      <c r="J16" s="13"/>
      <c r="K16" s="13"/>
      <c r="L16" s="12"/>
      <c r="M16" s="12"/>
      <c r="O16" s="68">
        <f>COUNTA(L6:L13)*0.03</f>
        <v>0</v>
      </c>
      <c r="P16" s="144" t="n">
        <v>0.25</v>
      </c>
      <c r="Q16" s="19">
        <f>P16*O16</f>
        <v>0</v>
      </c>
      <c r="R16" s="157" t="e">
        <f>IF($M$2="SI",Q16*$B$22/0.5*$S$1,Q16*$B$22/0.5*$S$2)</f>
        <v>#DIV/0!</v>
      </c>
      <c r="S16" s="43" t="e">
        <f>(1-R16)</f>
        <v>#DIV/0!</v>
      </c>
      <c r="T16" s="44" t="e">
        <f>R16*PRODUCT(S5:S15)*PRODUCT(S17:S19)</f>
        <v>#DIV/0!</v>
      </c>
      <c r="U16" s="44" t="e">
        <f>R16*R17*PRODUCT(S5:S15)*PRODUCT(S18:S19)+R16*R18*PRODUCT(S5:S15)*S17*S19+R16*R19*PRODUCT(S5:S15)*S17*S18</f>
        <v>#DIV/0!</v>
      </c>
      <c r="W16" s="51" t="s">
        <v>75</v>
      </c>
      <c r="X16" s="17" t="s">
        <v>76</v>
      </c>
      <c r="Y16" s="70">
        <f>COUNTA(H6:H13)*0.03</f>
        <v>0</v>
      </c>
      <c r="Z16" s="146" t="n">
        <v>0.25</v>
      </c>
      <c r="AA16" s="22">
        <f>Z16*Y16</f>
        <v>0</v>
      </c>
      <c r="AB16" s="157" t="e">
        <f>IF($M$2="SI",AA16*$C$22/0.5*$S$1,AA16*$C$22/0.5*$S$2)</f>
        <v>#DIV/0!</v>
      </c>
      <c r="AC16" s="43" t="e">
        <f>(1-AB16)</f>
        <v>#DIV/0!</v>
      </c>
      <c r="AD16" s="44" t="e">
        <f>AB16*PRODUCT(AC5:AC15)*PRODUCT(AC17:AC19)</f>
        <v>#DIV/0!</v>
      </c>
      <c r="AE16" s="44" t="e">
        <f>AB16*AB17*PRODUCT(AC5:AC15)*PRODUCT(AC18:AC19)+AB16*AB18*PRODUCT(AC5:AC15)*AC17*AC19+AB16*AB19*PRODUCT(AC5:AC15)*AC17*AC18</f>
        <v>#DIV/0!</v>
      </c>
      <c r="BH16" t="n">
        <v>1</v>
      </c>
      <c r="BI16" t="n">
        <v>4</v>
      </c>
      <c r="BJ16" s="109" t="e">
        <f>$H$25*H42</f>
        <v>#DIV/0!</v>
      </c>
      <c r="BP16">
        <f>BP12+1</f>
        <v>5</v>
      </c>
      <c r="BQ16" t="n">
        <v>2</v>
      </c>
      <c r="BR16" s="109" t="e">
        <f>$H$29*H40</f>
        <v>#DIV/0!</v>
      </c>
    </row>
    <row r="17" spans="1:70">
      <c r="A17" s="27" t="s">
        <v>77</v>
      </c>
      <c r="B17" s="55" t="s">
        <v>78</v>
      </c>
      <c r="C17" s="57" t="s">
        <v>78</v>
      </c>
      <c r="E17" s="52" t="s">
        <v>74</v>
      </c>
      <c r="F17" s="12"/>
      <c r="G17" s="12"/>
      <c r="H17" s="12"/>
      <c r="I17" s="12"/>
      <c r="J17" s="13"/>
      <c r="K17" s="13"/>
      <c r="L17" s="12"/>
      <c r="M17" s="12"/>
      <c r="O17" s="68">
        <f>(0.02*2)*IF(COUNTBLANK(F14:F15)&lt;&gt;0,(2-COUNTBLANK(F14:F15))/2,1)</f>
        <v>0</v>
      </c>
      <c r="P17" s="18" t="str">
        <f>P3</f>
        <v>0,6</v>
      </c>
      <c r="Q17" s="19">
        <f>P17*O17</f>
        <v>0</v>
      </c>
      <c r="R17" s="157" t="e">
        <f>IF($M$2="SI",Q17*$B$22/0.5*$S$1,Q17*$B$22/0.5*$S$2)</f>
        <v>#DIV/0!</v>
      </c>
      <c r="S17" s="43" t="e">
        <f>(1-R17)</f>
        <v>#DIV/0!</v>
      </c>
      <c r="T17" s="44" t="e">
        <f>R17*PRODUCT(S5:S16)*PRODUCT(S18:S19)</f>
        <v>#DIV/0!</v>
      </c>
      <c r="U17" s="44" t="e">
        <f>R17*R18*PRODUCT(S5:S16)*S19+R17*R19*PRODUCT(S5:S16)*S18</f>
        <v>#DIV/0!</v>
      </c>
      <c r="W17" s="50" t="s">
        <v>79</v>
      </c>
      <c r="X17" s="17" t="s">
        <v>80</v>
      </c>
      <c r="Y17" s="70">
        <f>(0.02*2)*IF(COUNTBLANK(J14:J15)&lt;&gt;0,(2-COUNTBLANK(J14:J15))/2,1)</f>
        <v>0</v>
      </c>
      <c r="Z17" s="146" t="str">
        <f>Z3</f>
        <v>0,6</v>
      </c>
      <c r="AA17" s="22">
        <f>Z17*Y17</f>
        <v>0</v>
      </c>
      <c r="AB17" s="157" t="e">
        <f>IF($M$2="SI",AA17*$C$22/0.5*$S$1,AA17*$C$22/0.5*$S$2)</f>
        <v>#DIV/0!</v>
      </c>
      <c r="AC17" s="43" t="e">
        <f>(1-AB17)</f>
        <v>#DIV/0!</v>
      </c>
      <c r="AD17" s="44" t="e">
        <f>AB17*PRODUCT(AC5:AC16)*PRODUCT(AC18:AC19)</f>
        <v>#DIV/0!</v>
      </c>
      <c r="AE17" s="44" t="e">
        <f>AB17*AB18*PRODUCT(AC5:AC16)*AC19+AB17*AB19*PRODUCT(AC5:AC16)*AC18</f>
        <v>#DIV/0!</v>
      </c>
      <c r="BH17" t="n">
        <v>1</v>
      </c>
      <c r="BI17" t="n">
        <v>5</v>
      </c>
      <c r="BJ17" s="109" t="e">
        <f>$H$25*H43</f>
        <v>#DIV/0!</v>
      </c>
      <c r="BP17">
        <f>BP13+1</f>
        <v>5</v>
      </c>
      <c r="BQ17" t="n">
        <v>3</v>
      </c>
      <c r="BR17" s="109" t="e">
        <f>$H$29*H41</f>
        <v>#DIV/0!</v>
      </c>
    </row>
    <row r="18" spans="1:70">
      <c r="A18" s="27" t="s">
        <v>81</v>
      </c>
      <c r="B18" s="55" t="n">
        <v>20</v>
      </c>
      <c r="C18" s="57" t="n">
        <v>20</v>
      </c>
      <c r="E18" s="52" t="s">
        <v>74</v>
      </c>
      <c r="F18" s="12"/>
      <c r="G18" s="12"/>
      <c r="H18" s="12"/>
      <c r="I18" s="12"/>
      <c r="J18" s="13"/>
      <c r="K18" s="13"/>
      <c r="L18" s="12"/>
      <c r="M18" s="12"/>
      <c r="O18" s="68" t="n">
        <v>0</v>
      </c>
      <c r="P18" s="144" t="n">
        <v>0.5</v>
      </c>
      <c r="Q18" s="19">
        <f>P18*O18</f>
        <v>0</v>
      </c>
      <c r="R18" s="157" t="e">
        <f>IF($M$2="SI",Q18*$B$22/0.5*$S$1,Q18*$B$22/0.5*$S$2)</f>
        <v>#DIV/0!</v>
      </c>
      <c r="S18" s="43" t="e">
        <f>(1-R18)</f>
        <v>#DIV/0!</v>
      </c>
      <c r="T18" s="44" t="e">
        <f>R18*PRODUCT(S5:S17)*PRODUCT(S19)</f>
        <v>#DIV/0!</v>
      </c>
      <c r="U18" s="44" t="e">
        <f>R18*R19*PRODUCT(S5:S17)</f>
        <v>#DIV/0!</v>
      </c>
      <c r="W18" s="50" t="s">
        <v>82</v>
      </c>
      <c r="X18" s="17" t="s">
        <v>83</v>
      </c>
      <c r="Y18" s="70" t="n">
        <v>0</v>
      </c>
      <c r="Z18" s="146" t="n">
        <v>0.5</v>
      </c>
      <c r="AA18" s="22">
        <f>Z18*Y18</f>
        <v>0</v>
      </c>
      <c r="AB18" s="157" t="e">
        <f>IF($M$2="SI",AA18*$C$22/0.5*$S$1,AA18*$C$22/0.5*$S$2)</f>
        <v>#DIV/0!</v>
      </c>
      <c r="AC18" s="43" t="e">
        <f>(1-AB18)</f>
        <v>#DIV/0!</v>
      </c>
      <c r="AD18" s="44" t="e">
        <f>AB18*PRODUCT(AC5:AC17)*PRODUCT(AC19)</f>
        <v>#DIV/0!</v>
      </c>
      <c r="AE18" s="44" t="e">
        <f>AB18*AB19*PRODUCT(AC5:AC17)</f>
        <v>#DIV/0!</v>
      </c>
      <c r="BH18" t="n">
        <v>1</v>
      </c>
      <c r="BI18" t="n">
        <v>6</v>
      </c>
      <c r="BJ18" s="109" t="e">
        <f>$H$25*H44</f>
        <v>#DIV/0!</v>
      </c>
      <c r="BP18">
        <f>BL8+1</f>
        <v>5</v>
      </c>
      <c r="BQ18" t="n">
        <v>4</v>
      </c>
      <c r="BR18" s="109" t="e">
        <f>$H$29*H42</f>
        <v>#DIV/0!</v>
      </c>
    </row>
    <row r="19" spans="8:70">
      <c r="H19" s="15" t="s">
        <v>161</v>
      </c>
      <c r="L19" s="15" t="s">
        <v>161</v>
      </c>
      <c r="O19" s="68">
        <f>COUNTIF(F14:F18,"TEC")*0.06*IF(COUNTIF(J6:J13,"CAB")&lt;&gt;0,1,0)</f>
        <v>0</v>
      </c>
      <c r="P19" s="18" t="str">
        <f>P3</f>
        <v>0,6</v>
      </c>
      <c r="Q19" s="19">
        <f>P19*O19</f>
        <v>0</v>
      </c>
      <c r="R19" s="157" t="e">
        <f>IF($M$2="SI",Q19*$B$22/0.5*$S$1,Q19*$B$22/0.5*$S$2)</f>
        <v>#DIV/0!</v>
      </c>
      <c r="S19" s="45" t="e">
        <f>(1-R19)</f>
        <v>#DIV/0!</v>
      </c>
      <c r="T19" s="46" t="e">
        <f>R19*PRODUCT(S5:S18)</f>
        <v>#DIV/0!</v>
      </c>
      <c r="U19" s="46" t="n">
        <v>0</v>
      </c>
      <c r="V19" s="3" t="s">
        <v>85</v>
      </c>
      <c r="W19" s="50" t="s">
        <v>86</v>
      </c>
      <c r="X19" s="17" t="s">
        <v>87</v>
      </c>
      <c r="Y19" s="70">
        <f>COUNTIF(J14:J18,"TEC")*0.06*IF(COUNTIF(F6:F13,"CAB")&lt;&gt;0,1,0)</f>
        <v>0</v>
      </c>
      <c r="Z19" s="146" t="str">
        <f>Z3</f>
        <v>0,6</v>
      </c>
      <c r="AA19" s="22">
        <f>Z19*Y19</f>
        <v>0</v>
      </c>
      <c r="AB19" s="157" t="e">
        <f>IF($M$2="SI",AA19*$C$22/0.5*$S$1,AA19*$C$22/0.5*$S$2)</f>
        <v>#DIV/0!</v>
      </c>
      <c r="AC19" s="45" t="e">
        <f>(1-AB19)</f>
        <v>#DIV/0!</v>
      </c>
      <c r="AD19" s="46" t="e">
        <f>AB19*PRODUCT(AC5:AC18)</f>
        <v>#DIV/0!</v>
      </c>
      <c r="AE19" s="46" t="n">
        <v>0</v>
      </c>
      <c r="AF19" s="3" t="s">
        <v>85</v>
      </c>
      <c r="BH19" t="n">
        <v>1</v>
      </c>
      <c r="BI19" t="n">
        <v>7</v>
      </c>
      <c r="BJ19" s="109" t="e">
        <f>$H$25*H45</f>
        <v>#DIV/0!</v>
      </c>
      <c r="BP19">
        <f>BP15+1</f>
        <v>6</v>
      </c>
      <c r="BQ19" t="n">
        <v>1</v>
      </c>
      <c r="BR19" s="109" t="e">
        <f>$H$30*H39</f>
        <v>#DIV/0!</v>
      </c>
    </row>
    <row r="20" spans="1:70">
      <c r="A20" s="40" t="s">
        <v>88</v>
      </c>
      <c r="B20">
        <f>IF(B17="Pres",IF(C17="Pres",2,1),IF(C17="Pres",1,0))</f>
        <v>0</v>
      </c>
      <c r="D20" s="38"/>
      <c r="O20" s="24"/>
      <c r="P20" s="24"/>
      <c r="Q20" s="24"/>
      <c r="S20" s="47" t="e">
        <f>PRODUCT(S5:S19)</f>
        <v>#DIV/0!</v>
      </c>
      <c r="T20" s="48" t="e">
        <f>SUM(T5:T19)</f>
        <v>#DIV/0!</v>
      </c>
      <c r="U20" s="48" t="e">
        <f>SUM(U5:U19)</f>
        <v>#DIV/0!</v>
      </c>
      <c r="V20" s="48" t="e">
        <f>1-S20-T20-U20</f>
        <v>#DIV/0!</v>
      </c>
      <c r="W20" s="23"/>
      <c r="X20" s="24"/>
      <c r="Y20" s="24"/>
      <c r="Z20" s="24"/>
      <c r="AA20" s="24"/>
      <c r="AB20" s="25"/>
      <c r="AC20" s="49" t="e">
        <f>PRODUCT(AC5:AC19)</f>
        <v>#DIV/0!</v>
      </c>
      <c r="AD20" s="48" t="e">
        <f>SUM(AD5:AD19)</f>
        <v>#DIV/0!</v>
      </c>
      <c r="AE20" s="48" t="e">
        <f>SUM(AE5:AE19)</f>
        <v>#DIV/0!</v>
      </c>
      <c r="AF20" s="48" t="e">
        <f>1-AC20-AD20-AE20</f>
        <v>#DIV/0!</v>
      </c>
      <c r="BH20" t="n">
        <v>1</v>
      </c>
      <c r="BI20" t="n">
        <v>8</v>
      </c>
      <c r="BJ20" s="109" t="e">
        <f>$H$25*H46</f>
        <v>#DIV/0!</v>
      </c>
      <c r="BP20">
        <f>BP16+1</f>
        <v>6</v>
      </c>
      <c r="BQ20" t="n">
        <v>2</v>
      </c>
      <c r="BR20" s="109" t="e">
        <f>$H$30*H40</f>
        <v>#DIV/0!</v>
      </c>
    </row>
    <row r="21" spans="1:70">
      <c r="A21" s="40" t="s">
        <v>89</v>
      </c>
      <c r="B21" s="41">
        <f>5-B20</f>
        <v>5</v>
      </c>
      <c r="C21" s="37"/>
      <c r="D21" s="26"/>
      <c r="E21" s="26"/>
      <c r="V21" s="61" t="e">
        <f>SUM(V24:V34)</f>
        <v>#DIV/0!</v>
      </c>
      <c r="AS21" s="84" t="e">
        <f>Y22+AA22+AC22+AE22+AG22+AI22+AK22+AM22+AO22+AQ22+AS22</f>
        <v>#DIV/0!</v>
      </c>
      <c r="BH21" s="20" t="n">
        <v>1</v>
      </c>
      <c r="BI21" t="n">
        <v>9</v>
      </c>
      <c r="BJ21" s="109" t="e">
        <f>$H$25*H47</f>
        <v>#DIV/0!</v>
      </c>
      <c r="BP21">
        <f>BP17+1</f>
        <v>6</v>
      </c>
      <c r="BQ21" t="n">
        <v>3</v>
      </c>
      <c r="BR21" s="109" t="e">
        <f>$H$30*H41</f>
        <v>#DIV/0!</v>
      </c>
    </row>
    <row r="22" spans="1:70">
      <c r="A22" s="28" t="s">
        <v>90</v>
      </c>
      <c r="B22" s="64" t="e">
        <f>(B6)/((B6)+(C6))</f>
        <v>#DIV/0!</v>
      </c>
      <c r="C22" s="65" t="e">
        <f>1-B22</f>
        <v>#DIV/0!</v>
      </c>
      <c r="D22" s="26"/>
      <c r="E22" s="26"/>
      <c r="H22" s="61" t="e">
        <f>SUM(H24:H34)</f>
        <v>#DIV/0!</v>
      </c>
      <c r="J22" s="61" t="e">
        <f>SUM(J24:J34)</f>
        <v>#DIV/0!</v>
      </c>
      <c r="K22" s="61"/>
      <c r="L22" s="61" t="e">
        <f>SUM(L24:L34)</f>
        <v>#DIV/0!</v>
      </c>
      <c r="N22" s="61" t="e">
        <f>SUM(N24:N34)</f>
        <v>#DIV/0!</v>
      </c>
      <c r="O22" s="36"/>
      <c r="P22" s="61" t="e">
        <f>SUM(P24:P34)</f>
        <v>#DIV/0!</v>
      </c>
      <c r="R22" s="61" t="e">
        <f>SUM(R24:R34)</f>
        <v>#DIV/0!</v>
      </c>
      <c r="T22" s="61" t="e">
        <f>SUM(T24:T34)</f>
        <v>#DIV/0!</v>
      </c>
      <c r="V22" s="61" t="e">
        <f>SUM(V24:V33)</f>
        <v>#DIV/0!</v>
      </c>
      <c r="Y22" s="82" t="e">
        <f>SUM(Y24:Y34)</f>
        <v>#DIV/0!</v>
      </c>
      <c r="Z22" s="83"/>
      <c r="AA22" s="82" t="e">
        <f>SUM(AA24:AA34)</f>
        <v>#DIV/0!</v>
      </c>
      <c r="AB22" s="83"/>
      <c r="AC22" s="82" t="e">
        <f>SUM(AC24:AC34)</f>
        <v>#DIV/0!</v>
      </c>
      <c r="AD22" s="83"/>
      <c r="AE22" s="82" t="e">
        <f>SUM(AE24:AE34)</f>
        <v>#DIV/0!</v>
      </c>
      <c r="AF22" s="83"/>
      <c r="AG22" s="82" t="e">
        <f>SUM(AG24:AG34)</f>
        <v>#DIV/0!</v>
      </c>
      <c r="AH22" s="83"/>
      <c r="AI22" s="82" t="e">
        <f>SUM(AI24:AI34)</f>
        <v>#DIV/0!</v>
      </c>
      <c r="AJ22" s="83"/>
      <c r="AK22" s="82" t="e">
        <f>SUM(AK24:AK34)</f>
        <v>#DIV/0!</v>
      </c>
      <c r="AL22" s="83"/>
      <c r="AM22" s="82" t="e">
        <f>SUM(AM24:AM34)</f>
        <v>#DIV/0!</v>
      </c>
      <c r="AN22" s="83"/>
      <c r="AO22" s="82" t="e">
        <f>SUM(AO24:AO34)</f>
        <v>#DIV/0!</v>
      </c>
      <c r="AP22" s="83"/>
      <c r="AQ22" s="82" t="e">
        <f>SUM(AQ24:AQ34)</f>
        <v>#DIV/0!</v>
      </c>
      <c r="AR22" s="83"/>
      <c r="AS22" s="82" t="e">
        <f>SUM(AS24:AS34)</f>
        <v>#DIV/0!</v>
      </c>
      <c r="BH22" t="n">
        <v>1</v>
      </c>
      <c r="BI22" t="n">
        <v>10</v>
      </c>
      <c r="BJ22" s="109" t="e">
        <f>$H$25*H48</f>
        <v>#DIV/0!</v>
      </c>
      <c r="BP22">
        <f>BP18+1</f>
        <v>6</v>
      </c>
      <c r="BQ22" t="n">
        <v>4</v>
      </c>
      <c r="BR22" s="109" t="e">
        <f>$H$30*H42</f>
        <v>#DIV/0!</v>
      </c>
    </row>
    <row r="23" spans="1:70">
      <c r="A23" s="42" t="s">
        <v>91</v>
      </c>
      <c r="B23" s="58" t="e">
        <f>((B22^2.8)/((B22^2.8)+(C22^2.8)))*B21</f>
        <v>#DIV/0!</v>
      </c>
      <c r="C23" s="59" t="e">
        <f>B21-B23</f>
        <v>#DIV/0!</v>
      </c>
      <c r="D23" s="151">
        <f>SUM(D25:D30)</f>
        <v>1</v>
      </c>
      <c r="E23" s="151">
        <f>SUM(E25:E30)</f>
        <v>1</v>
      </c>
      <c r="G23" s="101" t="s">
        <v>95</v>
      </c>
      <c r="H23" s="102" t="s">
        <v>21</v>
      </c>
      <c r="I23" s="101" t="s">
        <v>96</v>
      </c>
      <c r="J23" s="103" t="s">
        <v>97</v>
      </c>
      <c r="K23" s="101" t="s">
        <v>98</v>
      </c>
      <c r="L23" s="103" t="s">
        <v>21</v>
      </c>
      <c r="M23" s="85" t="s">
        <v>99</v>
      </c>
      <c r="N23" s="29" t="s">
        <v>100</v>
      </c>
      <c r="O23" s="29" t="s">
        <v>101</v>
      </c>
      <c r="P23" s="29" t="s">
        <v>21</v>
      </c>
      <c r="Q23" s="29" t="s">
        <v>102</v>
      </c>
      <c r="R23" s="29" t="s">
        <v>21</v>
      </c>
      <c r="S23" s="29" t="s">
        <v>103</v>
      </c>
      <c r="T23" s="134" t="s">
        <v>21</v>
      </c>
      <c r="U23" s="138" t="s">
        <v>104</v>
      </c>
      <c r="V23" s="139" t="s">
        <v>100</v>
      </c>
      <c r="W23" s="85" t="s">
        <v>105</v>
      </c>
      <c r="X23" s="29" t="s">
        <v>106</v>
      </c>
      <c r="Y23" s="29" t="s">
        <v>21</v>
      </c>
      <c r="Z23" s="29" t="s">
        <v>107</v>
      </c>
      <c r="AA23" s="29" t="s">
        <v>21</v>
      </c>
      <c r="AB23" s="29" t="s">
        <v>108</v>
      </c>
      <c r="AC23" s="29" t="s">
        <v>21</v>
      </c>
      <c r="AD23" s="29" t="s">
        <v>109</v>
      </c>
      <c r="AE23" s="29" t="s">
        <v>21</v>
      </c>
      <c r="AF23" s="29" t="s">
        <v>110</v>
      </c>
      <c r="AG23" s="29" t="s">
        <v>21</v>
      </c>
      <c r="AH23" s="29" t="s">
        <v>111</v>
      </c>
      <c r="AI23" s="29" t="s">
        <v>21</v>
      </c>
      <c r="AJ23" s="29" t="s">
        <v>112</v>
      </c>
      <c r="AK23" s="29" t="s">
        <v>21</v>
      </c>
      <c r="AL23" s="29" t="s">
        <v>113</v>
      </c>
      <c r="AM23" s="29" t="s">
        <v>21</v>
      </c>
      <c r="AN23" s="29" t="s">
        <v>114</v>
      </c>
      <c r="AO23" s="29" t="s">
        <v>21</v>
      </c>
      <c r="AP23" s="29" t="s">
        <v>115</v>
      </c>
      <c r="AQ23" s="29" t="s">
        <v>21</v>
      </c>
      <c r="AR23" s="29" t="s">
        <v>116</v>
      </c>
      <c r="AS23" s="29" t="s">
        <v>21</v>
      </c>
      <c r="BH23">
        <f>BH15+1</f>
        <v>2</v>
      </c>
      <c r="BI23" t="n">
        <v>3</v>
      </c>
      <c r="BJ23" s="109" t="e">
        <f>$H$26*H41</f>
        <v>#DIV/0!</v>
      </c>
      <c r="BP23">
        <f>BL9+1</f>
        <v>6</v>
      </c>
      <c r="BQ23" t="n">
        <v>5</v>
      </c>
      <c r="BR23" s="109" t="e">
        <f>$H$30*H43</f>
        <v>#DIV/0!</v>
      </c>
    </row>
    <row r="24" spans="1:70">
      <c r="A24" s="28" t="s">
        <v>92</v>
      </c>
      <c r="B24" s="66" t="e">
        <f>B23/B21</f>
        <v>#DIV/0!</v>
      </c>
      <c r="C24" s="67" t="e">
        <f>C23/B21</f>
        <v>#DIV/0!</v>
      </c>
      <c r="D24" s="15" t="s">
        <v>93</v>
      </c>
      <c r="E24" s="15" t="s">
        <v>94</v>
      </c>
      <c r="G24" s="126" t="n">
        <v>0</v>
      </c>
      <c r="H24" s="127" t="e">
        <f>L24*J24</f>
        <v>#DIV/0!</v>
      </c>
      <c r="I24" s="99" t="n">
        <v>0</v>
      </c>
      <c r="J24" s="100" t="e">
        <f>Y24+AA24+AC24+AE24+AG24+AI24+AK24+AM24+AO24+AQ24+AS24</f>
        <v>#DIV/0!</v>
      </c>
      <c r="K24" s="99" t="n">
        <v>0</v>
      </c>
      <c r="L24" s="100" t="e">
        <f>S20</f>
        <v>#DIV/0!</v>
      </c>
      <c r="M24" s="86" t="n">
        <v>0</v>
      </c>
      <c r="N24" s="73" t="e">
        <f>(1-$B$24)^$B$21</f>
        <v>#DIV/0!</v>
      </c>
      <c r="O24" s="72" t="n">
        <v>0</v>
      </c>
      <c r="P24" s="73" t="e">
        <f>N24</f>
        <v>#DIV/0!</v>
      </c>
      <c r="Q24" s="14" t="n">
        <v>0</v>
      </c>
      <c r="R24" s="75" t="e">
        <f>P24*N24</f>
        <v>#DIV/0!</v>
      </c>
      <c r="S24" s="72" t="n">
        <v>0</v>
      </c>
      <c r="T24" s="135" t="e">
        <f>(1-$B$33)^(INT(C23*2*(1-C31)))</f>
        <v>#DIV/0!</v>
      </c>
      <c r="U24" s="140" t="n">
        <v>0</v>
      </c>
      <c r="V24" s="88" t="e">
        <f>R24*T24</f>
        <v>#DIV/0!</v>
      </c>
      <c r="W24" s="136" t="e">
        <f>B31</f>
        <v>#DIV/0!</v>
      </c>
      <c r="X24" s="14" t="n">
        <v>0</v>
      </c>
      <c r="Y24" s="81" t="e">
        <f>V24</f>
        <v>#DIV/0!</v>
      </c>
      <c r="Z24" s="14" t="n">
        <v>0</v>
      </c>
      <c r="AA24" s="80" t="e">
        <f>((1-W24)^Z25)*V25</f>
        <v>#DIV/0!</v>
      </c>
      <c r="AB24" s="14" t="n">
        <v>0</v>
      </c>
      <c r="AC24" s="81" t="e">
        <f>(((1-$W$24)^AB26))*V26</f>
        <v>#DIV/0!</v>
      </c>
      <c r="AD24" s="14" t="n">
        <v>0</v>
      </c>
      <c r="AE24" s="81" t="e">
        <f>(((1-$W$24)^AB27))*V27</f>
        <v>#DIV/0!</v>
      </c>
      <c r="AF24" s="14" t="n">
        <v>0</v>
      </c>
      <c r="AG24" s="81" t="e">
        <f>(((1-$W$24)^AB28))*V28</f>
        <v>#DIV/0!</v>
      </c>
      <c r="AH24" s="14" t="n">
        <v>0</v>
      </c>
      <c r="AI24" s="81" t="e">
        <f>(((1-$W$24)^AB29))*V29</f>
        <v>#DIV/0!</v>
      </c>
      <c r="AJ24" s="14" t="n">
        <v>0</v>
      </c>
      <c r="AK24" s="81" t="e">
        <f>(((1-$W$24)^AB30))*V30</f>
        <v>#DIV/0!</v>
      </c>
      <c r="AL24" s="14" t="n">
        <v>0</v>
      </c>
      <c r="AM24" s="81" t="e">
        <f>(((1-$W$24)^AB31))*V31</f>
        <v>#DIV/0!</v>
      </c>
      <c r="AN24" s="14" t="n">
        <v>0</v>
      </c>
      <c r="AO24" s="81" t="e">
        <f>(((1-$W$24)^AB32))*V32</f>
        <v>#DIV/0!</v>
      </c>
      <c r="AP24" s="14" t="n">
        <v>0</v>
      </c>
      <c r="AQ24" s="81" t="e">
        <f>(((1-$W$24)^AB33))*V33</f>
        <v>#DIV/0!</v>
      </c>
      <c r="AR24" s="14" t="n">
        <v>0</v>
      </c>
      <c r="AS24" s="81" t="e">
        <f>(((1-$W$24)^AB34))*V34</f>
        <v>#DIV/0!</v>
      </c>
      <c r="AV24" s="16" t="n">
        <v>0</v>
      </c>
      <c r="AW24" s="16" t="n">
        <v>1</v>
      </c>
      <c r="AX24" s="16" t="n">
        <v>2</v>
      </c>
      <c r="AY24" s="16" t="n">
        <v>3</v>
      </c>
      <c r="AZ24" s="16" t="n">
        <v>4</v>
      </c>
      <c r="BA24" s="16" t="n">
        <v>5</v>
      </c>
      <c r="BB24" s="16" t="n">
        <v>6</v>
      </c>
      <c r="BC24" s="16" t="n">
        <v>7</v>
      </c>
      <c r="BD24" s="16" t="n">
        <v>8</v>
      </c>
      <c r="BE24" s="16" t="n">
        <v>9</v>
      </c>
      <c r="BF24" s="16" t="n">
        <v>10</v>
      </c>
      <c r="BH24">
        <f>BH16+1</f>
        <v>2</v>
      </c>
      <c r="BI24" t="n">
        <v>4</v>
      </c>
      <c r="BJ24" s="109" t="e">
        <f>$H$26*H42</f>
        <v>#DIV/0!</v>
      </c>
      <c r="BP24">
        <f>BH49+1</f>
        <v>7</v>
      </c>
      <c r="BQ24" t="n">
        <v>0</v>
      </c>
      <c r="BR24" s="109" t="e">
        <f>$H$31*H38</f>
        <v>#DIV/0!</v>
      </c>
    </row>
    <row r="25" spans="1:70">
      <c r="A25" s="28" t="s">
        <v>117</v>
      </c>
      <c r="B25" s="119" t="e">
        <f>1/(1+EXP(-3.1416*4*((B11/(B11+C8))-(3.1416/6))))</f>
        <v>#DIV/0!</v>
      </c>
      <c r="C25" s="120" t="e">
        <f>1/(1+EXP(-3.1416*4*((C11/(C11+B8))-(3.1416/6))))</f>
        <v>#DIV/0!</v>
      </c>
      <c r="D25" s="153">
        <f>IF(B17="AOW",0.36-0.08,IF(B17="AIM",0.36+0.08,IF(B17="TL",(0.361)-(0.36*B32),0.36)))</f>
        <v>0.359999999999999964</v>
      </c>
      <c r="E25" s="153">
        <f>IF(C17="AOW",0.36-0.08,IF(C17="AIM",0.36+0.08,IF(C17="TL",(0.361)-(0.36*C32),0.36)))</f>
        <v>0.359999999999999964</v>
      </c>
      <c r="G25" s="89" t="n">
        <v>1</v>
      </c>
      <c r="H25" s="128" t="e">
        <f>L24*J25+L25*J24</f>
        <v>#DIV/0!</v>
      </c>
      <c r="I25" s="95" t="n">
        <v>1</v>
      </c>
      <c r="J25" s="88" t="e">
        <f>Y25+AA25+AC25+AE25+AG25+AI25+AK25+AM25+AO25+AQ25+AS25</f>
        <v>#DIV/0!</v>
      </c>
      <c r="K25" s="95" t="n">
        <v>1</v>
      </c>
      <c r="L25" s="88" t="e">
        <f>T20</f>
        <v>#DIV/0!</v>
      </c>
      <c r="M25" s="87" t="n">
        <v>1</v>
      </c>
      <c r="N25" s="73" t="e">
        <f>(($B$24)^M25)*((1-($B$24))^($B$21-M25))*HLOOKUP($B$21,$AV$24:$BF$34,M25+1)</f>
        <v>#DIV/0!</v>
      </c>
      <c r="O25" s="74" t="n">
        <v>1</v>
      </c>
      <c r="P25" s="73" t="e">
        <f>N25</f>
        <v>#DIV/0!</v>
      </c>
      <c r="Q25" s="30" t="n">
        <v>1</v>
      </c>
      <c r="R25" s="39" t="e">
        <f>N25*P24+P25*N24</f>
        <v>#DIV/0!</v>
      </c>
      <c r="S25" s="74" t="n">
        <v>1</v>
      </c>
      <c r="T25" s="135" t="e">
        <f>(($B$33)^S25)*((1-($B$33))^(INT($C$23*2*(1-$C$31))-S25))*HLOOKUP(INT($C$23*2*(1-$C$31)),$AV$24:$BF$34,S25+1)</f>
        <v>#DIV/0!</v>
      </c>
      <c r="U25" s="95" t="n">
        <v>1</v>
      </c>
      <c r="V25" s="88" t="e">
        <f>R25*T24+T25*R24</f>
        <v>#DIV/0!</v>
      </c>
      <c r="W25" s="137"/>
      <c r="X25" s="30" t="n">
        <v>1</v>
      </c>
      <c r="Y25" s="75"/>
      <c r="Z25" s="30" t="n">
        <v>1</v>
      </c>
      <c r="AA25" s="81" t="e">
        <f>(1-((1-W24)^Z25))*V25</f>
        <v>#DIV/0!</v>
      </c>
      <c r="AB25" s="30" t="n">
        <v>1</v>
      </c>
      <c r="AC25" s="81" t="e">
        <f>((($W$24)^M25)*((1-($W$24))^($U$26-M25))*HLOOKUP($U$26,$AV$24:$BF$34,M25+1))*V26</f>
        <v>#DIV/0!</v>
      </c>
      <c r="AD25" s="30" t="n">
        <v>1</v>
      </c>
      <c r="AE25" s="81" t="e">
        <f>((($W$24)^M25)*((1-($W$24))^($U$27-M25))*HLOOKUP($U$27,$AV$24:$BF$34,M25+1))*V27</f>
        <v>#DIV/0!</v>
      </c>
      <c r="AF25" s="30" t="n">
        <v>1</v>
      </c>
      <c r="AG25" s="81" t="e">
        <f>((($W$24)^M25)*((1-($W$24))^($U$28-M25))*HLOOKUP($U$28,$AV$24:$BF$34,M25+1))*V28</f>
        <v>#DIV/0!</v>
      </c>
      <c r="AH25" s="30" t="n">
        <v>1</v>
      </c>
      <c r="AI25" s="81" t="e">
        <f>((($W$24)^M25)*((1-($W$24))^($U$29-M25))*HLOOKUP($U$29,$AV$24:$BF$34,M25+1))*V29</f>
        <v>#DIV/0!</v>
      </c>
      <c r="AJ25" s="30" t="n">
        <v>1</v>
      </c>
      <c r="AK25" s="81" t="e">
        <f>((($W$24)^M25)*((1-($W$24))^($U$30-M25))*HLOOKUP($U$30,$AV$24:$BF$34,M25+1))*V30</f>
        <v>#DIV/0!</v>
      </c>
      <c r="AL25" s="30" t="n">
        <v>1</v>
      </c>
      <c r="AM25" s="81" t="e">
        <f>((($W$24)^Q25)*((1-($W$24))^($U$31-Q25))*HLOOKUP($U$31,$AV$24:$BF$34,Q25+1))*V31</f>
        <v>#DIV/0!</v>
      </c>
      <c r="AN25" s="30" t="n">
        <v>1</v>
      </c>
      <c r="AO25" s="81" t="e">
        <f>((($W$24)^Q25)*((1-($W$24))^($U$32-Q25))*HLOOKUP($U$32,$AV$24:$BF$34,Q25+1))*V32</f>
        <v>#DIV/0!</v>
      </c>
      <c r="AP25" s="30" t="n">
        <v>1</v>
      </c>
      <c r="AQ25" s="81" t="e">
        <f>((($W$24)^Q25)*((1-($W$24))^($U$33-Q25))*HLOOKUP($U$33,$AV$24:$BF$34,Q25+1))*V33</f>
        <v>#DIV/0!</v>
      </c>
      <c r="AR25" s="30" t="n">
        <v>1</v>
      </c>
      <c r="AS25" s="81" t="e">
        <f>((($W$24)^Q25)*((1-($W$24))^($U$34-Q25))*HLOOKUP($U$34,$AV$24:$BF$34,Q25+1))*V34</f>
        <v>#DIV/0!</v>
      </c>
      <c r="AV25" s="16" t="n">
        <v>1</v>
      </c>
      <c r="AW25" t="n">
        <v>1</v>
      </c>
      <c r="AX25" t="n">
        <v>2</v>
      </c>
      <c r="AY25" t="n">
        <v>3</v>
      </c>
      <c r="AZ25" t="n">
        <v>4</v>
      </c>
      <c r="BA25" t="n">
        <v>5</v>
      </c>
      <c r="BB25" t="n">
        <v>6</v>
      </c>
      <c r="BC25">
        <f>7</f>
        <v>7</v>
      </c>
      <c r="BD25" t="n">
        <v>8</v>
      </c>
      <c r="BE25" t="n">
        <v>9</v>
      </c>
      <c r="BF25" t="n">
        <v>10</v>
      </c>
      <c r="BH25">
        <f>BH17+1</f>
        <v>2</v>
      </c>
      <c r="BI25" t="n">
        <v>5</v>
      </c>
      <c r="BJ25" s="109" t="e">
        <f>$H$26*H43</f>
        <v>#DIV/0!</v>
      </c>
      <c r="BP25">
        <f>BP19+1</f>
        <v>7</v>
      </c>
      <c r="BQ25" t="n">
        <v>1</v>
      </c>
      <c r="BR25" s="109" t="e">
        <f>$H$31*H39</f>
        <v>#DIV/0!</v>
      </c>
    </row>
    <row r="26" spans="1:70">
      <c r="A26" s="42" t="s">
        <v>118</v>
      </c>
      <c r="B26" s="121" t="e">
        <f>1/(1+EXP(-3.1416*4*((B10/(B10+C9))-(3.1416/6))))</f>
        <v>#DIV/0!</v>
      </c>
      <c r="C26" s="120" t="e">
        <f>1/(1+EXP(-3.1416*4*((C10/(C10+B9))-(3.1416/6))))</f>
        <v>#DIV/0!</v>
      </c>
      <c r="D26" s="153">
        <f>IF(B17="AOW",0.257+0.04,IF(B17="AIM",0.257-0.04,IF(B17="TL",(0.257)-(0.257*B32),0.257)))</f>
        <v>0.257000000000000028</v>
      </c>
      <c r="E26" s="153">
        <f>IF(C17="AOW",0.257+0.04,IF(C17="AIM",0.257-0.04,IF(C17="TL",(0.257)-(0.257*C32),0.257)))</f>
        <v>0.257000000000000028</v>
      </c>
      <c r="G26" s="89" t="n">
        <v>2</v>
      </c>
      <c r="H26" s="128" t="e">
        <f>L24*J26+J25*L25+J24*L26</f>
        <v>#DIV/0!</v>
      </c>
      <c r="I26" s="95" t="n">
        <v>2</v>
      </c>
      <c r="J26" s="88" t="e">
        <f>Y26+AA26+AC26+AE26+AG26+AI26+AK26+AM26+AO26+AQ26+AS26</f>
        <v>#DIV/0!</v>
      </c>
      <c r="K26" s="95" t="n">
        <v>2</v>
      </c>
      <c r="L26" s="88" t="e">
        <f>U20</f>
        <v>#DIV/0!</v>
      </c>
      <c r="M26" s="87" t="n">
        <v>2</v>
      </c>
      <c r="N26" s="73" t="e">
        <f>(($B$24)^M26)*((1-($B$24))^($B$21-M26))*HLOOKUP($B$21,$AV$24:$BF$34,M26+1)</f>
        <v>#DIV/0!</v>
      </c>
      <c r="O26" s="74" t="n">
        <v>2</v>
      </c>
      <c r="P26" s="73" t="e">
        <f>N26</f>
        <v>#DIV/0!</v>
      </c>
      <c r="Q26" s="30" t="n">
        <v>2</v>
      </c>
      <c r="R26" s="39" t="e">
        <f>P24*N26+P25*N25+P26*N24</f>
        <v>#DIV/0!</v>
      </c>
      <c r="S26" s="74" t="n">
        <v>2</v>
      </c>
      <c r="T26" s="135" t="e">
        <f>(($B$33)^S26)*((1-($B$33))^(INT($C$23*2*(1-$C$31))-S26))*HLOOKUP(INT($C$23*2*(1-$C$31)),$AV$24:$BF$34,S26+1)</f>
        <v>#DIV/0!</v>
      </c>
      <c r="U26" s="95" t="n">
        <v>2</v>
      </c>
      <c r="V26" s="88" t="e">
        <f>R26*T24+T25*R25+R24*T26</f>
        <v>#DIV/0!</v>
      </c>
      <c r="W26" s="137"/>
      <c r="X26" s="30" t="n">
        <v>2</v>
      </c>
      <c r="Y26" s="75"/>
      <c r="Z26" s="30" t="n">
        <v>2</v>
      </c>
      <c r="AA26" s="81"/>
      <c r="AB26" s="30" t="n">
        <v>2</v>
      </c>
      <c r="AC26" s="81" t="e">
        <f>((($W$24)^M26)*((1-($W$24))^($U$26-M26))*HLOOKUP($U$26,$AV$24:$BF$34,M26+1))*V26</f>
        <v>#DIV/0!</v>
      </c>
      <c r="AD26" s="30" t="n">
        <v>2</v>
      </c>
      <c r="AE26" s="81" t="e">
        <f>((($W$24)^M26)*((1-($W$24))^($U$27-M26))*HLOOKUP($U$27,$AV$24:$BF$34,M26+1))*V27</f>
        <v>#DIV/0!</v>
      </c>
      <c r="AF26" s="30" t="n">
        <v>2</v>
      </c>
      <c r="AG26" s="81" t="e">
        <f>((($W$24)^M26)*((1-($W$24))^($U$28-M26))*HLOOKUP($U$28,$AV$24:$BF$34,M26+1))*V28</f>
        <v>#DIV/0!</v>
      </c>
      <c r="AH26" s="30" t="n">
        <v>2</v>
      </c>
      <c r="AI26" s="81" t="e">
        <f>((($W$24)^M26)*((1-($W$24))^($U$29-M26))*HLOOKUP($U$29,$AV$24:$BF$34,M26+1))*V29</f>
        <v>#DIV/0!</v>
      </c>
      <c r="AJ26" s="30" t="n">
        <v>2</v>
      </c>
      <c r="AK26" s="81" t="e">
        <f>((($W$24)^M26)*((1-($W$24))^($U$30-M26))*HLOOKUP($U$30,$AV$24:$BF$34,M26+1))*V30</f>
        <v>#DIV/0!</v>
      </c>
      <c r="AL26" s="30" t="n">
        <v>2</v>
      </c>
      <c r="AM26" s="81" t="e">
        <f>((($W$24)^Q26)*((1-($W$24))^($U$31-Q26))*HLOOKUP($U$31,$AV$24:$BF$34,Q26+1))*V31</f>
        <v>#DIV/0!</v>
      </c>
      <c r="AN26" s="30" t="n">
        <v>2</v>
      </c>
      <c r="AO26" s="81" t="e">
        <f>((($W$24)^Q26)*((1-($W$24))^($U$32-Q26))*HLOOKUP($U$32,$AV$24:$BF$34,Q26+1))*V32</f>
        <v>#DIV/0!</v>
      </c>
      <c r="AP26" s="30" t="n">
        <v>2</v>
      </c>
      <c r="AQ26" s="81" t="e">
        <f>((($W$24)^Q26)*((1-($W$24))^($U$33-Q26))*HLOOKUP($U$33,$AV$24:$BF$34,Q26+1))*V33</f>
        <v>#DIV/0!</v>
      </c>
      <c r="AR26" s="30" t="n">
        <v>2</v>
      </c>
      <c r="AS26" s="81" t="e">
        <f>((($W$24)^Q26)*((1-($W$24))^($U$34-Q26))*HLOOKUP($U$34,$AV$24:$BF$34,Q26+1))*V34</f>
        <v>#DIV/0!</v>
      </c>
      <c r="AV26" s="16" t="n">
        <v>2</v>
      </c>
      <c r="AX26" t="n">
        <v>1</v>
      </c>
      <c r="AY26" t="n">
        <v>3</v>
      </c>
      <c r="AZ26" t="n">
        <v>6</v>
      </c>
      <c r="BA26" t="n">
        <v>10</v>
      </c>
      <c r="BB26" t="n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>BH18+1</f>
        <v>2</v>
      </c>
      <c r="BI26" t="n">
        <v>6</v>
      </c>
      <c r="BJ26" s="109" t="e">
        <f>$H$26*H44</f>
        <v>#DIV/0!</v>
      </c>
      <c r="BP26">
        <f>BP20+1</f>
        <v>7</v>
      </c>
      <c r="BQ26" t="n">
        <v>2</v>
      </c>
      <c r="BR26" s="109" t="e">
        <f>$H$31*H40</f>
        <v>#DIV/0!</v>
      </c>
    </row>
    <row r="27" spans="1:70">
      <c r="A27" s="28" t="s">
        <v>119</v>
      </c>
      <c r="B27" s="121" t="e">
        <f>1/(1+EXP(-3.1416*4*((B12/(B12+C7))-(3.1416/6))))</f>
        <v>#DIV/0!</v>
      </c>
      <c r="C27" s="120" t="e">
        <f>1/(1+EXP(-3.1416*4*((C12/(C12+B7))-(3.1416/6))))</f>
        <v>#DIV/0!</v>
      </c>
      <c r="D27" s="153">
        <f>D26</f>
        <v>0.257000000000000028</v>
      </c>
      <c r="E27" s="153">
        <f>E26</f>
        <v>0.257000000000000028</v>
      </c>
      <c r="G27" s="89" t="n">
        <v>3</v>
      </c>
      <c r="H27" s="128" t="e">
        <f>J27*L24+J26*L25+L27*J24+L26*J25</f>
        <v>#DIV/0!</v>
      </c>
      <c r="I27" s="95" t="n">
        <v>3</v>
      </c>
      <c r="J27" s="88" t="e">
        <f>Y27+AA27+AC27+AE27+AG27+AI27+AK27+AM27+AO27+AQ27+AS27</f>
        <v>#DIV/0!</v>
      </c>
      <c r="K27" s="95" t="n">
        <v>3</v>
      </c>
      <c r="L27" s="88" t="e">
        <f>V20</f>
        <v>#DIV/0!</v>
      </c>
      <c r="M27" s="87" t="n">
        <v>3</v>
      </c>
      <c r="N27" s="73" t="e">
        <f>(($B$24)^M27)*((1-($B$24))^($B$21-M27))*HLOOKUP($B$21,$AV$24:$BF$34,M27+1)</f>
        <v>#DIV/0!</v>
      </c>
      <c r="O27" s="74" t="n">
        <v>3</v>
      </c>
      <c r="P27" s="73" t="e">
        <f>N27</f>
        <v>#DIV/0!</v>
      </c>
      <c r="Q27" s="30" t="n">
        <v>3</v>
      </c>
      <c r="R27" s="39" t="e">
        <f>P24*N27+P25*N26+P26*N25+P27*N24</f>
        <v>#DIV/0!</v>
      </c>
      <c r="S27" s="74" t="n">
        <v>3</v>
      </c>
      <c r="T27" s="135" t="e">
        <f>(($B$33)^S27)*((1-($B$33))^(INT($C$23*2*(1-$C$31))-S27))*HLOOKUP(INT($C$23*2*(1-$C$31)),$AV$24:$BF$34,S27+1)</f>
        <v>#DIV/0!</v>
      </c>
      <c r="U27" s="95" t="n">
        <v>3</v>
      </c>
      <c r="V27" s="88" t="e">
        <f>R27*T24+R26*T25+R25*T26+R24*T27</f>
        <v>#DIV/0!</v>
      </c>
      <c r="W27" s="137"/>
      <c r="X27" s="30" t="n">
        <v>3</v>
      </c>
      <c r="Y27" s="75"/>
      <c r="Z27" s="30" t="n">
        <v>3</v>
      </c>
      <c r="AA27" s="81"/>
      <c r="AB27" s="30" t="n">
        <v>3</v>
      </c>
      <c r="AC27" s="81"/>
      <c r="AD27" s="30" t="n">
        <v>3</v>
      </c>
      <c r="AE27" s="81" t="e">
        <f>((($W$24)^M27)*((1-($W$24))^($U$27-M27))*HLOOKUP($U$27,$AV$24:$BF$34,M27+1))*V27</f>
        <v>#DIV/0!</v>
      </c>
      <c r="AF27" s="30" t="n">
        <v>3</v>
      </c>
      <c r="AG27" s="81" t="e">
        <f>((($W$24)^M27)*((1-($W$24))^($U$28-M27))*HLOOKUP($U$28,$AV$24:$BF$34,M27+1))*V28</f>
        <v>#DIV/0!</v>
      </c>
      <c r="AH27" s="30" t="n">
        <v>3</v>
      </c>
      <c r="AI27" s="81" t="e">
        <f>((($W$24)^M27)*((1-($W$24))^($U$29-M27))*HLOOKUP($U$29,$AV$24:$BF$34,M27+1))*V29</f>
        <v>#DIV/0!</v>
      </c>
      <c r="AJ27" s="30" t="n">
        <v>3</v>
      </c>
      <c r="AK27" s="81" t="e">
        <f>((($W$24)^M27)*((1-($W$24))^($U$30-M27))*HLOOKUP($U$30,$AV$24:$BF$34,M27+1))*V30</f>
        <v>#DIV/0!</v>
      </c>
      <c r="AL27" s="30" t="n">
        <v>3</v>
      </c>
      <c r="AM27" s="81" t="e">
        <f>((($W$24)^Q27)*((1-($W$24))^($U$31-Q27))*HLOOKUP($U$31,$AV$24:$BF$34,Q27+1))*V31</f>
        <v>#DIV/0!</v>
      </c>
      <c r="AN27" s="30" t="n">
        <v>3</v>
      </c>
      <c r="AO27" s="81" t="e">
        <f>((($W$24)^Q27)*((1-($W$24))^($U$32-Q27))*HLOOKUP($U$32,$AV$24:$BF$34,Q27+1))*V32</f>
        <v>#DIV/0!</v>
      </c>
      <c r="AP27" s="30" t="n">
        <v>3</v>
      </c>
      <c r="AQ27" s="81" t="e">
        <f>((($W$24)^Q27)*((1-($W$24))^($U$33-Q27))*HLOOKUP($U$33,$AV$24:$BF$34,Q27+1))*V33</f>
        <v>#DIV/0!</v>
      </c>
      <c r="AR27" s="30" t="n">
        <v>3</v>
      </c>
      <c r="AS27" s="81" t="e">
        <f>((($W$24)^Q27)*((1-($W$24))^($U$34-Q27))*HLOOKUP($U$34,$AV$24:$BF$34,Q27+1))*V34</f>
        <v>#DIV/0!</v>
      </c>
      <c r="AV27" s="16" t="n">
        <v>3</v>
      </c>
      <c r="AY27" t="n">
        <v>1</v>
      </c>
      <c r="AZ27" t="n">
        <v>4</v>
      </c>
      <c r="BA27" t="n">
        <v>10</v>
      </c>
      <c r="BB27" t="n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>BH19+1</f>
        <v>2</v>
      </c>
      <c r="BI27" t="n">
        <v>7</v>
      </c>
      <c r="BJ27" s="109" t="e">
        <f>$H$26*H45</f>
        <v>#DIV/0!</v>
      </c>
      <c r="BP27">
        <f>BP21+1</f>
        <v>7</v>
      </c>
      <c r="BQ27" t="n">
        <v>3</v>
      </c>
      <c r="BR27" s="109" t="e">
        <f>$H$31*H41</f>
        <v>#DIV/0!</v>
      </c>
    </row>
    <row r="28" spans="1:70">
      <c r="A28" s="28" t="s">
        <v>120</v>
      </c>
      <c r="B28" s="122" t="n">
        <v>0.9</v>
      </c>
      <c r="C28" s="123" t="n">
        <v>0.9</v>
      </c>
      <c r="D28" s="153" t="n">
        <v>0.085</v>
      </c>
      <c r="E28" s="153" t="n">
        <v>0.085</v>
      </c>
      <c r="G28" s="89" t="n">
        <v>4</v>
      </c>
      <c r="H28" s="128" t="e">
        <f>J28*L24+J27*L25+J26*L26+J25*L27</f>
        <v>#DIV/0!</v>
      </c>
      <c r="I28" s="95" t="n">
        <v>4</v>
      </c>
      <c r="J28" s="88" t="e">
        <f>Y28+AA28+AC28+AE28+AG28+AI28+AK28+AM28+AO28+AQ28+AS28</f>
        <v>#DIV/0!</v>
      </c>
      <c r="K28" s="95" t="n">
        <v>4</v>
      </c>
      <c r="L28" s="88"/>
      <c r="M28" s="87" t="n">
        <v>4</v>
      </c>
      <c r="N28" s="73" t="e">
        <f>(($B$24)^M28)*((1-($B$24))^($B$21-M28))*HLOOKUP($B$21,$AV$24:$BF$34,M28+1)</f>
        <v>#DIV/0!</v>
      </c>
      <c r="O28" s="74" t="n">
        <v>4</v>
      </c>
      <c r="P28" s="73" t="e">
        <f>N28</f>
        <v>#DIV/0!</v>
      </c>
      <c r="Q28" s="30" t="n">
        <v>4</v>
      </c>
      <c r="R28" s="39" t="e">
        <f>P24*N28+P25*N27+P26*N26+P27*N25+P28*N24</f>
        <v>#DIV/0!</v>
      </c>
      <c r="S28" s="74" t="n">
        <v>4</v>
      </c>
      <c r="T28" s="135" t="e">
        <f>(($B$33)^S28)*((1-($B$33))^(INT($C$23*2*(1-$C$31))-S28))*HLOOKUP(INT($C$23*2*(1-$C$31)),$AV$24:$BF$34,S28+1)</f>
        <v>#DIV/0!</v>
      </c>
      <c r="U28" s="95" t="n">
        <v>4</v>
      </c>
      <c r="V28" s="88" t="e">
        <f>T28*R24+T27*R25+T26*R26+T25*R27+T24*R28</f>
        <v>#DIV/0!</v>
      </c>
      <c r="W28" s="137"/>
      <c r="X28" s="30" t="n">
        <v>4</v>
      </c>
      <c r="Y28" s="75"/>
      <c r="Z28" s="30" t="n">
        <v>4</v>
      </c>
      <c r="AA28" s="81"/>
      <c r="AB28" s="30" t="n">
        <v>4</v>
      </c>
      <c r="AC28" s="81"/>
      <c r="AD28" s="30" t="n">
        <v>4</v>
      </c>
      <c r="AE28" s="81"/>
      <c r="AF28" s="30" t="n">
        <v>4</v>
      </c>
      <c r="AG28" s="81" t="e">
        <f>((($W$24)^M28)*((1-($W$24))^($U$28-M28))*HLOOKUP($U$28,$AV$24:$BF$34,M28+1))*V28</f>
        <v>#DIV/0!</v>
      </c>
      <c r="AH28" s="30" t="n">
        <v>4</v>
      </c>
      <c r="AI28" s="81" t="e">
        <f>((($W$24)^M28)*((1-($W$24))^($U$29-M28))*HLOOKUP($U$29,$AV$24:$BF$34,M28+1))*V29</f>
        <v>#DIV/0!</v>
      </c>
      <c r="AJ28" s="30" t="n">
        <v>4</v>
      </c>
      <c r="AK28" s="81" t="e">
        <f>((($W$24)^M28)*((1-($W$24))^($U$30-M28))*HLOOKUP($U$30,$AV$24:$BF$34,M28+1))*V30</f>
        <v>#DIV/0!</v>
      </c>
      <c r="AL28" s="30" t="n">
        <v>4</v>
      </c>
      <c r="AM28" s="81" t="e">
        <f>((($W$24)^Q28)*((1-($W$24))^($U$31-Q28))*HLOOKUP($U$31,$AV$24:$BF$34,Q28+1))*V31</f>
        <v>#DIV/0!</v>
      </c>
      <c r="AN28" s="30" t="n">
        <v>4</v>
      </c>
      <c r="AO28" s="81" t="e">
        <f>((($W$24)^Q28)*((1-($W$24))^($U$32-Q28))*HLOOKUP($U$32,$AV$24:$BF$34,Q28+1))*V32</f>
        <v>#DIV/0!</v>
      </c>
      <c r="AP28" s="30" t="n">
        <v>4</v>
      </c>
      <c r="AQ28" s="81" t="e">
        <f>((($W$24)^Q28)*((1-($W$24))^($U$33-Q28))*HLOOKUP($U$33,$AV$24:$BF$34,Q28+1))*V33</f>
        <v>#DIV/0!</v>
      </c>
      <c r="AR28" s="30" t="n">
        <v>4</v>
      </c>
      <c r="AS28" s="81" t="e">
        <f>((($W$24)^Q28)*((1-($W$24))^($U$34-Q28))*HLOOKUP($U$34,$AV$24:$BF$34,Q28+1))*V34</f>
        <v>#DIV/0!</v>
      </c>
      <c r="AV28" s="16" t="n">
        <v>4</v>
      </c>
      <c r="AZ28" t="n">
        <v>1</v>
      </c>
      <c r="BA28" t="n">
        <v>5</v>
      </c>
      <c r="BB28" t="n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>BH20+1</f>
        <v>2</v>
      </c>
      <c r="BI28" t="n">
        <v>8</v>
      </c>
      <c r="BJ28" s="109" t="e">
        <f>$H$26*H46</f>
        <v>#DIV/0!</v>
      </c>
      <c r="BP28">
        <f>BP22+1</f>
        <v>7</v>
      </c>
      <c r="BQ28" t="n">
        <v>4</v>
      </c>
      <c r="BR28" s="109" t="e">
        <f>$H$31*H42</f>
        <v>#DIV/0!</v>
      </c>
    </row>
    <row r="29" spans="1:70">
      <c r="A29" s="28" t="s">
        <v>121</v>
      </c>
      <c r="B29" s="121">
        <f>1/(1+EXP(-3.1416*4*((B14/(B14+C13))-(3.1416/6))))</f>
        <v>0.200102310998572008</v>
      </c>
      <c r="C29" s="120">
        <f>1/(1+EXP(-3.1416*4*((C14/(C14+B13))-(3.1416/6))))</f>
        <v>0.575891899079775982</v>
      </c>
      <c r="D29" s="153" t="n">
        <v>0.04</v>
      </c>
      <c r="E29" s="153" t="n">
        <v>0.04</v>
      </c>
      <c r="G29" s="89" t="n">
        <v>5</v>
      </c>
      <c r="H29" s="128" t="e">
        <f>J29*L24+J28*L25+J27*L26+J26*L27</f>
        <v>#DIV/0!</v>
      </c>
      <c r="I29" s="95" t="n">
        <v>5</v>
      </c>
      <c r="J29" s="88" t="e">
        <f>Y29+AA29+AC29+AE29+AG29+AI29+AK29+AM29+AO29+AQ29+AS29</f>
        <v>#DIV/0!</v>
      </c>
      <c r="K29" s="95" t="n">
        <v>5</v>
      </c>
      <c r="L29" s="88"/>
      <c r="M29" s="87" t="n">
        <v>5</v>
      </c>
      <c r="N29" s="73" t="e">
        <f>(($B$24)^M29)*((1-($B$24))^($B$21-M29))*HLOOKUP($B$21,$AV$24:$BF$34,M29+1)</f>
        <v>#DIV/0!</v>
      </c>
      <c r="O29" s="74" t="n">
        <v>5</v>
      </c>
      <c r="P29" s="73" t="e">
        <f>N29</f>
        <v>#DIV/0!</v>
      </c>
      <c r="Q29" s="30" t="n">
        <v>5</v>
      </c>
      <c r="R29" s="39" t="e">
        <f>P24*N29+P25*N28+P26*N27+P27*N26+P28*N25+P29*N24</f>
        <v>#DIV/0!</v>
      </c>
      <c r="S29" s="74" t="n">
        <v>5</v>
      </c>
      <c r="T29" s="135" t="e">
        <f>(($B$33)^S29)*((1-($B$33))^(INT($C$23*2*(1-$C$31))-S29))*HLOOKUP(INT($C$23*2*(1-$C$31)),$AV$24:$BF$34,S29+1)</f>
        <v>#DIV/0!</v>
      </c>
      <c r="U29" s="95" t="n">
        <v>5</v>
      </c>
      <c r="V29" s="88" t="e">
        <f>T29*R24+T28*R25+T27*R26+T26*R27+T25*R28+T24*R29</f>
        <v>#DIV/0!</v>
      </c>
      <c r="W29" s="137"/>
      <c r="X29" s="30" t="n">
        <v>5</v>
      </c>
      <c r="Y29" s="75"/>
      <c r="Z29" s="30" t="n">
        <v>5</v>
      </c>
      <c r="AA29" s="81"/>
      <c r="AB29" s="30" t="n">
        <v>5</v>
      </c>
      <c r="AC29" s="81"/>
      <c r="AD29" s="30" t="n">
        <v>5</v>
      </c>
      <c r="AE29" s="81"/>
      <c r="AF29" s="30" t="n">
        <v>5</v>
      </c>
      <c r="AG29" s="81"/>
      <c r="AH29" s="30" t="n">
        <v>5</v>
      </c>
      <c r="AI29" s="81" t="e">
        <f>((($W$24)^M29)*((1-($W$24))^($U$29-M29))*HLOOKUP($U$29,$AV$24:$BF$34,M29+1))*V29</f>
        <v>#DIV/0!</v>
      </c>
      <c r="AJ29" s="30" t="n">
        <v>5</v>
      </c>
      <c r="AK29" s="81" t="e">
        <f>((($W$24)^M29)*((1-($W$24))^($U$30-M29))*HLOOKUP($U$30,$AV$24:$BF$34,M29+1))*V30</f>
        <v>#DIV/0!</v>
      </c>
      <c r="AL29" s="30" t="n">
        <v>5</v>
      </c>
      <c r="AM29" s="81" t="e">
        <f>((($W$24)^Q29)*((1-($W$24))^($U$31-Q29))*HLOOKUP($U$31,$AV$24:$BF$34,Q29+1))*V31</f>
        <v>#DIV/0!</v>
      </c>
      <c r="AN29" s="30" t="n">
        <v>5</v>
      </c>
      <c r="AO29" s="81" t="e">
        <f>((($W$24)^Q29)*((1-($W$24))^($U$32-Q29))*HLOOKUP($U$32,$AV$24:$BF$34,Q29+1))*V32</f>
        <v>#DIV/0!</v>
      </c>
      <c r="AP29" s="30" t="n">
        <v>5</v>
      </c>
      <c r="AQ29" s="81" t="e">
        <f>((($W$24)^Q29)*((1-($W$24))^($U$33-Q29))*HLOOKUP($U$33,$AV$24:$BF$34,Q29+1))*V33</f>
        <v>#DIV/0!</v>
      </c>
      <c r="AR29" s="30" t="n">
        <v>5</v>
      </c>
      <c r="AS29" s="81" t="e">
        <f>((($W$24)^Q29)*((1-($W$24))^($U$34-Q29))*HLOOKUP($U$34,$AV$24:$BF$34,Q29+1))*V34</f>
        <v>#DIV/0!</v>
      </c>
      <c r="AV29" s="16" t="n">
        <v>5</v>
      </c>
      <c r="BA29" t="n">
        <v>1</v>
      </c>
      <c r="BB29" t="n">
        <v>6</v>
      </c>
      <c r="BC29">
        <f>15+6</f>
        <v>21</v>
      </c>
      <c r="BD29">
        <f>35+21</f>
        <v>56</v>
      </c>
      <c r="BE29">
        <f>70+56</f>
        <v>126</v>
      </c>
      <c r="BF29">
        <f>BE28+BE29</f>
        <v>252</v>
      </c>
      <c r="BH29">
        <f>BH21+1</f>
        <v>2</v>
      </c>
      <c r="BI29" t="n">
        <v>9</v>
      </c>
      <c r="BJ29" s="109" t="e">
        <f>$H$26*H47</f>
        <v>#DIV/0!</v>
      </c>
      <c r="BP29">
        <f>BP23+1</f>
        <v>7</v>
      </c>
      <c r="BQ29" t="n">
        <v>5</v>
      </c>
      <c r="BR29" s="109" t="e">
        <f>$H$31*H43</f>
        <v>#DIV/0!</v>
      </c>
    </row>
    <row r="30" spans="1:70">
      <c r="A30" s="28" t="s">
        <v>122</v>
      </c>
      <c r="B30" s="122" t="n">
        <v>0.15</v>
      </c>
      <c r="C30" s="123" t="n">
        <v>0.15</v>
      </c>
      <c r="D30" s="153">
        <f>IF(B17="TL",0.875*B32,0.001)</f>
        <v>0.001</v>
      </c>
      <c r="E30" s="153">
        <f>IF(C17="TL",0.875*C32,0.001)</f>
        <v>0.001</v>
      </c>
      <c r="G30" s="89" t="n">
        <v>6</v>
      </c>
      <c r="H30" s="128" t="e">
        <f>J30*L24+J29*L25+J28*L26+J27*L27</f>
        <v>#DIV/0!</v>
      </c>
      <c r="I30" s="95" t="n">
        <v>6</v>
      </c>
      <c r="J30" s="88" t="e">
        <f>Y30+AA30+AC30+AE30+AG30+AI30+AK30+AM30+AO30+AQ30+AS30</f>
        <v>#DIV/0!</v>
      </c>
      <c r="K30" s="95" t="n">
        <v>6</v>
      </c>
      <c r="L30" s="88"/>
      <c r="M30" s="87"/>
      <c r="N30" s="75"/>
      <c r="O30" s="39"/>
      <c r="P30" s="39"/>
      <c r="Q30" s="30" t="n">
        <v>6</v>
      </c>
      <c r="R30" s="39" t="e">
        <f>P25*N29+P26*N28+P27*N27+P28*N26+P29*N25</f>
        <v>#DIV/0!</v>
      </c>
      <c r="S30" s="72" t="n">
        <v>6</v>
      </c>
      <c r="T30" s="135" t="e">
        <f>(($B$33)^S30)*((1-($B$33))^(INT($C$23*2*(1-$C$31))-S30))*HLOOKUP(INT($C$23*2*(1-$C$31)),$AV$24:$BF$34,S30+1)</f>
        <v>#DIV/0!</v>
      </c>
      <c r="U30" s="95" t="n">
        <v>6</v>
      </c>
      <c r="V30" s="88" t="e">
        <f>T30*R24+T29*R25+T28*R26+T27*R27+T26*R28+T25*R29+T24*R30</f>
        <v>#DIV/0!</v>
      </c>
      <c r="W30" s="137"/>
      <c r="X30" s="30" t="n">
        <v>6</v>
      </c>
      <c r="Y30" s="75"/>
      <c r="Z30" s="30" t="n">
        <v>6</v>
      </c>
      <c r="AA30" s="81"/>
      <c r="AB30" s="30" t="n">
        <v>6</v>
      </c>
      <c r="AC30" s="81"/>
      <c r="AD30" s="30" t="n">
        <v>6</v>
      </c>
      <c r="AE30" s="81"/>
      <c r="AF30" s="30" t="n">
        <v>6</v>
      </c>
      <c r="AG30" s="81"/>
      <c r="AH30" s="30" t="n">
        <v>6</v>
      </c>
      <c r="AI30" s="81"/>
      <c r="AJ30" s="30" t="n">
        <v>6</v>
      </c>
      <c r="AK30" s="81" t="e">
        <f>((($W$24)^Q30)*((1-($W$24))^($U$30-Q30))*HLOOKUP($U$30,$AV$24:$BF$34,Q30+1))*V30</f>
        <v>#DIV/0!</v>
      </c>
      <c r="AL30" s="30" t="n">
        <v>6</v>
      </c>
      <c r="AM30" s="81" t="e">
        <f>((($W$24)^Q30)*((1-($W$24))^($U$31-Q30))*HLOOKUP($U$31,$AV$24:$BF$34,Q30+1))*V31</f>
        <v>#DIV/0!</v>
      </c>
      <c r="AN30" s="30" t="n">
        <v>6</v>
      </c>
      <c r="AO30" s="81" t="e">
        <f>((($W$24)^Q30)*((1-($W$24))^($U$32-Q30))*HLOOKUP($U$32,$AV$24:$BF$34,Q30+1))*V32</f>
        <v>#DIV/0!</v>
      </c>
      <c r="AP30" s="30" t="n">
        <v>6</v>
      </c>
      <c r="AQ30" s="81" t="e">
        <f>((($W$24)^Q30)*((1-($W$24))^($U$33-Q30))*HLOOKUP($U$33,$AV$24:$BF$34,Q30+1))*V33</f>
        <v>#DIV/0!</v>
      </c>
      <c r="AR30" s="30" t="n">
        <v>6</v>
      </c>
      <c r="AS30" s="81" t="e">
        <f>((($W$24)^Q30)*((1-($W$24))^($U$34-Q30))*HLOOKUP($U$34,$AV$24:$BF$34,Q30+1))*V34</f>
        <v>#DIV/0!</v>
      </c>
      <c r="AV30" s="31" t="n">
        <v>6</v>
      </c>
      <c r="BB30" t="n">
        <v>1</v>
      </c>
      <c r="BC30" t="n">
        <v>7</v>
      </c>
      <c r="BD30">
        <f>28</f>
        <v>28</v>
      </c>
      <c r="BE30">
        <f>56+28</f>
        <v>84</v>
      </c>
      <c r="BF30">
        <f>BE29+BE30</f>
        <v>210</v>
      </c>
      <c r="BH30">
        <f>BH22+1</f>
        <v>2</v>
      </c>
      <c r="BI30" t="n">
        <v>10</v>
      </c>
      <c r="BJ30" s="109" t="e">
        <f>$H$26*H48</f>
        <v>#DIV/0!</v>
      </c>
      <c r="BP30">
        <f>BL10+1</f>
        <v>7</v>
      </c>
      <c r="BQ30" t="n">
        <v>6</v>
      </c>
      <c r="BR30" s="109" t="e">
        <f>$H$31*H44</f>
        <v>#DIV/0!</v>
      </c>
    </row>
    <row r="31" spans="1:70">
      <c r="A31" s="53" t="s">
        <v>123</v>
      </c>
      <c r="B31" s="62" t="e">
        <f>(B25*D25)+(B26*D26)+(B27*D27)+(B28*D28)+(B29*D29)+(B30*D30)/(B25+B26+B27+B28+B29+B30)</f>
        <v>#DIV/0!</v>
      </c>
      <c r="C31" s="63" t="e">
        <f>(C25*E25)+(C26*E26)+(C27*E27)+(C28*E28)+(C29*E29)+(C30*E30)/(C25+C26+C27+C28+C29+C30)</f>
        <v>#DIV/0!</v>
      </c>
      <c r="G31" s="89" t="n">
        <v>7</v>
      </c>
      <c r="H31" s="128" t="e">
        <f>J31*L24+J30*L25+J29*L26+J28*L27</f>
        <v>#DIV/0!</v>
      </c>
      <c r="I31" s="95" t="n">
        <v>7</v>
      </c>
      <c r="J31" s="88" t="e">
        <f>Y31+AA31+AC31+AE31+AG31+AI31+AK31+AM31+AO31+AQ31+AS31</f>
        <v>#DIV/0!</v>
      </c>
      <c r="K31" s="95" t="n">
        <v>7</v>
      </c>
      <c r="L31" s="88"/>
      <c r="M31" s="87"/>
      <c r="N31" s="75"/>
      <c r="O31" s="39"/>
      <c r="P31" s="39"/>
      <c r="Q31" s="30" t="n">
        <v>7</v>
      </c>
      <c r="R31" s="39" t="e">
        <f>P26*N29+P27*N28+P28*N27+P29*N26</f>
        <v>#DIV/0!</v>
      </c>
      <c r="S31" s="74" t="n">
        <v>7</v>
      </c>
      <c r="T31" s="135" t="e">
        <f>(($B$33)^S31)*((1-($B$33))^(INT($C$23*2*(1-$C$31))-S31))*HLOOKUP(INT($C$23*2*(1-$C$31)),$AV$24:$BF$34,S31+1)</f>
        <v>#DIV/0!</v>
      </c>
      <c r="U31" s="95" t="n">
        <v>7</v>
      </c>
      <c r="V31" s="88" t="e">
        <f>T31*R24+T30*R25+T29*R26+T28*R27+T27*R28+T26*R29+T25*R30+T24*R31</f>
        <v>#DIV/0!</v>
      </c>
      <c r="W31" s="137"/>
      <c r="X31" s="30" t="n">
        <v>7</v>
      </c>
      <c r="Y31" s="75"/>
      <c r="Z31" s="30" t="n">
        <v>7</v>
      </c>
      <c r="AA31" s="81"/>
      <c r="AB31" s="30" t="n">
        <v>7</v>
      </c>
      <c r="AC31" s="81"/>
      <c r="AD31" s="30" t="n">
        <v>7</v>
      </c>
      <c r="AE31" s="81"/>
      <c r="AF31" s="30" t="n">
        <v>7</v>
      </c>
      <c r="AG31" s="81"/>
      <c r="AH31" s="30" t="n">
        <v>7</v>
      </c>
      <c r="AI31" s="81"/>
      <c r="AJ31" s="30" t="n">
        <v>7</v>
      </c>
      <c r="AK31" s="81"/>
      <c r="AL31" s="30" t="n">
        <v>7</v>
      </c>
      <c r="AM31" s="81" t="e">
        <f>((($W$24)^Q31)*((1-($W$24))^($U$31-Q31))*HLOOKUP($U$31,$AV$24:$BF$34,Q31+1))*V31</f>
        <v>#DIV/0!</v>
      </c>
      <c r="AN31" s="30" t="n">
        <v>7</v>
      </c>
      <c r="AO31" s="81" t="e">
        <f>((($W$24)^Q31)*((1-($W$24))^($U$32-Q31))*HLOOKUP($U$32,$AV$24:$BF$34,Q31+1))*V32</f>
        <v>#DIV/0!</v>
      </c>
      <c r="AP31" s="30" t="n">
        <v>7</v>
      </c>
      <c r="AQ31" s="81" t="e">
        <f>((($W$24)^Q31)*((1-($W$24))^($U$33-Q31))*HLOOKUP($U$33,$AV$24:$BF$34,Q31+1))*V33</f>
        <v>#DIV/0!</v>
      </c>
      <c r="AR31" s="30" t="n">
        <v>7</v>
      </c>
      <c r="AS31" s="81" t="e">
        <f>((($W$24)^Q31)*((1-($W$24))^($U$34-Q31))*HLOOKUP($U$34,$AV$24:$BF$34,Q31+1))*V34</f>
        <v>#DIV/0!</v>
      </c>
      <c r="AV31" s="16" t="n">
        <v>7</v>
      </c>
      <c r="BC31" t="n">
        <v>1</v>
      </c>
      <c r="BD31" t="n">
        <v>8</v>
      </c>
      <c r="BE31">
        <f>28+8</f>
        <v>36</v>
      </c>
      <c r="BF31">
        <f>BE30+BE31</f>
        <v>120</v>
      </c>
      <c r="BH31">
        <f>BH24+1</f>
        <v>3</v>
      </c>
      <c r="BI31" t="n">
        <v>4</v>
      </c>
      <c r="BJ31" s="109" t="e">
        <f>$H$27*H42</f>
        <v>#DIV/0!</v>
      </c>
      <c r="BP31">
        <f>BP24+1</f>
        <v>8</v>
      </c>
      <c r="BQ31" t="n">
        <v>0</v>
      </c>
      <c r="BR31" s="109" t="e">
        <f>$H$32*H38</f>
        <v>#DIV/0!</v>
      </c>
    </row>
    <row r="32" spans="1:70">
      <c r="A32" s="28" t="s">
        <v>124</v>
      </c>
      <c r="B32" s="77">
        <f>IF(B17&lt;&gt;"TL",0.001,IF(B18&lt;5,0.1,IF(B18&lt;10,0.2,IF(B18&lt;14,0.3,0.35))))</f>
        <v>0.001</v>
      </c>
      <c r="C32" s="60">
        <f>IF(C17&lt;&gt;"TL",0.001,IF(C18&lt;5,0.1,IF(C18&lt;10,0.2,IF(C18&lt;14,0.3,0.35))))</f>
        <v>0.001</v>
      </c>
      <c r="G32" s="89" t="n">
        <v>8</v>
      </c>
      <c r="H32" s="128" t="e">
        <f>J32*L24+J31*L25+J30*L26+J29*L27</f>
        <v>#DIV/0!</v>
      </c>
      <c r="I32" s="95" t="n">
        <v>8</v>
      </c>
      <c r="J32" s="88" t="e">
        <f>Y32+AA32+AC32+AE32+AG32+AI32+AK32+AM32+AO32+AQ32+AS32</f>
        <v>#DIV/0!</v>
      </c>
      <c r="K32" s="95" t="n">
        <v>8</v>
      </c>
      <c r="L32" s="88"/>
      <c r="M32" s="87"/>
      <c r="N32" s="75"/>
      <c r="O32" s="39"/>
      <c r="P32" s="39"/>
      <c r="Q32" s="30" t="n">
        <v>8</v>
      </c>
      <c r="R32" s="39" t="e">
        <f>P27*N29+P28*N28+P29*N27</f>
        <v>#DIV/0!</v>
      </c>
      <c r="S32" s="74" t="n">
        <v>8</v>
      </c>
      <c r="T32" s="135" t="e">
        <f>(($B$33)^S32)*((1-($B$33))^(INT($C$23*2*(1-$C$31))-S32))*HLOOKUP(INT($C$23*2*(1-$C$31)),$AV$24:$BF$34,S32+1)</f>
        <v>#DIV/0!</v>
      </c>
      <c r="U32" s="95" t="n">
        <v>8</v>
      </c>
      <c r="V32" s="88" t="e">
        <f>T32*R24+T31*R25+T30*R26+T29*R27+T28*R28+T27*R29+T26*R30+T25*R31+T24*R32</f>
        <v>#DIV/0!</v>
      </c>
      <c r="W32" s="137"/>
      <c r="X32" s="30" t="n">
        <v>8</v>
      </c>
      <c r="Y32" s="75"/>
      <c r="Z32" s="30" t="n">
        <v>8</v>
      </c>
      <c r="AA32" s="81"/>
      <c r="AB32" s="30" t="n">
        <v>8</v>
      </c>
      <c r="AC32" s="81"/>
      <c r="AD32" s="30" t="n">
        <v>8</v>
      </c>
      <c r="AE32" s="81"/>
      <c r="AF32" s="30" t="n">
        <v>8</v>
      </c>
      <c r="AG32" s="81"/>
      <c r="AH32" s="30" t="n">
        <v>8</v>
      </c>
      <c r="AI32" s="81"/>
      <c r="AJ32" s="30" t="n">
        <v>8</v>
      </c>
      <c r="AK32" s="81"/>
      <c r="AL32" s="30" t="n">
        <v>8</v>
      </c>
      <c r="AM32" s="81"/>
      <c r="AN32" s="30" t="n">
        <v>8</v>
      </c>
      <c r="AO32" s="81" t="e">
        <f>((($W$24)^Q32)*((1-($W$24))^($U$32-Q32))*HLOOKUP($U$32,$AV$24:$BF$34,Q32+1))*V32</f>
        <v>#DIV/0!</v>
      </c>
      <c r="AP32" s="30" t="n">
        <v>8</v>
      </c>
      <c r="AQ32" s="81" t="e">
        <f>((($W$24)^Q32)*((1-($W$24))^($U$33-Q32))*HLOOKUP($U$33,$AV$24:$BF$34,Q32+1))*V33</f>
        <v>#DIV/0!</v>
      </c>
      <c r="AR32" s="30" t="n">
        <v>8</v>
      </c>
      <c r="AS32" s="81" t="e">
        <f>((($W$24)^Q32)*((1-($W$24))^($U$34-Q32))*HLOOKUP($U$34,$AV$24:$BF$34,Q32+1))*V34</f>
        <v>#DIV/0!</v>
      </c>
      <c r="AV32" s="16" t="n">
        <v>8</v>
      </c>
      <c r="BD32" t="n">
        <v>1</v>
      </c>
      <c r="BE32" t="n">
        <v>9</v>
      </c>
      <c r="BF32">
        <f>BE31+BE32</f>
        <v>45</v>
      </c>
      <c r="BH32">
        <f>BH25+1</f>
        <v>3</v>
      </c>
      <c r="BI32" t="n">
        <v>5</v>
      </c>
      <c r="BJ32" s="109" t="e">
        <f>$H$27*H43</f>
        <v>#DIV/0!</v>
      </c>
      <c r="BP32">
        <f>BP25+1</f>
        <v>8</v>
      </c>
      <c r="BQ32" t="n">
        <v>1</v>
      </c>
      <c r="BR32" s="109" t="e">
        <f>$H$32*H39</f>
        <v>#DIV/0!</v>
      </c>
    </row>
    <row r="33" spans="1:70">
      <c r="A33" s="28" t="s">
        <v>125</v>
      </c>
      <c r="B33" s="77">
        <f>IF(B17&lt;&gt;"CA",0.005,IF((B18-B16)&lt;0,0.1,0.1+0.055*(B18-B16)))</f>
        <v>0.005</v>
      </c>
      <c r="C33" s="60">
        <f>IF(C17&lt;&gt;"CA",0.005,IF((C18-C16)&lt;0,0.1,0.1+0.055*(C18-C16)))</f>
        <v>0.005</v>
      </c>
      <c r="G33" s="89" t="n">
        <v>9</v>
      </c>
      <c r="H33" s="128" t="e">
        <f>J33*L24+J32*L25+J31*L26+J30*L27</f>
        <v>#DIV/0!</v>
      </c>
      <c r="I33" s="95" t="n">
        <v>9</v>
      </c>
      <c r="J33" s="88" t="e">
        <f>Y33+AA33+AC33+AE33+AG33+AI33+AK33+AM33+AO33+AQ33+AS33</f>
        <v>#DIV/0!</v>
      </c>
      <c r="K33" s="95" t="n">
        <v>9</v>
      </c>
      <c r="L33" s="88"/>
      <c r="M33" s="87"/>
      <c r="N33" s="75"/>
      <c r="O33" s="39"/>
      <c r="P33" s="39"/>
      <c r="Q33" s="30" t="n">
        <v>9</v>
      </c>
      <c r="R33" s="39" t="e">
        <f>P28*N29+P29*N28</f>
        <v>#DIV/0!</v>
      </c>
      <c r="S33" s="74" t="n">
        <v>9</v>
      </c>
      <c r="T33" s="135" t="e">
        <f>(($B$33)^S33)*((1-($B$33))^(INT($C$23*2*(1-$C$31))-S33))*HLOOKUP(INT($C$23*2*(1-$C$31)),$AV$24:$BF$34,S33+1)</f>
        <v>#DIV/0!</v>
      </c>
      <c r="U33" s="95" t="n">
        <v>9</v>
      </c>
      <c r="V33" s="88" t="e">
        <f>T33*R24+T32*R25+T31*R26+T30*R27+T29*R28+T28*R29+T27*R30+T26*R31+T25*R32+T24*R33</f>
        <v>#DIV/0!</v>
      </c>
      <c r="W33" s="137"/>
      <c r="X33" s="30" t="n">
        <v>9</v>
      </c>
      <c r="Y33" s="75"/>
      <c r="Z33" s="30" t="n">
        <v>9</v>
      </c>
      <c r="AA33" s="81"/>
      <c r="AB33" s="30" t="n">
        <v>9</v>
      </c>
      <c r="AC33" s="81"/>
      <c r="AD33" s="30" t="n">
        <v>9</v>
      </c>
      <c r="AE33" s="81"/>
      <c r="AF33" s="30" t="n">
        <v>9</v>
      </c>
      <c r="AG33" s="81"/>
      <c r="AH33" s="30" t="n">
        <v>9</v>
      </c>
      <c r="AI33" s="81"/>
      <c r="AJ33" s="30" t="n">
        <v>9</v>
      </c>
      <c r="AK33" s="81"/>
      <c r="AL33" s="30" t="n">
        <v>9</v>
      </c>
      <c r="AM33" s="81"/>
      <c r="AN33" s="30" t="n">
        <v>9</v>
      </c>
      <c r="AO33" s="81"/>
      <c r="AP33" s="30" t="n">
        <v>9</v>
      </c>
      <c r="AQ33" s="81" t="e">
        <f>((($W$24)^Q33)*((1-($W$24))^($U$33-Q33))*HLOOKUP($U$33,$AV$24:$BF$34,Q33+1))*V33</f>
        <v>#DIV/0!</v>
      </c>
      <c r="AR33" s="30" t="n">
        <v>9</v>
      </c>
      <c r="AS33" s="81" t="e">
        <f>((($W$24)^Q33)*((1-($W$24))^($U$34-Q33))*HLOOKUP($U$34,$AV$24:$BF$34,Q33+1))*V34</f>
        <v>#DIV/0!</v>
      </c>
      <c r="AV33" s="31" t="n">
        <v>9</v>
      </c>
      <c r="BE33" t="n">
        <v>1</v>
      </c>
      <c r="BF33">
        <f>BE32+BE33</f>
        <v>10</v>
      </c>
      <c r="BH33">
        <f>BH26+1</f>
        <v>3</v>
      </c>
      <c r="BI33" t="n">
        <v>6</v>
      </c>
      <c r="BJ33" s="109" t="e">
        <f>$H$27*H44</f>
        <v>#DIV/0!</v>
      </c>
      <c r="BP33">
        <f>BP26+1</f>
        <v>8</v>
      </c>
      <c r="BQ33" t="n">
        <v>2</v>
      </c>
      <c r="BR33" s="109" t="e">
        <f>$H$32*H40</f>
        <v>#DIV/0!</v>
      </c>
    </row>
    <row r="34" spans="1:70">
      <c r="A34" s="42" t="s">
        <v>126</v>
      </c>
      <c r="B34" s="58" t="e">
        <f>B23*2</f>
        <v>#DIV/0!</v>
      </c>
      <c r="C34" s="59" t="e">
        <f>C23*2</f>
        <v>#DIV/0!</v>
      </c>
      <c r="G34" s="90" t="n">
        <v>10</v>
      </c>
      <c r="H34" s="129" t="e">
        <f>J34*L24+J33*L25+J32*L26+J31*L27</f>
        <v>#DIV/0!</v>
      </c>
      <c r="I34" s="96" t="n">
        <v>10</v>
      </c>
      <c r="J34" s="91" t="e">
        <f>Y34+AA34+AC34+AE34+AG34+AI34+AK34+AM34+AO34+AQ34+AS34</f>
        <v>#DIV/0!</v>
      </c>
      <c r="K34" s="96" t="n">
        <v>10</v>
      </c>
      <c r="L34" s="91"/>
      <c r="M34" s="87"/>
      <c r="N34" s="75"/>
      <c r="O34" s="39"/>
      <c r="P34" s="39"/>
      <c r="Q34" s="30" t="n">
        <v>10</v>
      </c>
      <c r="R34" s="39" t="e">
        <f>P29*N29</f>
        <v>#DIV/0!</v>
      </c>
      <c r="S34" s="74" t="n">
        <v>10</v>
      </c>
      <c r="T34" s="135" t="e">
        <f>(($B$33)^S34)*((1-($B$33))^(INT($C$23*2*(1-$C$31))-S34))*HLOOKUP(INT($C$23*2*(1-$C$31)),$AV$24:$BF$34,S34+1)</f>
        <v>#DIV/0!</v>
      </c>
      <c r="U34" s="96" t="n">
        <v>10</v>
      </c>
      <c r="V34" s="91" t="e">
        <f>IF(((T34*R24+T33*R25+T32*R26+T31*R27+T30*R28+T29*R29+T28*R30+T27*R31+T26*R32+T25*R33+T24*R34)+V22)&lt;&gt;1,1-V22,(T34*R24+T33*R25+T32*R26+T31*R27+T30*R28+T29*R29+T28*R30+T27*R31+T26*R32+T25*R33+T24*R34))</f>
        <v>#DIV/0!</v>
      </c>
      <c r="W34" s="137"/>
      <c r="X34" s="30" t="n">
        <v>10</v>
      </c>
      <c r="Y34" s="75"/>
      <c r="Z34" s="30" t="n">
        <v>10</v>
      </c>
      <c r="AA34" s="81"/>
      <c r="AB34" s="30" t="n">
        <v>10</v>
      </c>
      <c r="AC34" s="81"/>
      <c r="AD34" s="30" t="n">
        <v>10</v>
      </c>
      <c r="AE34" s="81"/>
      <c r="AF34" s="30" t="n">
        <v>10</v>
      </c>
      <c r="AG34" s="81"/>
      <c r="AH34" s="30" t="n">
        <v>10</v>
      </c>
      <c r="AI34" s="81"/>
      <c r="AJ34" s="30" t="n">
        <v>10</v>
      </c>
      <c r="AK34" s="81"/>
      <c r="AL34" s="30" t="n">
        <v>10</v>
      </c>
      <c r="AM34" s="81"/>
      <c r="AN34" s="30" t="n">
        <v>10</v>
      </c>
      <c r="AO34" s="81"/>
      <c r="AP34" s="30" t="n">
        <v>10</v>
      </c>
      <c r="AQ34" s="81"/>
      <c r="AR34" s="30" t="n">
        <v>10</v>
      </c>
      <c r="AS34" s="81" t="e">
        <f>((($W$24)^Q34)*((1-($W$24))^($U$34-Q34))*HLOOKUP($U$34,$AV$24:$BF$34,Q34+1))*V34</f>
        <v>#DIV/0!</v>
      </c>
      <c r="AV34" s="16" t="n">
        <v>10</v>
      </c>
      <c r="BF34">
        <f>BE33+BE34</f>
        <v>1</v>
      </c>
      <c r="BH34">
        <f>BH27+1</f>
        <v>3</v>
      </c>
      <c r="BI34" t="n">
        <v>7</v>
      </c>
      <c r="BJ34" s="109" t="e">
        <f>$H$27*H45</f>
        <v>#DIV/0!</v>
      </c>
      <c r="BP34">
        <f>BP27+1</f>
        <v>8</v>
      </c>
      <c r="BQ34" t="n">
        <v>3</v>
      </c>
      <c r="BR34" s="109" t="e">
        <f>$H$32*H41</f>
        <v>#DIV/0!</v>
      </c>
    </row>
    <row r="35" spans="7:70"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61" t="e">
        <f>SUM(V38:V48)</f>
        <v>#DIV/0!</v>
      </c>
      <c r="W35" s="15"/>
      <c r="X35" s="15"/>
      <c r="AS35" s="84" t="e">
        <f>Y36+AA36+AC36+AE36+AG36+AI36+AK36+AM36+AO36+AQ36+AS36</f>
        <v>#DIV/0!</v>
      </c>
      <c r="BH35">
        <f>BH28+1</f>
        <v>3</v>
      </c>
      <c r="BI35" t="n">
        <v>8</v>
      </c>
      <c r="BJ35" s="109" t="e">
        <f>$H$27*H46</f>
        <v>#DIV/0!</v>
      </c>
      <c r="BP35">
        <f>BP28+1</f>
        <v>8</v>
      </c>
      <c r="BQ35" t="n">
        <v>4</v>
      </c>
      <c r="BR35" s="109" t="e">
        <f>$H$32*H42</f>
        <v>#DIV/0!</v>
      </c>
    </row>
    <row r="36" spans="1:70">
      <c r="A36" s="3"/>
      <c r="B36" s="110" t="e">
        <f>SUM(B37:B39)</f>
        <v>#DIV/0!</v>
      </c>
      <c r="G36" s="15"/>
      <c r="H36" s="61" t="e">
        <f>SUM(H38:H48)</f>
        <v>#DIV/0!</v>
      </c>
      <c r="I36" s="15"/>
      <c r="J36" s="61" t="e">
        <f>SUM(J38:J48)</f>
        <v>#DIV/0!</v>
      </c>
      <c r="K36" s="61"/>
      <c r="L36" s="61" t="e">
        <f>SUM(L38:L48)</f>
        <v>#DIV/0!</v>
      </c>
      <c r="M36" s="15"/>
      <c r="N36" s="76" t="e">
        <f>SUM(N38:N48)</f>
        <v>#DIV/0!</v>
      </c>
      <c r="O36" s="15"/>
      <c r="P36" s="76" t="e">
        <f>SUM(P38:P48)</f>
        <v>#DIV/0!</v>
      </c>
      <c r="Q36" s="15"/>
      <c r="R36" s="61" t="e">
        <f>SUM(R38:R48)</f>
        <v>#DIV/0!</v>
      </c>
      <c r="S36" s="15"/>
      <c r="T36" s="61" t="e">
        <f>SUM(T38:T48)</f>
        <v>#DIV/0!</v>
      </c>
      <c r="U36" s="15"/>
      <c r="V36" s="61" t="e">
        <f>SUM(V38:V47)</f>
        <v>#DIV/0!</v>
      </c>
      <c r="W36" s="15"/>
      <c r="X36" s="15"/>
      <c r="Y36" s="82" t="e">
        <f>SUM(Y38:Y48)</f>
        <v>#DIV/0!</v>
      </c>
      <c r="Z36" s="83"/>
      <c r="AA36" s="82" t="e">
        <f>SUM(AA38:AA48)</f>
        <v>#DIV/0!</v>
      </c>
      <c r="AB36" s="83"/>
      <c r="AC36" s="82" t="e">
        <f>SUM(AC38:AC48)</f>
        <v>#DIV/0!</v>
      </c>
      <c r="AD36" s="83"/>
      <c r="AE36" s="82" t="e">
        <f>SUM(AE38:AE48)</f>
        <v>#DIV/0!</v>
      </c>
      <c r="AF36" s="83"/>
      <c r="AG36" s="82" t="e">
        <f>SUM(AG38:AG48)</f>
        <v>#DIV/0!</v>
      </c>
      <c r="AH36" s="83"/>
      <c r="AI36" s="82" t="e">
        <f>SUM(AI38:AI48)</f>
        <v>#DIV/0!</v>
      </c>
      <c r="AJ36" s="83"/>
      <c r="AK36" s="82" t="e">
        <f>SUM(AK38:AK48)</f>
        <v>#DIV/0!</v>
      </c>
      <c r="AL36" s="83"/>
      <c r="AM36" s="82" t="e">
        <f>SUM(AM38:AM48)</f>
        <v>#DIV/0!</v>
      </c>
      <c r="AN36" s="83"/>
      <c r="AO36" s="82" t="e">
        <f>SUM(AO38:AO48)</f>
        <v>#DIV/0!</v>
      </c>
      <c r="AP36" s="83"/>
      <c r="AQ36" s="82" t="e">
        <f>SUM(AQ38:AQ48)</f>
        <v>#DIV/0!</v>
      </c>
      <c r="AR36" s="83"/>
      <c r="AS36" s="82" t="e">
        <f>SUM(AS38:AS48)</f>
        <v>#DIV/0!</v>
      </c>
      <c r="BH36">
        <f>BH29+1</f>
        <v>3</v>
      </c>
      <c r="BI36" t="n">
        <v>9</v>
      </c>
      <c r="BJ36" s="109" t="e">
        <f>$H$27*H47</f>
        <v>#DIV/0!</v>
      </c>
      <c r="BP36">
        <f>BP29+1</f>
        <v>8</v>
      </c>
      <c r="BQ36" t="n">
        <v>5</v>
      </c>
      <c r="BR36" s="109" t="e">
        <f>$H$32*H43</f>
        <v>#DIV/0!</v>
      </c>
    </row>
    <row r="37" spans="1:70">
      <c r="A37" s="111" t="s">
        <v>127</v>
      </c>
      <c r="B37" s="109" t="e">
        <f>SUM(BN4:BN14)</f>
        <v>#DIV/0!</v>
      </c>
      <c r="G37" s="105" t="str">
        <f>G23</f>
        <v>G</v>
      </c>
      <c r="H37" s="106" t="str">
        <f>H23</f>
        <v>p</v>
      </c>
      <c r="I37" s="105" t="str">
        <f>I23</f>
        <v>GT</v>
      </c>
      <c r="J37" s="107" t="str">
        <f>J23</f>
        <v>p(x)</v>
      </c>
      <c r="K37" s="108" t="str">
        <f>K23</f>
        <v>EE(x)</v>
      </c>
      <c r="L37" s="107" t="str">
        <f>L23</f>
        <v>p</v>
      </c>
      <c r="M37" s="92" t="str">
        <f>M23</f>
        <v>OcaS</v>
      </c>
      <c r="N37" s="32" t="str">
        <f>N23</f>
        <v>P</v>
      </c>
      <c r="O37" s="32" t="str">
        <f>O23</f>
        <v>O_CA</v>
      </c>
      <c r="P37" s="32" t="str">
        <f>P23</f>
        <v>p</v>
      </c>
      <c r="Q37" s="32" t="str">
        <f>Q23</f>
        <v>TotalN</v>
      </c>
      <c r="R37" s="32" t="str">
        <f>R23</f>
        <v>p</v>
      </c>
      <c r="S37" s="32" t="str">
        <f>S23</f>
        <v>OcaCA</v>
      </c>
      <c r="T37" s="141" t="str">
        <f>T23</f>
        <v>p</v>
      </c>
      <c r="U37" s="142" t="str">
        <f>U23</f>
        <v>Total</v>
      </c>
      <c r="V37" s="143" t="str">
        <f>V23</f>
        <v>P</v>
      </c>
      <c r="W37" s="92" t="str">
        <f>W23</f>
        <v>E(x)</v>
      </c>
      <c r="X37" s="32" t="str">
        <f>X23</f>
        <v>G0</v>
      </c>
      <c r="Y37" s="32" t="str">
        <f>Y23</f>
        <v>p</v>
      </c>
      <c r="Z37" s="32" t="str">
        <f>Z23</f>
        <v>G1</v>
      </c>
      <c r="AA37" s="32" t="str">
        <f>AA23</f>
        <v>p</v>
      </c>
      <c r="AB37" s="32" t="str">
        <f>AB23</f>
        <v>G2</v>
      </c>
      <c r="AC37" s="32" t="str">
        <f>AC23</f>
        <v>p</v>
      </c>
      <c r="AD37" s="32" t="str">
        <f>AD23</f>
        <v>G3</v>
      </c>
      <c r="AE37" s="32" t="str">
        <f>AE23</f>
        <v>p</v>
      </c>
      <c r="AF37" s="32" t="str">
        <f>AF23</f>
        <v>G4</v>
      </c>
      <c r="AG37" s="32" t="str">
        <f>AG23</f>
        <v>p</v>
      </c>
      <c r="AH37" s="32" t="str">
        <f>AH23</f>
        <v>G5</v>
      </c>
      <c r="AI37" s="32" t="str">
        <f>AI23</f>
        <v>p</v>
      </c>
      <c r="AJ37" s="32" t="str">
        <f>AJ23</f>
        <v>G6</v>
      </c>
      <c r="AK37" s="32" t="str">
        <f>AK23</f>
        <v>p</v>
      </c>
      <c r="AL37" s="32" t="str">
        <f>AL23</f>
        <v>G7</v>
      </c>
      <c r="AM37" s="32" t="str">
        <f>AM23</f>
        <v>p</v>
      </c>
      <c r="AN37" s="32" t="str">
        <f>AN23</f>
        <v>G8</v>
      </c>
      <c r="AO37" s="32" t="str">
        <f>AO23</f>
        <v>p</v>
      </c>
      <c r="AP37" s="32" t="str">
        <f>AP23</f>
        <v>G9</v>
      </c>
      <c r="AQ37" s="32" t="str">
        <f>AQ23</f>
        <v>p</v>
      </c>
      <c r="AR37" s="32" t="str">
        <f>AR23</f>
        <v>G10</v>
      </c>
      <c r="AS37" s="32" t="str">
        <f>AS23</f>
        <v>p</v>
      </c>
      <c r="BH37">
        <f>BH30+1</f>
        <v>3</v>
      </c>
      <c r="BI37" t="n">
        <v>10</v>
      </c>
      <c r="BJ37" s="109" t="e">
        <f>$H$27*H48</f>
        <v>#DIV/0!</v>
      </c>
      <c r="BP37">
        <f>BP30+1</f>
        <v>8</v>
      </c>
      <c r="BQ37" t="n">
        <v>6</v>
      </c>
      <c r="BR37" s="109" t="e">
        <f>$H$32*H44</f>
        <v>#DIV/0!</v>
      </c>
    </row>
    <row r="38" spans="1:70">
      <c r="A38" s="112" t="s">
        <v>128</v>
      </c>
      <c r="B38" s="109" t="e">
        <f>SUM(BJ4:BJ59)</f>
        <v>#DIV/0!</v>
      </c>
      <c r="G38" s="130" t="n">
        <v>0</v>
      </c>
      <c r="H38" s="131" t="e">
        <f>L38*J38</f>
        <v>#DIV/0!</v>
      </c>
      <c r="I38" s="99" t="n">
        <v>0</v>
      </c>
      <c r="J38" s="100" t="e">
        <f>Y38+AA38+AC38+AE38+AG38+AI38+AK38+AM38+AO38+AQ38+AS38</f>
        <v>#DIV/0!</v>
      </c>
      <c r="K38" s="104" t="n">
        <v>0</v>
      </c>
      <c r="L38" s="100" t="e">
        <f>AC20</f>
        <v>#DIV/0!</v>
      </c>
      <c r="M38" s="86" t="n">
        <v>0</v>
      </c>
      <c r="N38" s="73" t="e">
        <f>(1-$C$24)^$B$21</f>
        <v>#DIV/0!</v>
      </c>
      <c r="O38" s="72" t="n">
        <v>0</v>
      </c>
      <c r="P38" s="73" t="e">
        <f>N38</f>
        <v>#DIV/0!</v>
      </c>
      <c r="Q38" s="14" t="n">
        <v>0</v>
      </c>
      <c r="R38" s="75" t="e">
        <f>P38*N38</f>
        <v>#DIV/0!</v>
      </c>
      <c r="S38" s="72" t="n">
        <v>0</v>
      </c>
      <c r="T38" s="135" t="e">
        <f>(1-$C$33)^(INT(B23*2*(1-B31)))</f>
        <v>#DIV/0!</v>
      </c>
      <c r="U38" s="140" t="n">
        <v>0</v>
      </c>
      <c r="V38" s="88" t="e">
        <f>R38*T38</f>
        <v>#DIV/0!</v>
      </c>
      <c r="W38" s="136" t="e">
        <f>C31</f>
        <v>#DIV/0!</v>
      </c>
      <c r="X38" s="14" t="n">
        <v>0</v>
      </c>
      <c r="Y38" s="81" t="e">
        <f>V38</f>
        <v>#DIV/0!</v>
      </c>
      <c r="Z38" s="14" t="n">
        <v>0</v>
      </c>
      <c r="AA38" s="80" t="e">
        <f>((1-W38)^Z39)*V39</f>
        <v>#DIV/0!</v>
      </c>
      <c r="AB38" s="14" t="n">
        <v>0</v>
      </c>
      <c r="AC38" s="81" t="e">
        <f>(((1-$W$38)^AB40))*V40</f>
        <v>#DIV/0!</v>
      </c>
      <c r="AD38" s="14" t="n">
        <v>0</v>
      </c>
      <c r="AE38" s="81" t="e">
        <f>(((1-$W$38)^AB41))*V41</f>
        <v>#DIV/0!</v>
      </c>
      <c r="AF38" s="14" t="n">
        <v>0</v>
      </c>
      <c r="AG38" s="81" t="e">
        <f>(((1-$W$38)^AB42))*V42</f>
        <v>#DIV/0!</v>
      </c>
      <c r="AH38" s="14" t="n">
        <v>0</v>
      </c>
      <c r="AI38" s="81" t="e">
        <f>(((1-$W$38)^AB43))*V43</f>
        <v>#DIV/0!</v>
      </c>
      <c r="AJ38" s="14" t="n">
        <v>0</v>
      </c>
      <c r="AK38" s="81" t="e">
        <f>(((1-$W$38)^AB44))*V44</f>
        <v>#DIV/0!</v>
      </c>
      <c r="AL38" s="14" t="n">
        <v>0</v>
      </c>
      <c r="AM38" s="81" t="e">
        <f>(((1-$W$38)^AB45))*V45</f>
        <v>#DIV/0!</v>
      </c>
      <c r="AN38" s="14" t="n">
        <v>0</v>
      </c>
      <c r="AO38" s="81" t="e">
        <f>(((1-$W$38)^AB46))*V46</f>
        <v>#DIV/0!</v>
      </c>
      <c r="AP38" s="14" t="n">
        <v>0</v>
      </c>
      <c r="AQ38" s="81" t="e">
        <f>(((1-$W$38)^AB47))*V47</f>
        <v>#DIV/0!</v>
      </c>
      <c r="AR38" s="14" t="n">
        <v>0</v>
      </c>
      <c r="AS38" s="81" t="e">
        <f>(((1-$W$38)^AB48))*V48</f>
        <v>#DIV/0!</v>
      </c>
      <c r="AV38" s="16" t="n">
        <v>0</v>
      </c>
      <c r="AW38" s="16" t="n">
        <v>1</v>
      </c>
      <c r="AX38" s="16" t="n">
        <v>2</v>
      </c>
      <c r="AY38" s="16" t="n">
        <v>3</v>
      </c>
      <c r="AZ38" s="16" t="n">
        <v>4</v>
      </c>
      <c r="BA38" s="16" t="n">
        <v>5</v>
      </c>
      <c r="BB38" s="16" t="n">
        <v>6</v>
      </c>
      <c r="BC38" s="16" t="n">
        <v>7</v>
      </c>
      <c r="BD38" s="16" t="n">
        <v>8</v>
      </c>
      <c r="BE38" s="16" t="n">
        <v>9</v>
      </c>
      <c r="BF38" s="16" t="n">
        <v>10</v>
      </c>
      <c r="BH38">
        <f>BH32+1</f>
        <v>4</v>
      </c>
      <c r="BI38" t="n">
        <v>5</v>
      </c>
      <c r="BJ38" s="109" t="e">
        <f>$H$28*H43</f>
        <v>#DIV/0!</v>
      </c>
      <c r="BP38">
        <f>BL11+1</f>
        <v>8</v>
      </c>
      <c r="BQ38" t="n">
        <v>7</v>
      </c>
      <c r="BR38" s="109" t="e">
        <f>$H$32*H45</f>
        <v>#DIV/0!</v>
      </c>
    </row>
    <row r="39" spans="1:70">
      <c r="A39" s="113" t="s">
        <v>129</v>
      </c>
      <c r="B39" s="109" t="e">
        <f>SUM(BR4:BR47)</f>
        <v>#DIV/0!</v>
      </c>
      <c r="G39" s="93" t="n">
        <v>1</v>
      </c>
      <c r="H39" s="132" t="e">
        <f>L38*J39+L39*J38</f>
        <v>#DIV/0!</v>
      </c>
      <c r="I39" s="95" t="n">
        <v>1</v>
      </c>
      <c r="J39" s="88" t="e">
        <f>Y39+AA39+AC39+AE39+AG39+AI39+AK39+AM39+AO39+AQ39+AS39</f>
        <v>#DIV/0!</v>
      </c>
      <c r="K39" s="97" t="n">
        <v>1</v>
      </c>
      <c r="L39" s="88" t="e">
        <f>AD20</f>
        <v>#DIV/0!</v>
      </c>
      <c r="M39" s="87" t="n">
        <v>1</v>
      </c>
      <c r="N39" s="73" t="e">
        <f>(($C$24)^M25)*((1-($C$24))^($B$21-M25))*HLOOKUP($B$21,$AV$24:$BF$34,M25+1)</f>
        <v>#DIV/0!</v>
      </c>
      <c r="O39" s="74" t="n">
        <v>1</v>
      </c>
      <c r="P39" s="73" t="e">
        <f>N39</f>
        <v>#DIV/0!</v>
      </c>
      <c r="Q39" s="30" t="n">
        <v>1</v>
      </c>
      <c r="R39" s="39" t="e">
        <f>P39*N38+P38*N39</f>
        <v>#DIV/0!</v>
      </c>
      <c r="S39" s="74" t="n">
        <v>1</v>
      </c>
      <c r="T39" s="135" t="e">
        <f>(($C$33)^S39)*((1-($C$33))^(INT($B$23*2*(1-$B$31))-S39))*HLOOKUP(INT($B$23*2*(1-$B$31)),$AV$24:$BF$34,S39+1)</f>
        <v>#DIV/0!</v>
      </c>
      <c r="U39" s="95" t="n">
        <v>1</v>
      </c>
      <c r="V39" s="88" t="e">
        <f>R39*T38+T39*R38</f>
        <v>#DIV/0!</v>
      </c>
      <c r="W39" s="137"/>
      <c r="X39" s="30" t="n">
        <v>1</v>
      </c>
      <c r="Y39" s="75"/>
      <c r="Z39" s="30" t="n">
        <v>1</v>
      </c>
      <c r="AA39" s="81" t="e">
        <f>(1-((1-W38)^Z39))*V39</f>
        <v>#DIV/0!</v>
      </c>
      <c r="AB39" s="30" t="n">
        <v>1</v>
      </c>
      <c r="AC39" s="81" t="e">
        <f>((($W$38)^M39)*((1-($W$38))^($U$26-M39))*HLOOKUP($U$26,$AV$24:$BF$34,M39+1))*V40</f>
        <v>#DIV/0!</v>
      </c>
      <c r="AD39" s="30" t="n">
        <v>1</v>
      </c>
      <c r="AE39" s="81" t="e">
        <f>((($W$38)^M39)*((1-($W$38))^($U$27-M39))*HLOOKUP($U$27,$AV$24:$BF$34,M39+1))*V41</f>
        <v>#DIV/0!</v>
      </c>
      <c r="AF39" s="30" t="n">
        <v>1</v>
      </c>
      <c r="AG39" s="81" t="e">
        <f>((($W$38)^M39)*((1-($W$38))^($U$28-M39))*HLOOKUP($U$28,$AV$24:$BF$34,M39+1))*V42</f>
        <v>#DIV/0!</v>
      </c>
      <c r="AH39" s="30" t="n">
        <v>1</v>
      </c>
      <c r="AI39" s="81" t="e">
        <f>((($W$38)^M39)*((1-($W$38))^($U$29-M39))*HLOOKUP($U$29,$AV$24:$BF$34,M39+1))*V43</f>
        <v>#DIV/0!</v>
      </c>
      <c r="AJ39" s="30" t="n">
        <v>1</v>
      </c>
      <c r="AK39" s="81" t="e">
        <f>((($W$38)^M39)*((1-($W$38))^($U$30-M39))*HLOOKUP($U$30,$AV$24:$BF$34,M39+1))*V44</f>
        <v>#DIV/0!</v>
      </c>
      <c r="AL39" s="30" t="n">
        <v>1</v>
      </c>
      <c r="AM39" s="81" t="e">
        <f>((($W$38)^Q39)*((1-($W$38))^($U$31-Q39))*HLOOKUP($U$31,$AV$24:$BF$34,Q39+1))*V45</f>
        <v>#DIV/0!</v>
      </c>
      <c r="AN39" s="30" t="n">
        <v>1</v>
      </c>
      <c r="AO39" s="81" t="e">
        <f>((($W$38)^Q39)*((1-($W$38))^($U$32-Q39))*HLOOKUP($U$32,$AV$24:$BF$34,Q39+1))*V46</f>
        <v>#DIV/0!</v>
      </c>
      <c r="AP39" s="30" t="n">
        <v>1</v>
      </c>
      <c r="AQ39" s="81" t="e">
        <f>((($W$38)^Q39)*((1-($W$38))^($U$33-Q39))*HLOOKUP($U$33,$AV$24:$BF$34,Q39+1))*V47</f>
        <v>#DIV/0!</v>
      </c>
      <c r="AR39" s="30" t="n">
        <v>1</v>
      </c>
      <c r="AS39" s="81" t="e">
        <f>((($W$38)^Q39)*((1-($W$38))^($U$34-Q39))*HLOOKUP($U$34,$AV$24:$BF$34,Q39+1))*V48</f>
        <v>#DIV/0!</v>
      </c>
      <c r="AV39" s="16" t="n">
        <v>1</v>
      </c>
      <c r="AW39" t="n">
        <v>1</v>
      </c>
      <c r="AX39" t="n">
        <v>2</v>
      </c>
      <c r="AY39" t="n">
        <v>3</v>
      </c>
      <c r="AZ39" t="n">
        <v>4</v>
      </c>
      <c r="BA39" t="n">
        <v>5</v>
      </c>
      <c r="BB39" t="n">
        <v>6</v>
      </c>
      <c r="BC39">
        <f>7</f>
        <v>7</v>
      </c>
      <c r="BD39" t="n">
        <v>8</v>
      </c>
      <c r="BE39" t="n">
        <v>9</v>
      </c>
      <c r="BF39" t="n">
        <v>10</v>
      </c>
      <c r="BH39">
        <f>BH33+1</f>
        <v>4</v>
      </c>
      <c r="BI39" t="n">
        <v>6</v>
      </c>
      <c r="BJ39" s="109" t="e">
        <f>$H$28*H44</f>
        <v>#DIV/0!</v>
      </c>
      <c r="BP39">
        <f>BP31+1</f>
        <v>9</v>
      </c>
      <c r="BQ39" t="n">
        <v>0</v>
      </c>
      <c r="BR39" s="109" t="e">
        <f>$H$33*H38</f>
        <v>#DIV/0!</v>
      </c>
    </row>
    <row r="40" spans="7:70">
      <c r="G40" s="93" t="n">
        <v>2</v>
      </c>
      <c r="H40" s="132" t="e">
        <f>L38*J40+J39*L39+J38*L40</f>
        <v>#DIV/0!</v>
      </c>
      <c r="I40" s="95" t="n">
        <v>2</v>
      </c>
      <c r="J40" s="88" t="e">
        <f>Y40+AA40+AC40+AE40+AG40+AI40+AK40+AM40+AO40+AQ40+AS40</f>
        <v>#DIV/0!</v>
      </c>
      <c r="K40" s="97" t="n">
        <v>2</v>
      </c>
      <c r="L40" s="88" t="e">
        <f>AE20</f>
        <v>#DIV/0!</v>
      </c>
      <c r="M40" s="87" t="n">
        <v>2</v>
      </c>
      <c r="N40" s="73" t="e">
        <f>(($C$24)^M26)*((1-($C$24))^($B$21-M26))*HLOOKUP($B$21,$AV$24:$BF$34,M26+1)</f>
        <v>#DIV/0!</v>
      </c>
      <c r="O40" s="74" t="n">
        <v>2</v>
      </c>
      <c r="P40" s="73" t="e">
        <f>N40</f>
        <v>#DIV/0!</v>
      </c>
      <c r="Q40" s="30" t="n">
        <v>2</v>
      </c>
      <c r="R40" s="39" t="e">
        <f>P40*N38+P39*N39+P38*N40</f>
        <v>#DIV/0!</v>
      </c>
      <c r="S40" s="74" t="n">
        <v>2</v>
      </c>
      <c r="T40" s="135" t="e">
        <f>(($C$33)^S40)*((1-($C$33))^(INT($B$23*2*(1-$B$31))-S40))*HLOOKUP(INT($B$23*2*(1-$B$31)),$AV$24:$BF$34,S40+1)</f>
        <v>#DIV/0!</v>
      </c>
      <c r="U40" s="95" t="n">
        <v>2</v>
      </c>
      <c r="V40" s="88" t="e">
        <f>R40*T38+T39*R39+R38*T40</f>
        <v>#DIV/0!</v>
      </c>
      <c r="W40" s="137"/>
      <c r="X40" s="30" t="n">
        <v>2</v>
      </c>
      <c r="Y40" s="75"/>
      <c r="Z40" s="30" t="n">
        <v>2</v>
      </c>
      <c r="AA40" s="81"/>
      <c r="AB40" s="30" t="n">
        <v>2</v>
      </c>
      <c r="AC40" s="81" t="e">
        <f>((($W$38)^M40)*((1-($W$38))^($U$26-M40))*HLOOKUP($U$26,$AV$24:$BF$34,M40+1))*V40</f>
        <v>#DIV/0!</v>
      </c>
      <c r="AD40" s="30" t="n">
        <v>2</v>
      </c>
      <c r="AE40" s="81" t="e">
        <f>((($W$38)^M40)*((1-($W$38))^($U$27-M40))*HLOOKUP($U$27,$AV$24:$BF$34,M40+1))*V41</f>
        <v>#DIV/0!</v>
      </c>
      <c r="AF40" s="30" t="n">
        <v>2</v>
      </c>
      <c r="AG40" s="81" t="e">
        <f>((($W$38)^M40)*((1-($W$38))^($U$28-M40))*HLOOKUP($U$28,$AV$24:$BF$34,M40+1))*V42</f>
        <v>#DIV/0!</v>
      </c>
      <c r="AH40" s="30" t="n">
        <v>2</v>
      </c>
      <c r="AI40" s="81" t="e">
        <f>((($W$38)^M40)*((1-($W$38))^($U$29-M40))*HLOOKUP($U$29,$AV$24:$BF$34,M40+1))*V43</f>
        <v>#DIV/0!</v>
      </c>
      <c r="AJ40" s="30" t="n">
        <v>2</v>
      </c>
      <c r="AK40" s="81" t="e">
        <f>((($W$38)^M40)*((1-($W$38))^($U$30-M40))*HLOOKUP($U$30,$AV$24:$BF$34,M40+1))*V44</f>
        <v>#DIV/0!</v>
      </c>
      <c r="AL40" s="30" t="n">
        <v>2</v>
      </c>
      <c r="AM40" s="81" t="e">
        <f>((($W$38)^Q40)*((1-($W$38))^($U$31-Q40))*HLOOKUP($U$31,$AV$24:$BF$34,Q40+1))*V45</f>
        <v>#DIV/0!</v>
      </c>
      <c r="AN40" s="30" t="n">
        <v>2</v>
      </c>
      <c r="AO40" s="81" t="e">
        <f>((($W$38)^Q40)*((1-($W$38))^($U$32-Q40))*HLOOKUP($U$32,$AV$24:$BF$34,Q40+1))*V46</f>
        <v>#DIV/0!</v>
      </c>
      <c r="AP40" s="30" t="n">
        <v>2</v>
      </c>
      <c r="AQ40" s="81" t="e">
        <f>((($W$38)^Q40)*((1-($W$38))^($U$33-Q40))*HLOOKUP($U$33,$AV$24:$BF$34,Q40+1))*V47</f>
        <v>#DIV/0!</v>
      </c>
      <c r="AR40" s="30" t="n">
        <v>2</v>
      </c>
      <c r="AS40" s="81" t="e">
        <f>((($W$38)^Q40)*((1-($W$38))^($U$34-Q40))*HLOOKUP($U$34,$AV$24:$BF$34,Q40+1))*V48</f>
        <v>#DIV/0!</v>
      </c>
      <c r="AV40" s="16" t="n">
        <v>2</v>
      </c>
      <c r="AX40" t="n">
        <v>1</v>
      </c>
      <c r="AY40" t="n">
        <v>3</v>
      </c>
      <c r="AZ40" t="n">
        <v>6</v>
      </c>
      <c r="BA40" t="n">
        <v>10</v>
      </c>
      <c r="BB40" t="n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>BH34+1</f>
        <v>4</v>
      </c>
      <c r="BI40" t="n">
        <v>7</v>
      </c>
      <c r="BJ40" s="109" t="e">
        <f>$H$28*H45</f>
        <v>#DIV/0!</v>
      </c>
      <c r="BP40">
        <f>BP32+1</f>
        <v>9</v>
      </c>
      <c r="BQ40" t="n">
        <v>1</v>
      </c>
      <c r="BR40" s="109" t="e">
        <f>$H$33*H39</f>
        <v>#DIV/0!</v>
      </c>
    </row>
    <row r="41" spans="7:70">
      <c r="G41" s="93" t="n">
        <v>3</v>
      </c>
      <c r="H41" s="132" t="e">
        <f>J41*L38+J40*L39+L41*J38+L40*J39</f>
        <v>#DIV/0!</v>
      </c>
      <c r="I41" s="95" t="n">
        <v>3</v>
      </c>
      <c r="J41" s="88" t="e">
        <f>Y41+AA41+AC41+AE41+AG41+AI41+AK41+AM41+AO41+AQ41+AS41</f>
        <v>#DIV/0!</v>
      </c>
      <c r="K41" s="97" t="n">
        <v>3</v>
      </c>
      <c r="L41" s="88" t="e">
        <f>AF20</f>
        <v>#DIV/0!</v>
      </c>
      <c r="M41" s="87" t="n">
        <v>3</v>
      </c>
      <c r="N41" s="73" t="e">
        <f>(($C$24)^M27)*((1-($C$24))^($B$21-M27))*HLOOKUP($B$21,$AV$24:$BF$34,M27+1)</f>
        <v>#DIV/0!</v>
      </c>
      <c r="O41" s="74" t="n">
        <v>3</v>
      </c>
      <c r="P41" s="73" t="e">
        <f>N41</f>
        <v>#DIV/0!</v>
      </c>
      <c r="Q41" s="30" t="n">
        <v>3</v>
      </c>
      <c r="R41" s="39" t="e">
        <f>P41*N38+P40*N39+P39*N40+P38*N41</f>
        <v>#DIV/0!</v>
      </c>
      <c r="S41" s="74" t="n">
        <v>3</v>
      </c>
      <c r="T41" s="135" t="e">
        <f>(($C$33)^S41)*((1-($C$33))^(INT($B$23*2*(1-$B$31))-S41))*HLOOKUP(INT($B$23*2*(1-$B$31)),$AV$24:$BF$34,S41+1)</f>
        <v>#DIV/0!</v>
      </c>
      <c r="U41" s="95" t="n">
        <v>3</v>
      </c>
      <c r="V41" s="88" t="e">
        <f>R41*T38+R40*T39+R39*T40+R38*T41</f>
        <v>#DIV/0!</v>
      </c>
      <c r="W41" s="137"/>
      <c r="X41" s="30" t="n">
        <v>3</v>
      </c>
      <c r="Y41" s="75"/>
      <c r="Z41" s="30" t="n">
        <v>3</v>
      </c>
      <c r="AA41" s="81"/>
      <c r="AB41" s="30" t="n">
        <v>3</v>
      </c>
      <c r="AC41" s="81"/>
      <c r="AD41" s="30" t="n">
        <v>3</v>
      </c>
      <c r="AE41" s="81" t="e">
        <f>((($W$38)^M41)*((1-($W$38))^($U$27-M41))*HLOOKUP($U$27,$AV$24:$BF$34,M41+1))*V41</f>
        <v>#DIV/0!</v>
      </c>
      <c r="AF41" s="30" t="n">
        <v>3</v>
      </c>
      <c r="AG41" s="81" t="e">
        <f>((($W$38)^M41)*((1-($W$38))^($U$28-M41))*HLOOKUP($U$28,$AV$24:$BF$34,M41+1))*V42</f>
        <v>#DIV/0!</v>
      </c>
      <c r="AH41" s="30" t="n">
        <v>3</v>
      </c>
      <c r="AI41" s="81" t="e">
        <f>((($W$38)^M41)*((1-($W$38))^($U$29-M41))*HLOOKUP($U$29,$AV$24:$BF$34,M41+1))*V43</f>
        <v>#DIV/0!</v>
      </c>
      <c r="AJ41" s="30" t="n">
        <v>3</v>
      </c>
      <c r="AK41" s="81" t="e">
        <f>((($W$38)^M41)*((1-($W$38))^($U$30-M41))*HLOOKUP($U$30,$AV$24:$BF$34,M41+1))*V44</f>
        <v>#DIV/0!</v>
      </c>
      <c r="AL41" s="30" t="n">
        <v>3</v>
      </c>
      <c r="AM41" s="81" t="e">
        <f>((($W$38)^Q41)*((1-($W$38))^($U$31-Q41))*HLOOKUP($U$31,$AV$24:$BF$34,Q41+1))*V45</f>
        <v>#DIV/0!</v>
      </c>
      <c r="AN41" s="30" t="n">
        <v>3</v>
      </c>
      <c r="AO41" s="81" t="e">
        <f>((($W$38)^Q41)*((1-($W$38))^($U$32-Q41))*HLOOKUP($U$32,$AV$24:$BF$34,Q41+1))*V46</f>
        <v>#DIV/0!</v>
      </c>
      <c r="AP41" s="30" t="n">
        <v>3</v>
      </c>
      <c r="AQ41" s="81" t="e">
        <f>((($W$38)^Q41)*((1-($W$38))^($U$33-Q41))*HLOOKUP($U$33,$AV$24:$BF$34,Q41+1))*V47</f>
        <v>#DIV/0!</v>
      </c>
      <c r="AR41" s="30" t="n">
        <v>3</v>
      </c>
      <c r="AS41" s="81" t="e">
        <f>((($W$38)^Q41)*((1-($W$38))^($U$34-Q41))*HLOOKUP($U$34,$AV$24:$BF$34,Q41+1))*V48</f>
        <v>#DIV/0!</v>
      </c>
      <c r="AV41" s="16" t="n">
        <v>3</v>
      </c>
      <c r="AY41" t="n">
        <v>1</v>
      </c>
      <c r="AZ41" t="n">
        <v>4</v>
      </c>
      <c r="BA41" t="n">
        <v>10</v>
      </c>
      <c r="BB41" t="n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>BH35+1</f>
        <v>4</v>
      </c>
      <c r="BI41" t="n">
        <v>8</v>
      </c>
      <c r="BJ41" s="109" t="e">
        <f>$H$28*H46</f>
        <v>#DIV/0!</v>
      </c>
      <c r="BP41">
        <f>BP33+1</f>
        <v>9</v>
      </c>
      <c r="BQ41" t="n">
        <v>2</v>
      </c>
      <c r="BR41" s="109" t="e">
        <f>$H$33*H40</f>
        <v>#DIV/0!</v>
      </c>
    </row>
    <row r="42" spans="7:70" ht="15" customHeight="1">
      <c r="G42" s="93" t="n">
        <v>4</v>
      </c>
      <c r="H42" s="132" t="e">
        <f>J42*L38+J41*L39+J40*L40+J39*L41</f>
        <v>#DIV/0!</v>
      </c>
      <c r="I42" s="95" t="n">
        <v>4</v>
      </c>
      <c r="J42" s="88" t="e">
        <f>Y42+AA42+AC42+AE42+AG42+AI42+AK42+AM42+AO42+AQ42+AS42</f>
        <v>#DIV/0!</v>
      </c>
      <c r="K42" s="97" t="n">
        <v>4</v>
      </c>
      <c r="L42" s="88"/>
      <c r="M42" s="87" t="n">
        <v>4</v>
      </c>
      <c r="N42" s="73" t="e">
        <f>(($C$24)^M28)*((1-($C$24))^($B$21-M28))*HLOOKUP($B$21,$AV$24:$BF$34,M28+1)</f>
        <v>#DIV/0!</v>
      </c>
      <c r="O42" s="74" t="n">
        <v>4</v>
      </c>
      <c r="P42" s="73" t="e">
        <f>N42</f>
        <v>#DIV/0!</v>
      </c>
      <c r="Q42" s="30" t="n">
        <v>4</v>
      </c>
      <c r="R42" s="39" t="e">
        <f>P42*N38+P41*N39+P40*N40+P39*N41+P38*N42</f>
        <v>#DIV/0!</v>
      </c>
      <c r="S42" s="74" t="n">
        <v>4</v>
      </c>
      <c r="T42" s="135" t="e">
        <f>(($C$33)^S42)*((1-($C$33))^(INT($B$23*2*(1-$B$31))-S42))*HLOOKUP(INT($B$23*2*(1-$B$31)),$AV$24:$BF$34,S42+1)</f>
        <v>#DIV/0!</v>
      </c>
      <c r="U42" s="95" t="n">
        <v>4</v>
      </c>
      <c r="V42" s="88" t="e">
        <f>T42*R38+T41*R39+T40*R40+T39*R41+T38*R42</f>
        <v>#DIV/0!</v>
      </c>
      <c r="W42" s="137"/>
      <c r="X42" s="30" t="n">
        <v>4</v>
      </c>
      <c r="Y42" s="75"/>
      <c r="Z42" s="30" t="n">
        <v>4</v>
      </c>
      <c r="AA42" s="81"/>
      <c r="AB42" s="30" t="n">
        <v>4</v>
      </c>
      <c r="AC42" s="81"/>
      <c r="AD42" s="30" t="n">
        <v>4</v>
      </c>
      <c r="AE42" s="81"/>
      <c r="AF42" s="30" t="n">
        <v>4</v>
      </c>
      <c r="AG42" s="81" t="e">
        <f>((($W$38)^M42)*((1-($W$38))^($U$28-M42))*HLOOKUP($U$28,$AV$24:$BF$34,M42+1))*V42</f>
        <v>#DIV/0!</v>
      </c>
      <c r="AH42" s="30" t="n">
        <v>4</v>
      </c>
      <c r="AI42" s="81" t="e">
        <f>((($W$38)^M42)*((1-($W$38))^($U$29-M42))*HLOOKUP($U$29,$AV$24:$BF$34,M42+1))*V43</f>
        <v>#DIV/0!</v>
      </c>
      <c r="AJ42" s="30" t="n">
        <v>4</v>
      </c>
      <c r="AK42" s="81" t="e">
        <f>((($W$38)^M42)*((1-($W$38))^($U$30-M42))*HLOOKUP($U$30,$AV$24:$BF$34,M42+1))*V44</f>
        <v>#DIV/0!</v>
      </c>
      <c r="AL42" s="30" t="n">
        <v>4</v>
      </c>
      <c r="AM42" s="81" t="e">
        <f>((($W$38)^Q42)*((1-($W$38))^($U$31-Q42))*HLOOKUP($U$31,$AV$24:$BF$34,Q42+1))*V45</f>
        <v>#DIV/0!</v>
      </c>
      <c r="AN42" s="30" t="n">
        <v>4</v>
      </c>
      <c r="AO42" s="81" t="e">
        <f>((($W$38)^Q42)*((1-($W$38))^($U$32-Q42))*HLOOKUP($U$32,$AV$24:$BF$34,Q42+1))*V46</f>
        <v>#DIV/0!</v>
      </c>
      <c r="AP42" s="30" t="n">
        <v>4</v>
      </c>
      <c r="AQ42" s="81" t="e">
        <f>((($W$38)^Q42)*((1-($W$38))^($U$33-Q42))*HLOOKUP($U$33,$AV$24:$BF$34,Q42+1))*V47</f>
        <v>#DIV/0!</v>
      </c>
      <c r="AR42" s="30" t="n">
        <v>4</v>
      </c>
      <c r="AS42" s="81" t="e">
        <f>((($W$38)^Q42)*((1-($W$38))^($U$34-Q42))*HLOOKUP($U$34,$AV$24:$BF$34,Q42+1))*V48</f>
        <v>#DIV/0!</v>
      </c>
      <c r="AV42" s="16" t="n">
        <v>4</v>
      </c>
      <c r="AZ42" t="n">
        <v>1</v>
      </c>
      <c r="BA42" t="n">
        <v>5</v>
      </c>
      <c r="BB42" t="n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>BH36+1</f>
        <v>4</v>
      </c>
      <c r="BI42" t="n">
        <v>9</v>
      </c>
      <c r="BJ42" s="109" t="e">
        <f>$H$28*H47</f>
        <v>#DIV/0!</v>
      </c>
      <c r="BP42">
        <f>BP34+1</f>
        <v>9</v>
      </c>
      <c r="BQ42" t="n">
        <v>3</v>
      </c>
      <c r="BR42" s="109" t="e">
        <f>$H$33*H41</f>
        <v>#DIV/0!</v>
      </c>
    </row>
    <row r="43" spans="7:70" ht="15" customHeight="1">
      <c r="G43" s="93" t="n">
        <v>5</v>
      </c>
      <c r="H43" s="132" t="e">
        <f>J43*L38+J42*L39+J41*L40+J40*L41</f>
        <v>#DIV/0!</v>
      </c>
      <c r="I43" s="95" t="n">
        <v>5</v>
      </c>
      <c r="J43" s="88" t="e">
        <f>Y43+AA43+AC43+AE43+AG43+AI43+AK43+AM43+AO43+AQ43+AS43</f>
        <v>#DIV/0!</v>
      </c>
      <c r="K43" s="97" t="n">
        <v>5</v>
      </c>
      <c r="L43" s="88"/>
      <c r="M43" s="87" t="n">
        <v>5</v>
      </c>
      <c r="N43" s="73" t="e">
        <f>(($C$24)^M29)*((1-($C$24))^($B$21-M29))*HLOOKUP($B$21,$AV$24:$BF$34,M29+1)</f>
        <v>#DIV/0!</v>
      </c>
      <c r="O43" s="74" t="n">
        <v>5</v>
      </c>
      <c r="P43" s="73" t="e">
        <f>N43</f>
        <v>#DIV/0!</v>
      </c>
      <c r="Q43" s="30" t="n">
        <v>5</v>
      </c>
      <c r="R43" s="39" t="e">
        <f>P43*N38+P42*N39+P41*N40+P40*N41+P39*N42+P38*N43</f>
        <v>#DIV/0!</v>
      </c>
      <c r="S43" s="74" t="n">
        <v>5</v>
      </c>
      <c r="T43" s="135" t="e">
        <f>(($C$33)^S43)*((1-($C$33))^(INT($B$23*2*(1-$B$31))-S43))*HLOOKUP(INT($B$23*2*(1-$B$31)),$AV$24:$BF$34,S43+1)</f>
        <v>#DIV/0!</v>
      </c>
      <c r="U43" s="95" t="n">
        <v>5</v>
      </c>
      <c r="V43" s="88" t="e">
        <f>T43*R38+T42*R39+T41*R40+T40*R41+T39*R42+T38*R43</f>
        <v>#DIV/0!</v>
      </c>
      <c r="W43" s="137"/>
      <c r="X43" s="30" t="n">
        <v>5</v>
      </c>
      <c r="Y43" s="75"/>
      <c r="Z43" s="30" t="n">
        <v>5</v>
      </c>
      <c r="AA43" s="81"/>
      <c r="AB43" s="30" t="n">
        <v>5</v>
      </c>
      <c r="AC43" s="81"/>
      <c r="AD43" s="30" t="n">
        <v>5</v>
      </c>
      <c r="AE43" s="81"/>
      <c r="AF43" s="30" t="n">
        <v>5</v>
      </c>
      <c r="AG43" s="81"/>
      <c r="AH43" s="30" t="n">
        <v>5</v>
      </c>
      <c r="AI43" s="81" t="e">
        <f>((($W$38)^M43)*((1-($W$38))^($U$29-M43))*HLOOKUP($U$29,$AV$24:$BF$34,M43+1))*V43</f>
        <v>#DIV/0!</v>
      </c>
      <c r="AJ43" s="30" t="n">
        <v>5</v>
      </c>
      <c r="AK43" s="81" t="e">
        <f>((($W$38)^M43)*((1-($W$38))^($U$30-M43))*HLOOKUP($U$30,$AV$24:$BF$34,M43+1))*V44</f>
        <v>#DIV/0!</v>
      </c>
      <c r="AL43" s="30" t="n">
        <v>5</v>
      </c>
      <c r="AM43" s="81" t="e">
        <f>((($W$38)^Q43)*((1-($W$38))^($U$31-Q43))*HLOOKUP($U$31,$AV$24:$BF$34,Q43+1))*V45</f>
        <v>#DIV/0!</v>
      </c>
      <c r="AN43" s="30" t="n">
        <v>5</v>
      </c>
      <c r="AO43" s="81" t="e">
        <f>((($W$38)^Q43)*((1-($W$38))^($U$32-Q43))*HLOOKUP($U$32,$AV$24:$BF$34,Q43+1))*V46</f>
        <v>#DIV/0!</v>
      </c>
      <c r="AP43" s="30" t="n">
        <v>5</v>
      </c>
      <c r="AQ43" s="81" t="e">
        <f>((($W$38)^Q43)*((1-($W$38))^($U$33-Q43))*HLOOKUP($U$33,$AV$24:$BF$34,Q43+1))*V47</f>
        <v>#DIV/0!</v>
      </c>
      <c r="AR43" s="30" t="n">
        <v>5</v>
      </c>
      <c r="AS43" s="81" t="e">
        <f>((($W$38)^Q43)*((1-($W$38))^($U$34-Q43))*HLOOKUP($U$34,$AV$24:$BF$34,Q43+1))*V48</f>
        <v>#DIV/0!</v>
      </c>
      <c r="AV43" s="16" t="n">
        <v>5</v>
      </c>
      <c r="BA43" t="n">
        <v>1</v>
      </c>
      <c r="BB43" t="n">
        <v>6</v>
      </c>
      <c r="BC43">
        <f>15+6</f>
        <v>21</v>
      </c>
      <c r="BD43">
        <f>35+21</f>
        <v>56</v>
      </c>
      <c r="BE43">
        <f>70+56</f>
        <v>126</v>
      </c>
      <c r="BF43">
        <f>BE42+BE43</f>
        <v>252</v>
      </c>
      <c r="BH43">
        <f>BH37+1</f>
        <v>4</v>
      </c>
      <c r="BI43" t="n">
        <v>10</v>
      </c>
      <c r="BJ43" s="109" t="e">
        <f>$H$28*H48</f>
        <v>#DIV/0!</v>
      </c>
      <c r="BP43">
        <f>BP35+1</f>
        <v>9</v>
      </c>
      <c r="BQ43" t="n">
        <v>4</v>
      </c>
      <c r="BR43" s="109" t="e">
        <f>$H$33*H42</f>
        <v>#DIV/0!</v>
      </c>
    </row>
    <row r="44" spans="7:70" ht="15" customHeight="1">
      <c r="G44" s="93" t="n">
        <v>6</v>
      </c>
      <c r="H44" s="132" t="e">
        <f>J44*L38+J43*L39+J42*L40+J41*L41</f>
        <v>#DIV/0!</v>
      </c>
      <c r="I44" s="95" t="n">
        <v>6</v>
      </c>
      <c r="J44" s="88" t="e">
        <f>Y44+AA44+AC44+AE44+AG44+AI44+AK44+AM44+AO44+AQ44+AS44</f>
        <v>#DIV/0!</v>
      </c>
      <c r="K44" s="97" t="n">
        <v>6</v>
      </c>
      <c r="L44" s="88"/>
      <c r="M44" s="87"/>
      <c r="N44" s="39"/>
      <c r="O44" s="39"/>
      <c r="P44" s="39"/>
      <c r="Q44" s="30" t="n">
        <v>6</v>
      </c>
      <c r="R44" s="39" t="e">
        <f>P43*N39+P42*N40+P41*N41+P40*N42+P39*N43</f>
        <v>#DIV/0!</v>
      </c>
      <c r="S44" s="72" t="n">
        <v>6</v>
      </c>
      <c r="T44" s="135" t="e">
        <f>(($C$33)^S44)*((1-($C$33))^(INT($B$23*2*(1-$B$31))-S44))*HLOOKUP(INT($B$23*2*(1-$B$31)),$AV$24:$BF$34,S44+1)</f>
        <v>#DIV/0!</v>
      </c>
      <c r="U44" s="95" t="n">
        <v>6</v>
      </c>
      <c r="V44" s="88" t="e">
        <f>T44*R38+T43*R39+T42*R40+T41*R41+T40*R42+T39*R43+T38*R44</f>
        <v>#DIV/0!</v>
      </c>
      <c r="W44" s="137"/>
      <c r="X44" s="30" t="n">
        <v>6</v>
      </c>
      <c r="Y44" s="75"/>
      <c r="Z44" s="30" t="n">
        <v>6</v>
      </c>
      <c r="AA44" s="81"/>
      <c r="AB44" s="30" t="n">
        <v>6</v>
      </c>
      <c r="AC44" s="81"/>
      <c r="AD44" s="30" t="n">
        <v>6</v>
      </c>
      <c r="AE44" s="81"/>
      <c r="AF44" s="30" t="n">
        <v>6</v>
      </c>
      <c r="AG44" s="81"/>
      <c r="AH44" s="30" t="n">
        <v>6</v>
      </c>
      <c r="AI44" s="81"/>
      <c r="AJ44" s="30" t="n">
        <v>6</v>
      </c>
      <c r="AK44" s="81" t="e">
        <f>((($W$38)^Q44)*((1-($W$38))^($U$30-Q44))*HLOOKUP($U$30,$AV$24:$BF$34,Q44+1))*V44</f>
        <v>#DIV/0!</v>
      </c>
      <c r="AL44" s="30" t="n">
        <v>6</v>
      </c>
      <c r="AM44" s="81" t="e">
        <f>((($W$38)^Q44)*((1-($W$38))^($U$31-Q44))*HLOOKUP($U$31,$AV$24:$BF$34,Q44+1))*V45</f>
        <v>#DIV/0!</v>
      </c>
      <c r="AN44" s="30" t="n">
        <v>6</v>
      </c>
      <c r="AO44" s="81" t="e">
        <f>((($W$38)^Q44)*((1-($W$38))^($U$32-Q44))*HLOOKUP($U$32,$AV$24:$BF$34,Q44+1))*V46</f>
        <v>#DIV/0!</v>
      </c>
      <c r="AP44" s="30" t="n">
        <v>6</v>
      </c>
      <c r="AQ44" s="81" t="e">
        <f>((($W$38)^Q44)*((1-($W$38))^($U$33-Q44))*HLOOKUP($U$33,$AV$24:$BF$34,Q44+1))*V47</f>
        <v>#DIV/0!</v>
      </c>
      <c r="AR44" s="30" t="n">
        <v>6</v>
      </c>
      <c r="AS44" s="81" t="e">
        <f>((($W$38)^Q44)*((1-($W$38))^($U$34-Q44))*HLOOKUP($U$34,$AV$24:$BF$34,Q44+1))*V48</f>
        <v>#DIV/0!</v>
      </c>
      <c r="AV44" s="31" t="n">
        <v>6</v>
      </c>
      <c r="BB44" t="n">
        <v>1</v>
      </c>
      <c r="BC44" t="n">
        <v>7</v>
      </c>
      <c r="BD44">
        <f>28</f>
        <v>28</v>
      </c>
      <c r="BE44">
        <f>56+28</f>
        <v>84</v>
      </c>
      <c r="BF44">
        <f>BE43+BE44</f>
        <v>210</v>
      </c>
      <c r="BH44">
        <f>BH39+1</f>
        <v>5</v>
      </c>
      <c r="BI44" t="n">
        <v>6</v>
      </c>
      <c r="BJ44" s="109" t="e">
        <f>$H$29*H44</f>
        <v>#DIV/0!</v>
      </c>
      <c r="BP44">
        <f>BP36+1</f>
        <v>9</v>
      </c>
      <c r="BQ44" t="n">
        <v>5</v>
      </c>
      <c r="BR44" s="109" t="e">
        <f>$H$33*H43</f>
        <v>#DIV/0!</v>
      </c>
    </row>
    <row r="45" spans="1:70" ht="15" customHeight="1">
      <c r="A45" s="114" t="s">
        <v>7</v>
      </c>
      <c r="B45" s="114" t="s">
        <v>130</v>
      </c>
      <c r="C45" s="114" t="s">
        <v>131</v>
      </c>
      <c r="D45" s="114" t="s">
        <v>132</v>
      </c>
      <c r="E45" s="114" t="s">
        <v>133</v>
      </c>
      <c r="G45" s="93" t="n">
        <v>7</v>
      </c>
      <c r="H45" s="132" t="e">
        <f>J45*L38+J44*L39+J43*L40+J42*L41</f>
        <v>#DIV/0!</v>
      </c>
      <c r="I45" s="95" t="n">
        <v>7</v>
      </c>
      <c r="J45" s="88" t="e">
        <f>Y45+AA45+AC45+AE45+AG45+AI45+AK45+AM45+AO45+AQ45+AS45</f>
        <v>#DIV/0!</v>
      </c>
      <c r="K45" s="97" t="n">
        <v>7</v>
      </c>
      <c r="L45" s="88"/>
      <c r="M45" s="87"/>
      <c r="N45" s="39"/>
      <c r="O45" s="39"/>
      <c r="P45" s="39"/>
      <c r="Q45" s="30" t="n">
        <v>7</v>
      </c>
      <c r="R45" s="39" t="e">
        <f>P43*N40+P42*N41+P41*N42+P40*N43</f>
        <v>#DIV/0!</v>
      </c>
      <c r="S45" s="74" t="n">
        <v>7</v>
      </c>
      <c r="T45" s="135" t="e">
        <f>(($C$33)^S45)*((1-($C$33))^(INT($B$23*2*(1-$B$31))-S45))*HLOOKUP(INT($B$23*2*(1-$B$31)),$AV$24:$BF$34,S45+1)</f>
        <v>#DIV/0!</v>
      </c>
      <c r="U45" s="95" t="n">
        <v>7</v>
      </c>
      <c r="V45" s="88" t="e">
        <f>T45*R38+T44*R39+T43*R40+T42*R41+T41*R42+T40*R43+T39*R44+T38*R45</f>
        <v>#DIV/0!</v>
      </c>
      <c r="W45" s="137"/>
      <c r="X45" s="30" t="n">
        <v>7</v>
      </c>
      <c r="Y45" s="75"/>
      <c r="Z45" s="30" t="n">
        <v>7</v>
      </c>
      <c r="AA45" s="81"/>
      <c r="AB45" s="30" t="n">
        <v>7</v>
      </c>
      <c r="AC45" s="81"/>
      <c r="AD45" s="30" t="n">
        <v>7</v>
      </c>
      <c r="AE45" s="81"/>
      <c r="AF45" s="30" t="n">
        <v>7</v>
      </c>
      <c r="AG45" s="81"/>
      <c r="AH45" s="30" t="n">
        <v>7</v>
      </c>
      <c r="AI45" s="81"/>
      <c r="AJ45" s="30" t="n">
        <v>7</v>
      </c>
      <c r="AK45" s="81"/>
      <c r="AL45" s="30" t="n">
        <v>7</v>
      </c>
      <c r="AM45" s="81" t="e">
        <f>((($W$38)^Q45)*((1-($W$38))^($U$31-Q45))*HLOOKUP($U$31,$AV$24:$BF$34,Q45+1))*V45</f>
        <v>#DIV/0!</v>
      </c>
      <c r="AN45" s="30" t="n">
        <v>7</v>
      </c>
      <c r="AO45" s="81" t="e">
        <f>((($W$38)^Q45)*((1-($W$38))^($U$32-Q45))*HLOOKUP($U$32,$AV$24:$BF$34,Q45+1))*V46</f>
        <v>#DIV/0!</v>
      </c>
      <c r="AP45" s="30" t="n">
        <v>7</v>
      </c>
      <c r="AQ45" s="81" t="e">
        <f>((($W$38)^Q45)*((1-($W$38))^($U$33-Q45))*HLOOKUP($U$33,$AV$24:$BF$34,Q45+1))*V47</f>
        <v>#DIV/0!</v>
      </c>
      <c r="AR45" s="30" t="n">
        <v>7</v>
      </c>
      <c r="AS45" s="81" t="e">
        <f>((($W$38)^Q45)*((1-($W$38))^($U$34-Q45))*HLOOKUP($U$34,$AV$24:$BF$34,Q45+1))*V48</f>
        <v>#DIV/0!</v>
      </c>
      <c r="AV45" s="16" t="n">
        <v>7</v>
      </c>
      <c r="BC45" t="n">
        <v>1</v>
      </c>
      <c r="BD45" t="n">
        <v>8</v>
      </c>
      <c r="BE45">
        <f>28+8</f>
        <v>36</v>
      </c>
      <c r="BF45">
        <f>BE44+BE45</f>
        <v>120</v>
      </c>
      <c r="BH45">
        <f>BH40+1</f>
        <v>5</v>
      </c>
      <c r="BI45" t="n">
        <v>7</v>
      </c>
      <c r="BJ45" s="109" t="e">
        <f>$H$29*H45</f>
        <v>#DIV/0!</v>
      </c>
      <c r="BP45">
        <f>BP37+1</f>
        <v>9</v>
      </c>
      <c r="BQ45" t="n">
        <v>6</v>
      </c>
      <c r="BR45" s="109" t="e">
        <f>$H$33*H44</f>
        <v>#DIV/0!</v>
      </c>
    </row>
    <row r="46" spans="1:70" ht="15" customHeight="1">
      <c r="A46" s="115" t="s">
        <v>134</v>
      </c>
      <c r="B46" s="115" t="s">
        <v>5</v>
      </c>
      <c r="C46" s="115" t="s">
        <v>135</v>
      </c>
      <c r="D46" s="115" t="s">
        <v>136</v>
      </c>
      <c r="E46" s="115" t="s">
        <v>137</v>
      </c>
      <c r="G46" s="93" t="n">
        <v>8</v>
      </c>
      <c r="H46" s="132" t="e">
        <f>J46*L38+J45*L39+J44*L40+J43*L41</f>
        <v>#DIV/0!</v>
      </c>
      <c r="I46" s="95" t="n">
        <v>8</v>
      </c>
      <c r="J46" s="88" t="e">
        <f>Y46+AA46+AC46+AE46+AG46+AI46+AK46+AM46+AO46+AQ46+AS46</f>
        <v>#DIV/0!</v>
      </c>
      <c r="K46" s="97" t="n">
        <v>8</v>
      </c>
      <c r="L46" s="88"/>
      <c r="M46" s="87"/>
      <c r="N46" s="39"/>
      <c r="O46" s="39"/>
      <c r="P46" s="39"/>
      <c r="Q46" s="30" t="n">
        <v>8</v>
      </c>
      <c r="R46" s="39" t="e">
        <f>P43*N41+P42*N42+P41*N43</f>
        <v>#DIV/0!</v>
      </c>
      <c r="S46" s="74" t="n">
        <v>8</v>
      </c>
      <c r="T46" s="135" t="e">
        <f>(($C$33)^S46)*((1-($C$33))^(INT($B$23*2*(1-$B$31))-S46))*HLOOKUP(INT($B$23*2*(1-$B$31)),$AV$24:$BF$34,S46+1)</f>
        <v>#DIV/0!</v>
      </c>
      <c r="U46" s="95" t="n">
        <v>8</v>
      </c>
      <c r="V46" s="88" t="e">
        <f>T46*R38+T45*R39+T44*R40+T43*R41+T42*R42+T41*R43+T40*R44+T39*R45+T38*R46</f>
        <v>#DIV/0!</v>
      </c>
      <c r="W46" s="137"/>
      <c r="X46" s="30" t="n">
        <v>8</v>
      </c>
      <c r="Y46" s="75"/>
      <c r="Z46" s="30" t="n">
        <v>8</v>
      </c>
      <c r="AA46" s="81"/>
      <c r="AB46" s="30" t="n">
        <v>8</v>
      </c>
      <c r="AC46" s="81"/>
      <c r="AD46" s="30" t="n">
        <v>8</v>
      </c>
      <c r="AE46" s="81"/>
      <c r="AF46" s="30" t="n">
        <v>8</v>
      </c>
      <c r="AG46" s="81"/>
      <c r="AH46" s="30" t="n">
        <v>8</v>
      </c>
      <c r="AI46" s="81"/>
      <c r="AJ46" s="30" t="n">
        <v>8</v>
      </c>
      <c r="AK46" s="81"/>
      <c r="AL46" s="30" t="n">
        <v>8</v>
      </c>
      <c r="AM46" s="81"/>
      <c r="AN46" s="30" t="n">
        <v>8</v>
      </c>
      <c r="AO46" s="81" t="e">
        <f>((($W$38)^Q46)*((1-($W$38))^($U$32-Q46))*HLOOKUP($U$32,$AV$24:$BF$34,Q46+1))*V46</f>
        <v>#DIV/0!</v>
      </c>
      <c r="AP46" s="30" t="n">
        <v>8</v>
      </c>
      <c r="AQ46" s="81" t="e">
        <f>((($W$38)^Q46)*((1-($W$38))^($U$33-Q46))*HLOOKUP($U$33,$AV$24:$BF$34,Q46+1))*V47</f>
        <v>#DIV/0!</v>
      </c>
      <c r="AR46" s="30" t="n">
        <v>8</v>
      </c>
      <c r="AS46" s="81" t="e">
        <f>((($W$38)^Q46)*((1-($W$38))^($U$34-Q46))*HLOOKUP($U$34,$AV$24:$BF$34,Q46+1))*V48</f>
        <v>#DIV/0!</v>
      </c>
      <c r="AV46" s="16" t="n">
        <v>8</v>
      </c>
      <c r="BD46" t="n">
        <v>1</v>
      </c>
      <c r="BE46" t="n">
        <v>9</v>
      </c>
      <c r="BF46">
        <f>BE45+BE46</f>
        <v>45</v>
      </c>
      <c r="BH46">
        <f>BH41+1</f>
        <v>5</v>
      </c>
      <c r="BI46" t="n">
        <v>8</v>
      </c>
      <c r="BJ46" s="109" t="e">
        <f>$H$29*H46</f>
        <v>#DIV/0!</v>
      </c>
      <c r="BP46">
        <f>BP38+1</f>
        <v>9</v>
      </c>
      <c r="BQ46" t="n">
        <v>7</v>
      </c>
      <c r="BR46" s="109" t="e">
        <f>$H$33*H45</f>
        <v>#DIV/0!</v>
      </c>
    </row>
    <row r="47" spans="1:70" ht="15" customHeight="1">
      <c r="A47" s="115" t="s">
        <v>8</v>
      </c>
      <c r="B47" s="115" t="s">
        <v>5</v>
      </c>
      <c r="C47" s="115" t="s">
        <v>138</v>
      </c>
      <c r="D47" s="115" t="s">
        <v>139</v>
      </c>
      <c r="E47" s="115" t="s">
        <v>137</v>
      </c>
      <c r="G47" s="93" t="n">
        <v>9</v>
      </c>
      <c r="H47" s="132" t="e">
        <f>J47*L38+J46*L39+J45*L40+J44*L41</f>
        <v>#DIV/0!</v>
      </c>
      <c r="I47" s="95" t="n">
        <v>9</v>
      </c>
      <c r="J47" s="88" t="e">
        <f>Y47+AA47+AC47+AE47+AG47+AI47+AK47+AM47+AO47+AQ47+AS47</f>
        <v>#DIV/0!</v>
      </c>
      <c r="K47" s="97" t="n">
        <v>9</v>
      </c>
      <c r="L47" s="88"/>
      <c r="M47" s="87"/>
      <c r="N47" s="39"/>
      <c r="O47" s="39"/>
      <c r="P47" s="39"/>
      <c r="Q47" s="30" t="n">
        <v>9</v>
      </c>
      <c r="R47" s="39" t="e">
        <f>P43*N42+P42*N43</f>
        <v>#DIV/0!</v>
      </c>
      <c r="S47" s="74" t="n">
        <v>9</v>
      </c>
      <c r="T47" s="135" t="e">
        <f>(($C$33)^S47)*((1-($C$33))^(INT($B$23*2*(1-$B$31))-S47))*HLOOKUP(INT($B$23*2*(1-$B$31)),$AV$24:$BF$34,S47+1)</f>
        <v>#DIV/0!</v>
      </c>
      <c r="U47" s="95" t="n">
        <v>9</v>
      </c>
      <c r="V47" s="88" t="e">
        <f>T47*R38+T46*R39+T45*R40+T44*R41+T43*R42+T42*R43+T41*R44+T40*R45+T39*R46+T38*R47</f>
        <v>#DIV/0!</v>
      </c>
      <c r="W47" s="137"/>
      <c r="X47" s="30" t="n">
        <v>9</v>
      </c>
      <c r="Y47" s="75"/>
      <c r="Z47" s="30" t="n">
        <v>9</v>
      </c>
      <c r="AA47" s="81"/>
      <c r="AB47" s="30" t="n">
        <v>9</v>
      </c>
      <c r="AC47" s="81"/>
      <c r="AD47" s="30" t="n">
        <v>9</v>
      </c>
      <c r="AE47" s="81"/>
      <c r="AF47" s="30" t="n">
        <v>9</v>
      </c>
      <c r="AG47" s="81"/>
      <c r="AH47" s="30" t="n">
        <v>9</v>
      </c>
      <c r="AI47" s="81"/>
      <c r="AJ47" s="30" t="n">
        <v>9</v>
      </c>
      <c r="AK47" s="81"/>
      <c r="AL47" s="30" t="n">
        <v>9</v>
      </c>
      <c r="AM47" s="81"/>
      <c r="AN47" s="30" t="n">
        <v>9</v>
      </c>
      <c r="AO47" s="81"/>
      <c r="AP47" s="30" t="n">
        <v>9</v>
      </c>
      <c r="AQ47" s="81" t="e">
        <f>((($W$38)^Q47)*((1-($W$38))^($U$33-Q47))*HLOOKUP($U$33,$AV$24:$BF$34,Q47+1))*V47</f>
        <v>#DIV/0!</v>
      </c>
      <c r="AR47" s="30" t="n">
        <v>9</v>
      </c>
      <c r="AS47" s="81" t="e">
        <f>((($W$38)^Q47)*((1-($W$38))^($U$34-Q47))*HLOOKUP($U$34,$AV$24:$BF$34,Q47+1))*V48</f>
        <v>#DIV/0!</v>
      </c>
      <c r="AV47" s="31" t="n">
        <v>9</v>
      </c>
      <c r="BE47" t="n">
        <v>1</v>
      </c>
      <c r="BF47">
        <f>BE46+BE47</f>
        <v>10</v>
      </c>
      <c r="BH47">
        <f>BH42+1</f>
        <v>5</v>
      </c>
      <c r="BI47" t="n">
        <v>9</v>
      </c>
      <c r="BJ47" s="109" t="e">
        <f>$H$29*H47</f>
        <v>#DIV/0!</v>
      </c>
      <c r="BP47">
        <f>BL12+1</f>
        <v>9</v>
      </c>
      <c r="BQ47" t="n">
        <v>8</v>
      </c>
      <c r="BR47" s="109" t="e">
        <f>$H$33*H46</f>
        <v>#DIV/0!</v>
      </c>
    </row>
    <row r="48" spans="1:62" ht="15" customHeight="1">
      <c r="A48" s="116" t="s">
        <v>134</v>
      </c>
      <c r="B48" s="116" t="s">
        <v>140</v>
      </c>
      <c r="C48" s="116" t="s">
        <v>138</v>
      </c>
      <c r="D48" s="117" t="s">
        <v>141</v>
      </c>
      <c r="E48" s="116" t="s">
        <v>137</v>
      </c>
      <c r="G48" s="94" t="n">
        <v>10</v>
      </c>
      <c r="H48" s="133" t="e">
        <f>J48*L38+J47*L39+J46*L40+J45*L41</f>
        <v>#DIV/0!</v>
      </c>
      <c r="I48" s="96" t="n">
        <v>10</v>
      </c>
      <c r="J48" s="91" t="e">
        <f>Y48+AA48+AC48+AE48+AG48+AI48+AK48+AM48+AO48+AQ48+AS48</f>
        <v>#DIV/0!</v>
      </c>
      <c r="K48" s="98" t="n">
        <v>10</v>
      </c>
      <c r="L48" s="91"/>
      <c r="M48" s="87"/>
      <c r="N48" s="39"/>
      <c r="O48" s="39"/>
      <c r="P48" s="39"/>
      <c r="Q48" s="30" t="n">
        <v>10</v>
      </c>
      <c r="R48" s="39" t="e">
        <f>P43*N43</f>
        <v>#DIV/0!</v>
      </c>
      <c r="S48" s="74" t="n">
        <v>10</v>
      </c>
      <c r="T48" s="135" t="e">
        <f>(($C$33)^S48)*((1-($C$33))^(INT($B$23*2*(1-$B$31))-S48))*HLOOKUP(INT($B$23*2*(1-$B$31)),$AV$24:$BF$34,S48+1)</f>
        <v>#DIV/0!</v>
      </c>
      <c r="U48" s="96" t="n">
        <v>10</v>
      </c>
      <c r="V48" s="91" t="e">
        <f>IF(((T48*R38+T47*R39+T46*R40+T45*R41+T44*R42+T43*R43+T42*R44+T41*R45+T40*R46+T39*R47+T38*R48)+V36)&lt;&gt;1,1-V36,(T48*R38+T47*R39+T46*R40+T45*R41+T44*R42+T43*R43+T42*R44+T41*R45+T40*R46+T39*R47+T38*R48))</f>
        <v>#DIV/0!</v>
      </c>
      <c r="W48" s="137"/>
      <c r="X48" s="30" t="n">
        <v>10</v>
      </c>
      <c r="Y48" s="75"/>
      <c r="Z48" s="30" t="n">
        <v>10</v>
      </c>
      <c r="AA48" s="81"/>
      <c r="AB48" s="30" t="n">
        <v>10</v>
      </c>
      <c r="AC48" s="81"/>
      <c r="AD48" s="30" t="n">
        <v>10</v>
      </c>
      <c r="AE48" s="81"/>
      <c r="AF48" s="30" t="n">
        <v>10</v>
      </c>
      <c r="AG48" s="81"/>
      <c r="AH48" s="30" t="n">
        <v>10</v>
      </c>
      <c r="AI48" s="81"/>
      <c r="AJ48" s="30" t="n">
        <v>10</v>
      </c>
      <c r="AK48" s="81"/>
      <c r="AL48" s="30" t="n">
        <v>10</v>
      </c>
      <c r="AM48" s="81"/>
      <c r="AN48" s="30" t="n">
        <v>10</v>
      </c>
      <c r="AO48" s="81"/>
      <c r="AP48" s="30" t="n">
        <v>10</v>
      </c>
      <c r="AQ48" s="81"/>
      <c r="AR48" s="30" t="n">
        <v>10</v>
      </c>
      <c r="AS48" s="81" t="e">
        <f>((($W$38)^Q48)*((1-($W$38))^($U$34-Q48))*HLOOKUP($U$34,$AV$24:$BF$34,Q48+1))*V48</f>
        <v>#DIV/0!</v>
      </c>
      <c r="AV48" s="16" t="n">
        <v>10</v>
      </c>
      <c r="BF48">
        <f>BE47+BE48</f>
        <v>1</v>
      </c>
      <c r="BH48">
        <f>BH43+1</f>
        <v>5</v>
      </c>
      <c r="BI48" t="n">
        <v>10</v>
      </c>
      <c r="BJ48" s="109" t="e">
        <f>$H$29*H48</f>
        <v>#DIV/0!</v>
      </c>
    </row>
    <row r="49" spans="1:62" ht="15" customHeight="1">
      <c r="A49" s="116" t="s">
        <v>8</v>
      </c>
      <c r="B49" s="116" t="s">
        <v>140</v>
      </c>
      <c r="C49" s="116" t="s">
        <v>135</v>
      </c>
      <c r="D49" s="116" t="s">
        <v>142</v>
      </c>
      <c r="E49" s="116" t="s">
        <v>143</v>
      </c>
      <c r="G49" s="78"/>
      <c r="H49" s="79"/>
      <c r="I49" s="35"/>
      <c r="J49" s="35"/>
      <c r="K49" s="79"/>
      <c r="L49" s="79"/>
      <c r="M49" s="33"/>
      <c r="N49" s="33"/>
      <c r="O49" s="34"/>
      <c r="P49" s="34"/>
      <c r="Q49" s="34"/>
      <c r="R49" s="34"/>
      <c r="S49" s="78"/>
      <c r="T49" s="78"/>
      <c r="U49" s="78"/>
      <c r="V49" s="79"/>
      <c r="W49" s="35"/>
      <c r="X49" s="15"/>
      <c r="Y49" s="15"/>
      <c r="BH49">
        <f>BP14+1</f>
        <v>6</v>
      </c>
      <c r="BI49" t="n">
        <v>0</v>
      </c>
      <c r="BJ49" s="109" t="e">
        <f>$H$30*H38</f>
        <v>#DIV/0!</v>
      </c>
    </row>
    <row r="50" spans="1:62">
      <c r="A50" s="118" t="s">
        <v>134</v>
      </c>
      <c r="B50" s="118" t="s">
        <v>2</v>
      </c>
      <c r="C50" s="118" t="s">
        <v>135</v>
      </c>
      <c r="D50" s="118" t="s">
        <v>144</v>
      </c>
      <c r="E50" s="118" t="s">
        <v>137</v>
      </c>
      <c r="BH50">
        <f>BH45+1</f>
        <v>6</v>
      </c>
      <c r="BI50" t="n">
        <v>7</v>
      </c>
      <c r="BJ50" s="109" t="e">
        <f>$H$30*H45</f>
        <v>#DIV/0!</v>
      </c>
    </row>
    <row r="51" spans="1:62">
      <c r="A51" s="118" t="s">
        <v>8</v>
      </c>
      <c r="B51" s="118" t="s">
        <v>2</v>
      </c>
      <c r="C51" s="118" t="s">
        <v>135</v>
      </c>
      <c r="D51" s="118" t="s">
        <v>145</v>
      </c>
      <c r="E51" s="118" t="s">
        <v>143</v>
      </c>
      <c r="H51" s="109"/>
      <c r="BH51">
        <f>BH46+1</f>
        <v>6</v>
      </c>
      <c r="BI51" t="n">
        <v>8</v>
      </c>
      <c r="BJ51" s="109" t="e">
        <f>$H$30*H46</f>
        <v>#DIV/0!</v>
      </c>
    </row>
    <row r="52" spans="60:62">
      <c r="BH52">
        <f>BH47+1</f>
        <v>6</v>
      </c>
      <c r="BI52" t="n">
        <v>9</v>
      </c>
      <c r="BJ52" s="109" t="e">
        <f>$H$30*H47</f>
        <v>#DIV/0!</v>
      </c>
    </row>
    <row r="53" spans="60:62">
      <c r="BH53">
        <f>BH48+1</f>
        <v>6</v>
      </c>
      <c r="BI53" t="n">
        <v>10</v>
      </c>
      <c r="BJ53" s="109" t="e">
        <f>$H$30*H48</f>
        <v>#DIV/0!</v>
      </c>
    </row>
    <row r="54" spans="60:62">
      <c r="BH54">
        <f>BH51+1</f>
        <v>7</v>
      </c>
      <c r="BI54" t="n">
        <v>8</v>
      </c>
      <c r="BJ54" s="109" t="e">
        <f>$H$31*H46</f>
        <v>#DIV/0!</v>
      </c>
    </row>
    <row r="55" spans="60:62">
      <c r="BH55">
        <f>BH52+1</f>
        <v>7</v>
      </c>
      <c r="BI55" t="n">
        <v>9</v>
      </c>
      <c r="BJ55" s="109" t="e">
        <f>$H$31*H47</f>
        <v>#DIV/0!</v>
      </c>
    </row>
    <row r="56" spans="60:62">
      <c r="BH56">
        <f>BH53+1</f>
        <v>7</v>
      </c>
      <c r="BI56" t="n">
        <v>10</v>
      </c>
      <c r="BJ56" s="109" t="e">
        <f>$H$31*H48</f>
        <v>#DIV/0!</v>
      </c>
    </row>
    <row r="57" spans="60:62">
      <c r="BH57">
        <f>BH55+1</f>
        <v>8</v>
      </c>
      <c r="BI57" t="n">
        <v>9</v>
      </c>
      <c r="BJ57" s="109" t="e">
        <f>$H$32*H47</f>
        <v>#DIV/0!</v>
      </c>
    </row>
    <row r="58" spans="60:62">
      <c r="BH58">
        <f>BH56+1</f>
        <v>8</v>
      </c>
      <c r="BI58" t="n">
        <v>10</v>
      </c>
      <c r="BJ58" s="109" t="e">
        <f>$H$32*H48</f>
        <v>#DIV/0!</v>
      </c>
    </row>
    <row r="59" spans="60:62">
      <c r="BH59">
        <f>BH58+1</f>
        <v>9</v>
      </c>
      <c r="BI59" t="n">
        <v>10</v>
      </c>
      <c r="BJ59" s="109" t="e">
        <f>$H$33*H48</f>
        <v>#DIV/0!</v>
      </c>
    </row>
  </sheetData>
  <mergeCells count="2">
    <mergeCell ref="P1:Q1"/>
    <mergeCell ref="B3:C3"/>
  </mergeCells>
  <conditionalFormatting sqref="H48">
    <cfRule type="cellIs" dxfId="98" priority="1" operator="greaterThan">
      <formula>0.15</formula>
    </cfRule>
  </conditionalFormatting>
  <conditionalFormatting sqref="H38:H48">
    <cfRule type="cellIs" dxfId="99" priority="2" operator="greaterThan">
      <formula>0.15</formula>
    </cfRule>
  </conditionalFormatting>
  <conditionalFormatting sqref="H48">
    <cfRule type="cellIs" dxfId="100" priority="3" operator="greaterThan">
      <formula>0.15</formula>
    </cfRule>
  </conditionalFormatting>
  <conditionalFormatting sqref="H38:H48">
    <cfRule type="cellIs" dxfId="101" priority="4" operator="greaterThan">
      <formula>0.15</formula>
    </cfRule>
  </conditionalFormatting>
  <conditionalFormatting sqref="H34">
    <cfRule type="cellIs" dxfId="102" priority="5" operator="greaterThan">
      <formula>0.15</formula>
    </cfRule>
  </conditionalFormatting>
  <conditionalFormatting sqref="H24:H34">
    <cfRule type="cellIs" dxfId="103" priority="6" operator="greaterThan">
      <formula>0.15</formula>
    </cfRule>
  </conditionalFormatting>
  <conditionalFormatting sqref="H34">
    <cfRule type="cellIs" dxfId="104" priority="7" operator="greaterThan">
      <formula>0.15</formula>
    </cfRule>
  </conditionalFormatting>
  <conditionalFormatting sqref="H24:H34">
    <cfRule type="cellIs" dxfId="105" priority="8" operator="greaterThan">
      <formula>0.15</formula>
    </cfRule>
  </conditionalFormatting>
  <conditionalFormatting sqref="V48">
    <cfRule type="cellIs" dxfId="106" priority="9" operator="greaterThan">
      <formula>0.15</formula>
    </cfRule>
  </conditionalFormatting>
  <conditionalFormatting sqref="V34">
    <cfRule type="cellIs" dxfId="107" priority="10" operator="greaterThan">
      <formula>0.15</formula>
    </cfRule>
  </conditionalFormatting>
  <conditionalFormatting sqref="V24:V34 V38:V48">
    <cfRule type="cellIs" dxfId="108" priority="11" operator="greaterThan">
      <formula>0.15</formula>
    </cfRule>
  </conditionalFormatting>
  <conditionalFormatting sqref="V48">
    <cfRule type="cellIs" dxfId="109" priority="12" operator="greaterThan">
      <formula>0.15</formula>
    </cfRule>
  </conditionalFormatting>
  <conditionalFormatting sqref="V34">
    <cfRule type="cellIs" dxfId="110" priority="13" operator="greaterThan">
      <formula>0.15</formula>
    </cfRule>
  </conditionalFormatting>
  <conditionalFormatting sqref="V24:V34 V38:V48">
    <cfRule type="cellIs" dxfId="111" priority="14" operator="greaterThan">
      <formula>0.15</formula>
    </cfRule>
  </conditionalFormatting>
  <printOptions>
    <extLst>
      <ext uri="smNativeData">
        <pm:pageFlags xmlns:pm="smNativeData" id="15952533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5253380" l="56" r="56" t="56" b="56" borderId="0" fillId="0" vertical="0"/>
        <pm:footer xmlns:pm="smNativeData" id="1595253380" l="56" r="56" t="56" b="56" borderId="0" fillId="0" vertical="2"/>
      </ext>
    </extLst>
  </headerFooter>
  <drawing r:id="rId1"/>
  <legacyDrawing r:id="rId3"/>
  <extLst>
    <ext uri="smNativeData">
      <pm:sheetPrefs xmlns:pm="smNativeData" day="15952533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uny11</cp:lastModifiedBy>
  <cp:revision>0</cp:revision>
  <dcterms:created xsi:type="dcterms:W3CDTF">2006-09-16T00:00:00Z</dcterms:created>
  <dcterms:modified xsi:type="dcterms:W3CDTF">2020-07-20T13:56:20Z</dcterms:modified>
</cp:coreProperties>
</file>