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D0BD592-05C1-4169-B42B-08BEE79FD6AB}" xr6:coauthVersionLast="47" xr6:coauthVersionMax="47" xr10:uidLastSave="{00000000-0000-0000-0000-000000000000}"/>
  <bookViews>
    <workbookView xWindow="-28920" yWindow="1305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SemEntrenamiento" sheetId="17" r:id="rId4"/>
    <sheet name="PLANNING" sheetId="30" r:id="rId5"/>
    <sheet name="PORTEROS" sheetId="33" r:id="rId6"/>
    <sheet name="ESTADIO" sheetId="7" r:id="rId7"/>
    <sheet name="Patrocinadores" sheetId="32" r:id="rId8"/>
    <sheet name="Generaciones" sheetId="9" r:id="rId9"/>
    <sheet name="253CENTRO" sheetId="25" r:id="rId10"/>
    <sheet name="253_CENTROBANDA" sheetId="23" r:id="rId11"/>
    <sheet name="COMPARATIVA" sheetId="21" r:id="rId12"/>
    <sheet name="POR" sheetId="10" r:id="rId13"/>
    <sheet name="DEF" sheetId="11" r:id="rId14"/>
    <sheet name="JUG" sheetId="12" r:id="rId15"/>
    <sheet name="LAT" sheetId="13" r:id="rId16"/>
    <sheet name="ATTLAT" sheetId="28" r:id="rId17"/>
    <sheet name="PAS" sheetId="26" r:id="rId18"/>
    <sheet name="ANO" sheetId="27" r:id="rId19"/>
  </sheets>
  <definedNames>
    <definedName name="_xlnm._FilterDatabase" localSheetId="1" hidden="1">PLANTILLA!$A$1:$AL$24</definedName>
    <definedName name="_xlnm._FilterDatabase" localSheetId="3" hidden="1">SemEntrenamiento!$Q$1:$AA$21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N14" i="2" l="1"/>
  <c r="AD14" i="2" s="1"/>
  <c r="N15" i="2"/>
  <c r="AE15" i="2" s="1"/>
  <c r="N20" i="2"/>
  <c r="AJ14" i="2"/>
  <c r="AJ15" i="2"/>
  <c r="AJ16" i="2"/>
  <c r="AJ17" i="2"/>
  <c r="AJ18" i="2"/>
  <c r="AJ19" i="2"/>
  <c r="AJ20" i="2"/>
  <c r="AJ21" i="2"/>
  <c r="AJ22" i="2"/>
  <c r="AJ23" i="2"/>
  <c r="S14" i="2"/>
  <c r="U14" i="2"/>
  <c r="P14" i="2"/>
  <c r="Q14" i="2"/>
  <c r="M14" i="2"/>
  <c r="I14" i="2"/>
  <c r="J14" i="2"/>
  <c r="K14" i="2"/>
  <c r="N5" i="2"/>
  <c r="U15" i="2"/>
  <c r="S15" i="2"/>
  <c r="P15" i="2"/>
  <c r="Q15" i="2"/>
  <c r="M15" i="2"/>
  <c r="I15" i="2"/>
  <c r="J15" i="2"/>
  <c r="K15" i="2"/>
  <c r="AG16" i="2"/>
  <c r="S16" i="2"/>
  <c r="U16" i="2"/>
  <c r="P16" i="2"/>
  <c r="Q16" i="2"/>
  <c r="M16" i="2"/>
  <c r="I16" i="2"/>
  <c r="AD16" i="2" s="1"/>
  <c r="J16" i="2"/>
  <c r="K16" i="2"/>
  <c r="S17" i="2"/>
  <c r="U17" i="2"/>
  <c r="P17" i="2"/>
  <c r="Q17" i="2"/>
  <c r="M17" i="2"/>
  <c r="I17" i="2"/>
  <c r="AE17" i="2" s="1"/>
  <c r="J17" i="2"/>
  <c r="K17" i="2"/>
  <c r="S19" i="2"/>
  <c r="U19" i="2"/>
  <c r="P19" i="2"/>
  <c r="Q19" i="2"/>
  <c r="M19" i="2"/>
  <c r="I19" i="2"/>
  <c r="AE19" i="2" s="1"/>
  <c r="J19" i="2"/>
  <c r="K19" i="2"/>
  <c r="S10" i="2"/>
  <c r="AJ10" i="2"/>
  <c r="N10" i="2"/>
  <c r="AF16" i="2" l="1"/>
  <c r="AE16" i="2"/>
  <c r="AG14" i="2"/>
  <c r="AF14" i="2"/>
  <c r="AE14" i="2"/>
  <c r="AG19" i="2"/>
  <c r="AG17" i="2"/>
  <c r="AG15" i="2"/>
  <c r="AF19" i="2"/>
  <c r="AF17" i="2"/>
  <c r="AF15" i="2"/>
  <c r="AD19" i="2"/>
  <c r="AD17" i="2"/>
  <c r="AD15" i="2"/>
  <c r="U10" i="2"/>
  <c r="P10" i="2"/>
  <c r="Q10" i="2"/>
  <c r="M10" i="2"/>
  <c r="I10" i="2"/>
  <c r="J10" i="2"/>
  <c r="K10" i="2"/>
  <c r="S5" i="2"/>
  <c r="AJ5" i="2"/>
  <c r="U5" i="2"/>
  <c r="I5" i="2"/>
  <c r="AD5" i="2" s="1"/>
  <c r="J5" i="2"/>
  <c r="K5" i="2"/>
  <c r="M5" i="2"/>
  <c r="P5" i="2"/>
  <c r="Q5" i="2"/>
  <c r="E18" i="30"/>
  <c r="E14" i="30"/>
  <c r="E10" i="30"/>
  <c r="G5" i="30"/>
  <c r="G6" i="30"/>
  <c r="G7" i="30" s="1"/>
  <c r="G8" i="30" s="1"/>
  <c r="G9" i="30" s="1"/>
  <c r="G10" i="30" s="1"/>
  <c r="G11" i="30" s="1"/>
  <c r="G12" i="30" s="1"/>
  <c r="G13" i="30" s="1"/>
  <c r="G4" i="30"/>
  <c r="G3" i="30"/>
  <c r="F15" i="33"/>
  <c r="F12" i="33"/>
  <c r="F13" i="33"/>
  <c r="F14" i="33"/>
  <c r="F8" i="33"/>
  <c r="F9" i="33"/>
  <c r="F10" i="33"/>
  <c r="F7" i="33"/>
  <c r="E6" i="30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B21" i="7"/>
  <c r="B20" i="7"/>
  <c r="B19" i="7"/>
  <c r="B18" i="7"/>
  <c r="D16" i="7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C16" i="7"/>
  <c r="S11" i="2"/>
  <c r="S12" i="2"/>
  <c r="S13" i="2"/>
  <c r="S18" i="2"/>
  <c r="S20" i="2"/>
  <c r="S21" i="2"/>
  <c r="S22" i="2"/>
  <c r="S23" i="2"/>
  <c r="S4" i="2"/>
  <c r="S6" i="2"/>
  <c r="S8" i="2"/>
  <c r="S7" i="2"/>
  <c r="AG10" i="2" l="1"/>
  <c r="AF10" i="2"/>
  <c r="AE10" i="2"/>
  <c r="AD10" i="2"/>
  <c r="AG5" i="2"/>
  <c r="AF5" i="2"/>
  <c r="AE5" i="2"/>
  <c r="G14" i="30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B29" i="1"/>
  <c r="D6" i="32" l="1"/>
  <c r="C6" i="32"/>
  <c r="C5" i="32"/>
  <c r="C4" i="32" l="1"/>
  <c r="D4" i="32"/>
  <c r="C2" i="32"/>
  <c r="A21" i="17" l="1"/>
  <c r="B21" i="17"/>
  <c r="C21" i="17"/>
  <c r="D21" i="17"/>
  <c r="F21" i="17"/>
  <c r="G21" i="17"/>
  <c r="H21" i="17"/>
  <c r="J21" i="17"/>
  <c r="K21" i="17"/>
  <c r="L21" i="17"/>
  <c r="M21" i="17"/>
  <c r="N21" i="17"/>
  <c r="O21" i="17"/>
  <c r="P21" i="17"/>
  <c r="AJ7" i="2"/>
  <c r="Q21" i="17"/>
  <c r="R21" i="17"/>
  <c r="S21" i="17"/>
  <c r="T21" i="17"/>
  <c r="U21" i="17"/>
  <c r="V21" i="17"/>
  <c r="W21" i="17"/>
  <c r="X21" i="17"/>
  <c r="Y21" i="17"/>
  <c r="Z21" i="17"/>
  <c r="AA21" i="17"/>
  <c r="I21" i="17"/>
  <c r="U7" i="2"/>
  <c r="P7" i="2"/>
  <c r="Q7" i="2"/>
  <c r="M7" i="2"/>
  <c r="I7" i="2"/>
  <c r="AG7" i="2" s="1"/>
  <c r="J7" i="2"/>
  <c r="K7" i="2"/>
  <c r="AD7" i="2" l="1"/>
  <c r="AE7" i="2"/>
  <c r="AF7" i="2"/>
  <c r="L36" i="1" l="1"/>
  <c r="A20" i="17"/>
  <c r="B20" i="17"/>
  <c r="C20" i="17"/>
  <c r="D20" i="17"/>
  <c r="F20" i="17"/>
  <c r="G20" i="17"/>
  <c r="H20" i="17"/>
  <c r="J20" i="17"/>
  <c r="K20" i="17"/>
  <c r="L20" i="17"/>
  <c r="M20" i="17"/>
  <c r="N20" i="17"/>
  <c r="O20" i="17"/>
  <c r="P20" i="17"/>
  <c r="I20" i="17"/>
  <c r="AA20" i="17"/>
  <c r="Z20" i="17"/>
  <c r="Y20" i="17"/>
  <c r="X20" i="17"/>
  <c r="W20" i="17"/>
  <c r="V20" i="17"/>
  <c r="U20" i="17"/>
  <c r="T20" i="17"/>
  <c r="S20" i="17"/>
  <c r="R20" i="17"/>
  <c r="Q20" i="17"/>
  <c r="AJ8" i="2"/>
  <c r="U8" i="2" l="1"/>
  <c r="Q8" i="2"/>
  <c r="P8" i="2"/>
  <c r="M8" i="2"/>
  <c r="K8" i="2"/>
  <c r="J8" i="2"/>
  <c r="I8" i="2"/>
  <c r="AE8" i="2" s="1"/>
  <c r="AF8" i="2" l="1"/>
  <c r="AG8" i="2"/>
  <c r="AD8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S54" i="7" l="1"/>
  <c r="S53" i="7"/>
  <c r="S52" i="7"/>
  <c r="S51" i="7"/>
  <c r="T57" i="7"/>
  <c r="U57" i="7"/>
  <c r="T58" i="7"/>
  <c r="U58" i="7" s="1"/>
  <c r="T59" i="7"/>
  <c r="U59" i="7"/>
  <c r="T60" i="7"/>
  <c r="U60" i="7"/>
  <c r="T61" i="7"/>
  <c r="U61" i="7"/>
  <c r="S58" i="7"/>
  <c r="S59" i="7"/>
  <c r="S60" i="7"/>
  <c r="S61" i="7"/>
  <c r="S57" i="7"/>
  <c r="Q58" i="7"/>
  <c r="Q59" i="7"/>
  <c r="Q60" i="7"/>
  <c r="Q57" i="7"/>
  <c r="I38" i="7"/>
  <c r="I39" i="7"/>
  <c r="I40" i="7"/>
  <c r="I37" i="7"/>
  <c r="G38" i="7"/>
  <c r="G39" i="7"/>
  <c r="G40" i="7"/>
  <c r="G37" i="7"/>
  <c r="R48" i="7"/>
  <c r="C37" i="7"/>
  <c r="C39" i="7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J50" i="7"/>
  <c r="J54" i="7" s="1"/>
  <c r="H47" i="7"/>
  <c r="H51" i="7" s="1"/>
  <c r="F49" i="7"/>
  <c r="F53" i="7" s="1"/>
  <c r="E48" i="7"/>
  <c r="E52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R51" i="7"/>
  <c r="T51" i="7"/>
  <c r="U51" i="7"/>
  <c r="R52" i="7"/>
  <c r="T52" i="7"/>
  <c r="U52" i="7"/>
  <c r="R53" i="7"/>
  <c r="T53" i="7"/>
  <c r="U53" i="7"/>
  <c r="R54" i="7"/>
  <c r="T54" i="7"/>
  <c r="U54" i="7"/>
  <c r="U55" i="7" s="1"/>
  <c r="C43" i="7"/>
  <c r="D37" i="7"/>
  <c r="D38" i="7"/>
  <c r="D39" i="7"/>
  <c r="D40" i="7"/>
  <c r="B58" i="7"/>
  <c r="B59" i="7"/>
  <c r="B60" i="7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D60" i="7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D59" i="7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D58" i="7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D57" i="7"/>
  <c r="P54" i="7"/>
  <c r="O54" i="7"/>
  <c r="N54" i="7"/>
  <c r="M54" i="7"/>
  <c r="L54" i="7"/>
  <c r="K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D52" i="7"/>
  <c r="C52" i="7"/>
  <c r="B52" i="7"/>
  <c r="Q51" i="7"/>
  <c r="P51" i="7"/>
  <c r="O51" i="7"/>
  <c r="N51" i="7"/>
  <c r="M51" i="7"/>
  <c r="L51" i="7"/>
  <c r="K51" i="7"/>
  <c r="J51" i="7"/>
  <c r="I51" i="7"/>
  <c r="G51" i="7"/>
  <c r="F51" i="7"/>
  <c r="E51" i="7"/>
  <c r="D51" i="7"/>
  <c r="C51" i="7"/>
  <c r="B51" i="7"/>
  <c r="Q54" i="7"/>
  <c r="Q55" i="7" s="1"/>
  <c r="R40" i="7"/>
  <c r="R39" i="7"/>
  <c r="R38" i="7"/>
  <c r="R37" i="7"/>
  <c r="B36" i="7"/>
  <c r="S55" i="7" l="1"/>
  <c r="T55" i="7"/>
  <c r="R55" i="7"/>
  <c r="U63" i="7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62" i="7"/>
  <c r="C62" i="7" s="1"/>
  <c r="B57" i="7"/>
  <c r="K55" i="7"/>
  <c r="L55" i="7"/>
  <c r="E55" i="7"/>
  <c r="M55" i="7"/>
  <c r="F55" i="7"/>
  <c r="N55" i="7"/>
  <c r="J55" i="7"/>
  <c r="G55" i="7"/>
  <c r="O55" i="7"/>
  <c r="C55" i="7"/>
  <c r="C56" i="7" s="1"/>
  <c r="D55" i="7"/>
  <c r="H55" i="7"/>
  <c r="P55" i="7"/>
  <c r="B55" i="7"/>
  <c r="B56" i="7" s="1"/>
  <c r="I55" i="7"/>
  <c r="E57" i="7"/>
  <c r="C66" i="7" l="1"/>
  <c r="B66" i="7"/>
  <c r="B67" i="7" s="1"/>
  <c r="B68" i="7" s="1"/>
  <c r="D62" i="7"/>
  <c r="D56" i="7"/>
  <c r="F57" i="7"/>
  <c r="C67" i="7" l="1"/>
  <c r="C68" i="7" s="1"/>
  <c r="E62" i="7"/>
  <c r="D66" i="7"/>
  <c r="E56" i="7"/>
  <c r="G57" i="7"/>
  <c r="D67" i="7" l="1"/>
  <c r="D68" i="7" s="1"/>
  <c r="F62" i="7"/>
  <c r="E66" i="7"/>
  <c r="H57" i="7"/>
  <c r="F56" i="7"/>
  <c r="E67" i="7" l="1"/>
  <c r="E68" i="7" s="1"/>
  <c r="G62" i="7"/>
  <c r="F66" i="7"/>
  <c r="I57" i="7"/>
  <c r="G56" i="7"/>
  <c r="F67" i="7" l="1"/>
  <c r="F68" i="7" s="1"/>
  <c r="H62" i="7"/>
  <c r="G66" i="7"/>
  <c r="J57" i="7"/>
  <c r="H56" i="7"/>
  <c r="G67" i="7" l="1"/>
  <c r="G68" i="7" s="1"/>
  <c r="I62" i="7"/>
  <c r="H66" i="7"/>
  <c r="K57" i="7"/>
  <c r="I56" i="7"/>
  <c r="H67" i="7" l="1"/>
  <c r="H68" i="7" s="1"/>
  <c r="J62" i="7"/>
  <c r="I66" i="7"/>
  <c r="L57" i="7"/>
  <c r="J56" i="7"/>
  <c r="I67" i="7" l="1"/>
  <c r="I68" i="7" s="1"/>
  <c r="K62" i="7"/>
  <c r="J66" i="7"/>
  <c r="M57" i="7"/>
  <c r="K56" i="7"/>
  <c r="J67" i="7" l="1"/>
  <c r="J68" i="7" s="1"/>
  <c r="L62" i="7"/>
  <c r="K66" i="7"/>
  <c r="N57" i="7"/>
  <c r="L56" i="7"/>
  <c r="K67" i="7" l="1"/>
  <c r="K68" i="7" s="1"/>
  <c r="M62" i="7"/>
  <c r="L66" i="7"/>
  <c r="M56" i="7"/>
  <c r="O57" i="7"/>
  <c r="L67" i="7" l="1"/>
  <c r="L68" i="7" s="1"/>
  <c r="N62" i="7"/>
  <c r="M66" i="7"/>
  <c r="P57" i="7"/>
  <c r="N56" i="7"/>
  <c r="M67" i="7" l="1"/>
  <c r="M68" i="7" s="1"/>
  <c r="O62" i="7"/>
  <c r="N66" i="7"/>
  <c r="O56" i="7"/>
  <c r="N67" i="7" l="1"/>
  <c r="N68" i="7" s="1"/>
  <c r="P62" i="7"/>
  <c r="O66" i="7"/>
  <c r="P56" i="7"/>
  <c r="O67" i="7" l="1"/>
  <c r="O68" i="7" s="1"/>
  <c r="Q62" i="7"/>
  <c r="P66" i="7"/>
  <c r="Q56" i="7"/>
  <c r="R56" i="7" s="1"/>
  <c r="S56" i="7" s="1"/>
  <c r="T56" i="7" s="1"/>
  <c r="U56" i="7" s="1"/>
  <c r="P67" i="7" l="1"/>
  <c r="P68" i="7" s="1"/>
  <c r="Q66" i="7"/>
  <c r="R62" i="7"/>
  <c r="Q67" i="7" l="1"/>
  <c r="Q68" i="7" s="1"/>
  <c r="S62" i="7"/>
  <c r="R66" i="7"/>
  <c r="R67" i="7" l="1"/>
  <c r="R68" i="7" s="1"/>
  <c r="S66" i="7"/>
  <c r="T62" i="7"/>
  <c r="S67" i="7" l="1"/>
  <c r="S68" i="7" s="1"/>
  <c r="U62" i="7"/>
  <c r="U66" i="7" s="1"/>
  <c r="T66" i="7"/>
  <c r="T67" i="7" l="1"/>
  <c r="T68" i="7" s="1"/>
  <c r="U67" i="7"/>
  <c r="U68" i="7" s="1"/>
  <c r="N24" i="12" l="1"/>
  <c r="N26" i="12"/>
  <c r="N23" i="12"/>
  <c r="N19" i="12"/>
  <c r="N18" i="12"/>
  <c r="N17" i="12"/>
  <c r="N16" i="12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H26" i="28"/>
  <c r="G26" i="28"/>
  <c r="F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D23" i="28"/>
  <c r="B23" i="28"/>
  <c r="A23" i="28"/>
  <c r="Q22" i="28"/>
  <c r="S22" i="28" s="1"/>
  <c r="N22" i="28"/>
  <c r="X22" i="28" s="1"/>
  <c r="AA22" i="28" s="1"/>
  <c r="M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H20" i="28"/>
  <c r="G20" i="28"/>
  <c r="F20" i="28"/>
  <c r="D20" i="28"/>
  <c r="B20" i="28"/>
  <c r="A20" i="28"/>
  <c r="N19" i="28"/>
  <c r="X19" i="28" s="1"/>
  <c r="M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J18" i="28"/>
  <c r="I18" i="28"/>
  <c r="H18" i="28"/>
  <c r="G18" i="28"/>
  <c r="F18" i="28"/>
  <c r="D18" i="28"/>
  <c r="B18" i="28"/>
  <c r="A18" i="28"/>
  <c r="M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K15" i="28"/>
  <c r="J15" i="28"/>
  <c r="I15" i="28"/>
  <c r="H15" i="28"/>
  <c r="G15" i="28"/>
  <c r="F15" i="28"/>
  <c r="D15" i="28"/>
  <c r="B15" i="28"/>
  <c r="A15" i="28"/>
  <c r="M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K10" i="28"/>
  <c r="J10" i="28"/>
  <c r="I10" i="28"/>
  <c r="H10" i="28"/>
  <c r="G10" i="28"/>
  <c r="F10" i="28"/>
  <c r="D10" i="28"/>
  <c r="B10" i="28"/>
  <c r="A10" i="28"/>
  <c r="A1" i="28"/>
  <c r="A18" i="17"/>
  <c r="B18" i="17"/>
  <c r="C18" i="17"/>
  <c r="D18" i="17"/>
  <c r="F18" i="17"/>
  <c r="G18" i="17"/>
  <c r="H18" i="17"/>
  <c r="J18" i="17"/>
  <c r="K18" i="17"/>
  <c r="L18" i="17"/>
  <c r="M18" i="17"/>
  <c r="N18" i="17"/>
  <c r="O18" i="17"/>
  <c r="P18" i="17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Q18" i="17"/>
  <c r="R18" i="17"/>
  <c r="S18" i="17"/>
  <c r="T18" i="17"/>
  <c r="U18" i="17"/>
  <c r="V18" i="17"/>
  <c r="W18" i="17"/>
  <c r="X18" i="17"/>
  <c r="Y18" i="17"/>
  <c r="Z18" i="17"/>
  <c r="AA18" i="17"/>
  <c r="I18" i="17"/>
  <c r="I21" i="2"/>
  <c r="AE21" i="2" l="1"/>
  <c r="AF21" i="2"/>
  <c r="AD21" i="2"/>
  <c r="AG21" i="2"/>
  <c r="E20" i="28"/>
  <c r="G21" i="2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Y17" i="12"/>
  <c r="AB17" i="12" s="1"/>
  <c r="Y23" i="12"/>
  <c r="AB23" i="12" s="1"/>
  <c r="Q19" i="12"/>
  <c r="Q18" i="12"/>
  <c r="Q17" i="12"/>
  <c r="Y24" i="12"/>
  <c r="AB24" i="12" s="1"/>
  <c r="Q26" i="12"/>
  <c r="N15" i="12"/>
  <c r="Q15" i="12" s="1"/>
  <c r="N21" i="12"/>
  <c r="Q21" i="12" s="1"/>
  <c r="Q23" i="12"/>
  <c r="N20" i="12"/>
  <c r="Q20" i="12" s="1"/>
  <c r="Q16" i="12"/>
  <c r="Y19" i="12"/>
  <c r="AB19" i="12" s="1"/>
  <c r="Y18" i="12"/>
  <c r="AB18" i="12" s="1"/>
  <c r="Y21" i="12" l="1"/>
  <c r="AB21" i="12" s="1"/>
  <c r="R24" i="27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AB20" i="12" s="1"/>
  <c r="Y15" i="12"/>
  <c r="AB15" i="12" s="1"/>
  <c r="Q24" i="12"/>
  <c r="R12" i="12" s="1"/>
  <c r="E5" i="21" s="1"/>
  <c r="Y26" i="12"/>
  <c r="AB26" i="12" s="1"/>
  <c r="Y16" i="12"/>
  <c r="AB16" i="12" s="1"/>
  <c r="AC12" i="12" l="1"/>
  <c r="E17" i="21" s="1"/>
  <c r="T10" i="27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J27" i="12"/>
  <c r="K27" i="12"/>
  <c r="L27" i="12"/>
  <c r="M27" i="12"/>
  <c r="AA20" i="11" l="1"/>
  <c r="AD20" i="11" s="1"/>
  <c r="AB19" i="11"/>
  <c r="AB13" i="11"/>
  <c r="AB18" i="11"/>
  <c r="AC7" i="11"/>
  <c r="AE7" i="11" s="1"/>
  <c r="AE2" i="11"/>
  <c r="AD2" i="11"/>
  <c r="N18" i="11"/>
  <c r="Q18" i="11" s="1"/>
  <c r="AD18" i="11" s="1"/>
  <c r="N24" i="11"/>
  <c r="Q24" i="11" s="1"/>
  <c r="N23" i="11"/>
  <c r="Q23" i="11" s="1"/>
  <c r="N22" i="11"/>
  <c r="P22" i="11" s="1"/>
  <c r="N21" i="11"/>
  <c r="P21" i="11" s="1"/>
  <c r="N20" i="11"/>
  <c r="R20" i="11" s="1"/>
  <c r="AC20" i="11" l="1"/>
  <c r="AA24" i="11"/>
  <c r="AA23" i="11"/>
  <c r="AA18" i="11"/>
  <c r="AA22" i="11"/>
  <c r="AA21" i="11"/>
  <c r="R21" i="11"/>
  <c r="Q21" i="11"/>
  <c r="R23" i="11"/>
  <c r="P24" i="11"/>
  <c r="P20" i="11"/>
  <c r="Q20" i="11"/>
  <c r="Q22" i="11"/>
  <c r="R22" i="11"/>
  <c r="P18" i="11"/>
  <c r="AC18" i="11" s="1"/>
  <c r="R18" i="11"/>
  <c r="AE18" i="11" s="1"/>
  <c r="AE24" i="11" l="1"/>
  <c r="AD24" i="11"/>
  <c r="AE21" i="11"/>
  <c r="AD21" i="11"/>
  <c r="AD22" i="11"/>
  <c r="AC22" i="11"/>
  <c r="AE22" i="11"/>
  <c r="AE23" i="11"/>
  <c r="AD23" i="11"/>
  <c r="A1" i="11"/>
  <c r="N19" i="11"/>
  <c r="AA19" i="11" s="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J30" i="11"/>
  <c r="K30" i="11"/>
  <c r="L30" i="11"/>
  <c r="M30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Q19" i="11"/>
  <c r="AD19" i="11" s="1"/>
  <c r="I15" i="21"/>
  <c r="I10" i="26" l="1"/>
  <c r="I10" i="27"/>
  <c r="I6" i="10"/>
  <c r="I15" i="11"/>
  <c r="F9" i="3"/>
  <c r="F4" i="3"/>
  <c r="F21" i="3"/>
  <c r="F16" i="3"/>
  <c r="F3" i="3"/>
  <c r="F11" i="3"/>
  <c r="F18" i="3"/>
  <c r="F10" i="3"/>
  <c r="I11" i="27" l="1"/>
  <c r="I11" i="13"/>
  <c r="I11" i="26"/>
  <c r="I13" i="12"/>
  <c r="I16" i="11"/>
  <c r="I7" i="10"/>
  <c r="K16" i="17"/>
  <c r="M16" i="17"/>
  <c r="N16" i="17"/>
  <c r="O16" i="17"/>
  <c r="P16" i="17"/>
  <c r="J16" i="17"/>
  <c r="H16" i="17"/>
  <c r="G16" i="17"/>
  <c r="F16" i="17"/>
  <c r="D16" i="17"/>
  <c r="C16" i="17"/>
  <c r="B16" i="17"/>
  <c r="A16" i="17"/>
  <c r="L16" i="17" l="1"/>
  <c r="I20" i="28" l="1"/>
  <c r="I20" i="26"/>
  <c r="I20" i="27"/>
  <c r="I20" i="13"/>
  <c r="I22" i="12"/>
  <c r="I16" i="10"/>
  <c r="I25" i="11"/>
  <c r="I23" i="13"/>
  <c r="I23" i="27"/>
  <c r="I23" i="26"/>
  <c r="I25" i="12"/>
  <c r="I28" i="11"/>
  <c r="I19" i="10"/>
  <c r="F8" i="3"/>
  <c r="AC2" i="2" l="1"/>
  <c r="H2" i="2"/>
  <c r="L2" i="2"/>
  <c r="O2" i="2"/>
  <c r="T2" i="2"/>
  <c r="R2" i="2"/>
  <c r="T24" i="2"/>
  <c r="R24" i="2"/>
  <c r="I16" i="17"/>
  <c r="Q16" i="17"/>
  <c r="R16" i="17"/>
  <c r="S16" i="17"/>
  <c r="T16" i="17"/>
  <c r="U16" i="17"/>
  <c r="V16" i="17"/>
  <c r="W16" i="17"/>
  <c r="X16" i="17"/>
  <c r="Y16" i="17"/>
  <c r="Z16" i="17"/>
  <c r="AA16" i="17"/>
  <c r="U21" i="2"/>
  <c r="P21" i="2"/>
  <c r="Q21" i="2"/>
  <c r="M21" i="2"/>
  <c r="J21" i="2"/>
  <c r="K21" i="2"/>
  <c r="F6" i="3" l="1"/>
  <c r="F5" i="3" l="1"/>
  <c r="F15" i="3" l="1"/>
  <c r="J15" i="3"/>
  <c r="K15" i="3"/>
  <c r="Z15" i="3"/>
  <c r="F22" i="3" l="1"/>
  <c r="A10" i="13" l="1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R7" i="11" l="1"/>
  <c r="R19" i="11" s="1"/>
  <c r="AE19" i="11" s="1"/>
  <c r="P19" i="11"/>
  <c r="AC19" i="11" s="1"/>
  <c r="J6" i="21"/>
  <c r="J8" i="21" l="1"/>
  <c r="J9" i="21"/>
  <c r="N13" i="11"/>
  <c r="AA13" i="11" s="1"/>
  <c r="K15" i="17" l="1"/>
  <c r="L15" i="17"/>
  <c r="M15" i="17"/>
  <c r="N15" i="17"/>
  <c r="O15" i="17"/>
  <c r="P15" i="17"/>
  <c r="J15" i="17"/>
  <c r="H15" i="17"/>
  <c r="G15" i="17"/>
  <c r="F15" i="17"/>
  <c r="D15" i="17"/>
  <c r="C15" i="17"/>
  <c r="B15" i="17"/>
  <c r="A15" i="17"/>
  <c r="A17" i="17"/>
  <c r="B17" i="17"/>
  <c r="C17" i="17"/>
  <c r="D17" i="17"/>
  <c r="F17" i="17"/>
  <c r="G17" i="17"/>
  <c r="H17" i="17"/>
  <c r="J17" i="17"/>
  <c r="K17" i="17"/>
  <c r="L17" i="17"/>
  <c r="M17" i="17"/>
  <c r="N17" i="17"/>
  <c r="O17" i="17"/>
  <c r="P17" i="17"/>
  <c r="I26" i="28" l="1"/>
  <c r="I26" i="27" l="1"/>
  <c r="I26" i="26"/>
  <c r="I26" i="13"/>
  <c r="I27" i="12"/>
  <c r="I22" i="10"/>
  <c r="I30" i="11"/>
  <c r="Q15" i="17" l="1"/>
  <c r="R15" i="17"/>
  <c r="S15" i="17"/>
  <c r="T15" i="17"/>
  <c r="U15" i="17"/>
  <c r="V15" i="17"/>
  <c r="W15" i="17"/>
  <c r="X15" i="17"/>
  <c r="Y15" i="17"/>
  <c r="Z15" i="17"/>
  <c r="AA15" i="17"/>
  <c r="I15" i="17"/>
  <c r="Q17" i="17"/>
  <c r="R17" i="17"/>
  <c r="S17" i="17"/>
  <c r="T17" i="17"/>
  <c r="U17" i="17"/>
  <c r="V17" i="17"/>
  <c r="W17" i="17"/>
  <c r="X17" i="17"/>
  <c r="Y17" i="17"/>
  <c r="Z17" i="17"/>
  <c r="AA17" i="17"/>
  <c r="I17" i="17"/>
  <c r="S9" i="2"/>
  <c r="AJ9" i="2" l="1"/>
  <c r="U9" i="2"/>
  <c r="P9" i="2"/>
  <c r="Q9" i="2"/>
  <c r="M9" i="2"/>
  <c r="I9" i="2"/>
  <c r="E11" i="28" s="1"/>
  <c r="J9" i="2"/>
  <c r="K9" i="2"/>
  <c r="E12" i="28"/>
  <c r="E12" i="26" l="1"/>
  <c r="E12" i="27"/>
  <c r="E12" i="13"/>
  <c r="E14" i="12"/>
  <c r="E17" i="11"/>
  <c r="E8" i="10"/>
  <c r="E11" i="27"/>
  <c r="E11" i="26"/>
  <c r="E11" i="13"/>
  <c r="E13" i="12"/>
  <c r="E7" i="10"/>
  <c r="E16" i="11"/>
  <c r="AG9" i="2"/>
  <c r="AF9" i="2"/>
  <c r="AE9" i="2"/>
  <c r="AD9" i="2"/>
  <c r="I3" i="17" l="1"/>
  <c r="Q3" i="17"/>
  <c r="R3" i="17"/>
  <c r="S3" i="17"/>
  <c r="T3" i="17"/>
  <c r="U3" i="17"/>
  <c r="V3" i="17"/>
  <c r="W3" i="17"/>
  <c r="X3" i="17"/>
  <c r="Y3" i="17"/>
  <c r="Z3" i="17"/>
  <c r="AA3" i="17"/>
  <c r="AJ12" i="2"/>
  <c r="U12" i="2"/>
  <c r="P12" i="2"/>
  <c r="Q12" i="2"/>
  <c r="M12" i="2"/>
  <c r="I12" i="2"/>
  <c r="J12" i="2"/>
  <c r="K12" i="2"/>
  <c r="L13" i="17"/>
  <c r="B19" i="17"/>
  <c r="C19" i="17"/>
  <c r="D19" i="17"/>
  <c r="F19" i="17"/>
  <c r="G19" i="17"/>
  <c r="H19" i="17"/>
  <c r="B11" i="17"/>
  <c r="C11" i="17"/>
  <c r="D11" i="17"/>
  <c r="F11" i="17"/>
  <c r="G11" i="17"/>
  <c r="H11" i="17"/>
  <c r="B4" i="17"/>
  <c r="C4" i="17"/>
  <c r="D4" i="17"/>
  <c r="F4" i="17"/>
  <c r="G4" i="17"/>
  <c r="H4" i="17"/>
  <c r="B5" i="17"/>
  <c r="C5" i="17"/>
  <c r="D5" i="17"/>
  <c r="F5" i="17"/>
  <c r="G5" i="17"/>
  <c r="H5" i="17"/>
  <c r="B7" i="17"/>
  <c r="C7" i="17"/>
  <c r="D7" i="17"/>
  <c r="F7" i="17"/>
  <c r="G7" i="17"/>
  <c r="H7" i="17"/>
  <c r="B3" i="17"/>
  <c r="C3" i="17"/>
  <c r="D3" i="17"/>
  <c r="F3" i="17"/>
  <c r="G3" i="17"/>
  <c r="H3" i="17"/>
  <c r="B6" i="17"/>
  <c r="C6" i="17"/>
  <c r="D6" i="17"/>
  <c r="F6" i="17"/>
  <c r="G6" i="17"/>
  <c r="H6" i="17"/>
  <c r="B8" i="17"/>
  <c r="C8" i="17"/>
  <c r="D8" i="17"/>
  <c r="F8" i="17"/>
  <c r="G8" i="17"/>
  <c r="H8" i="17"/>
  <c r="B13" i="17"/>
  <c r="C13" i="17"/>
  <c r="D13" i="17"/>
  <c r="F13" i="17"/>
  <c r="G13" i="17"/>
  <c r="H13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12" i="17"/>
  <c r="B12" i="17"/>
  <c r="C12" i="17"/>
  <c r="D12" i="17"/>
  <c r="F12" i="17"/>
  <c r="G12" i="17"/>
  <c r="H12" i="17"/>
  <c r="J12" i="17"/>
  <c r="K12" i="17"/>
  <c r="L12" i="17"/>
  <c r="M12" i="17"/>
  <c r="N12" i="17"/>
  <c r="O12" i="17"/>
  <c r="P12" i="17"/>
  <c r="A19" i="17"/>
  <c r="J19" i="17"/>
  <c r="K19" i="17"/>
  <c r="L19" i="17"/>
  <c r="M19" i="17"/>
  <c r="N19" i="17"/>
  <c r="O19" i="17"/>
  <c r="P19" i="17"/>
  <c r="A11" i="17"/>
  <c r="J11" i="17"/>
  <c r="K11" i="17"/>
  <c r="L11" i="17"/>
  <c r="M11" i="17"/>
  <c r="N11" i="17"/>
  <c r="O11" i="17"/>
  <c r="P11" i="17"/>
  <c r="A4" i="17"/>
  <c r="J4" i="17"/>
  <c r="K4" i="17"/>
  <c r="L4" i="17"/>
  <c r="M4" i="17"/>
  <c r="N4" i="17"/>
  <c r="O4" i="17"/>
  <c r="P4" i="17"/>
  <c r="A5" i="17"/>
  <c r="J5" i="17"/>
  <c r="K5" i="17"/>
  <c r="L5" i="17"/>
  <c r="M5" i="17"/>
  <c r="N5" i="17"/>
  <c r="O5" i="17"/>
  <c r="P5" i="17"/>
  <c r="A7" i="17"/>
  <c r="J7" i="17"/>
  <c r="K7" i="17"/>
  <c r="L7" i="17"/>
  <c r="M7" i="17"/>
  <c r="N7" i="17"/>
  <c r="O7" i="17"/>
  <c r="P7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8" i="17"/>
  <c r="J8" i="17"/>
  <c r="K8" i="17"/>
  <c r="L8" i="17"/>
  <c r="M8" i="17"/>
  <c r="N8" i="17"/>
  <c r="O8" i="17"/>
  <c r="P8" i="17"/>
  <c r="A13" i="17"/>
  <c r="J13" i="17"/>
  <c r="K13" i="17"/>
  <c r="M13" i="17"/>
  <c r="N13" i="17"/>
  <c r="O13" i="17"/>
  <c r="P13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E16" i="28" l="1"/>
  <c r="AE12" i="2"/>
  <c r="AF12" i="2"/>
  <c r="AG12" i="2"/>
  <c r="AD12" i="2"/>
  <c r="E16" i="26"/>
  <c r="E16" i="27"/>
  <c r="E16" i="13"/>
  <c r="E18" i="12"/>
  <c r="E21" i="11"/>
  <c r="E12" i="10"/>
  <c r="L19" i="28" l="1"/>
  <c r="L21" i="28"/>
  <c r="L22" i="28"/>
  <c r="L17" i="28"/>
  <c r="L24" i="28"/>
  <c r="L18" i="28"/>
  <c r="L22" i="27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AE13" i="11" s="1"/>
  <c r="AH13" i="11" s="1"/>
  <c r="D16" i="21" s="1"/>
  <c r="Q13" i="11"/>
  <c r="AD13" i="11" s="1"/>
  <c r="AG13" i="11" s="1"/>
  <c r="C16" i="21" s="1"/>
  <c r="P13" i="11"/>
  <c r="AC13" i="11" s="1"/>
  <c r="AF13" i="11" s="1"/>
  <c r="B16" i="21" s="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E11" i="7"/>
  <c r="P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Z16" i="3"/>
  <c r="K16" i="3"/>
  <c r="J16" i="3"/>
  <c r="Z18" i="3"/>
  <c r="K18" i="3"/>
  <c r="J18" i="3"/>
  <c r="Z8" i="3"/>
  <c r="K8" i="3"/>
  <c r="J8" i="3"/>
  <c r="Z5" i="3"/>
  <c r="K5" i="3"/>
  <c r="J5" i="3"/>
  <c r="Z4" i="3"/>
  <c r="K4" i="3"/>
  <c r="J4" i="3"/>
  <c r="Z10" i="3"/>
  <c r="K10" i="3"/>
  <c r="J10" i="3"/>
  <c r="Z9" i="3"/>
  <c r="K9" i="3"/>
  <c r="J9" i="3"/>
  <c r="Z3" i="3"/>
  <c r="K3" i="3"/>
  <c r="J3" i="3"/>
  <c r="Z11" i="3"/>
  <c r="K11" i="3"/>
  <c r="J11" i="3"/>
  <c r="Z13" i="3"/>
  <c r="K13" i="3"/>
  <c r="J13" i="3"/>
  <c r="F13" i="3"/>
  <c r="Z14" i="3"/>
  <c r="K14" i="3"/>
  <c r="J14" i="3"/>
  <c r="F14" i="3"/>
  <c r="Z6" i="3"/>
  <c r="K6" i="3"/>
  <c r="J6" i="3"/>
  <c r="Z17" i="3"/>
  <c r="K17" i="3"/>
  <c r="J17" i="3"/>
  <c r="F17" i="3"/>
  <c r="Z19" i="3"/>
  <c r="K19" i="3"/>
  <c r="J19" i="3"/>
  <c r="F19" i="3"/>
  <c r="Z20" i="3"/>
  <c r="K20" i="3"/>
  <c r="J20" i="3"/>
  <c r="F20" i="3"/>
  <c r="Z21" i="3"/>
  <c r="K21" i="3"/>
  <c r="J21" i="3"/>
  <c r="Z22" i="3"/>
  <c r="K22" i="3"/>
  <c r="J22" i="3"/>
  <c r="AA10" i="17"/>
  <c r="Z10" i="17"/>
  <c r="Y10" i="17"/>
  <c r="X10" i="17"/>
  <c r="W10" i="17"/>
  <c r="V10" i="17"/>
  <c r="U10" i="17"/>
  <c r="T10" i="17"/>
  <c r="S10" i="17"/>
  <c r="R10" i="17"/>
  <c r="Q10" i="17"/>
  <c r="I10" i="17"/>
  <c r="E24" i="28"/>
  <c r="AA14" i="17"/>
  <c r="Z14" i="17"/>
  <c r="Y14" i="17"/>
  <c r="X14" i="17"/>
  <c r="W14" i="17"/>
  <c r="V14" i="17"/>
  <c r="U14" i="17"/>
  <c r="T14" i="17"/>
  <c r="S14" i="17"/>
  <c r="R14" i="17"/>
  <c r="Q14" i="17"/>
  <c r="I14" i="17"/>
  <c r="E23" i="28"/>
  <c r="AA9" i="17"/>
  <c r="Z9" i="17"/>
  <c r="Y9" i="17"/>
  <c r="X9" i="17"/>
  <c r="W9" i="17"/>
  <c r="V9" i="17"/>
  <c r="U9" i="17"/>
  <c r="T9" i="17"/>
  <c r="S9" i="17"/>
  <c r="R9" i="17"/>
  <c r="Q9" i="17"/>
  <c r="I9" i="17"/>
  <c r="U23" i="2"/>
  <c r="Q23" i="2"/>
  <c r="P23" i="2"/>
  <c r="M23" i="2"/>
  <c r="K23" i="2"/>
  <c r="J23" i="2"/>
  <c r="I23" i="2"/>
  <c r="AA2" i="17"/>
  <c r="Z2" i="17"/>
  <c r="Y2" i="17"/>
  <c r="X2" i="17"/>
  <c r="W2" i="17"/>
  <c r="V2" i="17"/>
  <c r="U2" i="17"/>
  <c r="T2" i="17"/>
  <c r="S2" i="17"/>
  <c r="R2" i="17"/>
  <c r="Q2" i="17"/>
  <c r="I2" i="17"/>
  <c r="U22" i="2"/>
  <c r="Q22" i="2"/>
  <c r="P22" i="2"/>
  <c r="M22" i="2"/>
  <c r="K22" i="2"/>
  <c r="J22" i="2"/>
  <c r="I22" i="2"/>
  <c r="E26" i="28"/>
  <c r="AA6" i="17"/>
  <c r="Z6" i="17"/>
  <c r="Y6" i="17"/>
  <c r="X6" i="17"/>
  <c r="W6" i="17"/>
  <c r="V6" i="17"/>
  <c r="U6" i="17"/>
  <c r="T6" i="17"/>
  <c r="S6" i="17"/>
  <c r="R6" i="17"/>
  <c r="Q6" i="17"/>
  <c r="I6" i="17"/>
  <c r="AJ13" i="2"/>
  <c r="U13" i="2"/>
  <c r="Q13" i="2"/>
  <c r="P13" i="2"/>
  <c r="M13" i="2"/>
  <c r="K13" i="2"/>
  <c r="J13" i="2"/>
  <c r="I13" i="2"/>
  <c r="AA8" i="17"/>
  <c r="Z8" i="17"/>
  <c r="Y8" i="17"/>
  <c r="X8" i="17"/>
  <c r="W8" i="17"/>
  <c r="V8" i="17"/>
  <c r="U8" i="17"/>
  <c r="T8" i="17"/>
  <c r="S8" i="17"/>
  <c r="R8" i="17"/>
  <c r="Q8" i="17"/>
  <c r="I8" i="17"/>
  <c r="U20" i="2"/>
  <c r="Q20" i="2"/>
  <c r="P20" i="2"/>
  <c r="M20" i="2"/>
  <c r="K20" i="2"/>
  <c r="J20" i="2"/>
  <c r="I20" i="2"/>
  <c r="AA7" i="17"/>
  <c r="Z7" i="17"/>
  <c r="Y7" i="17"/>
  <c r="X7" i="17"/>
  <c r="W7" i="17"/>
  <c r="V7" i="17"/>
  <c r="U7" i="17"/>
  <c r="T7" i="17"/>
  <c r="S7" i="17"/>
  <c r="R7" i="17"/>
  <c r="Q7" i="17"/>
  <c r="I7" i="17"/>
  <c r="U18" i="2"/>
  <c r="Q18" i="2"/>
  <c r="P18" i="2"/>
  <c r="M18" i="2"/>
  <c r="K18" i="2"/>
  <c r="J18" i="2"/>
  <c r="I18" i="2"/>
  <c r="AA5" i="17"/>
  <c r="Z5" i="17"/>
  <c r="Y5" i="17"/>
  <c r="X5" i="17"/>
  <c r="W5" i="17"/>
  <c r="V5" i="17"/>
  <c r="U5" i="17"/>
  <c r="T5" i="17"/>
  <c r="S5" i="17"/>
  <c r="R5" i="17"/>
  <c r="Q5" i="17"/>
  <c r="I5" i="17"/>
  <c r="E27" i="28"/>
  <c r="AA11" i="17"/>
  <c r="Z11" i="17"/>
  <c r="Y11" i="17"/>
  <c r="X11" i="17"/>
  <c r="W11" i="17"/>
  <c r="V11" i="17"/>
  <c r="U11" i="17"/>
  <c r="T11" i="17"/>
  <c r="S11" i="17"/>
  <c r="R11" i="17"/>
  <c r="Q11" i="17"/>
  <c r="I11" i="17"/>
  <c r="AA4" i="17"/>
  <c r="Z4" i="17"/>
  <c r="Y4" i="17"/>
  <c r="X4" i="17"/>
  <c r="W4" i="17"/>
  <c r="V4" i="17"/>
  <c r="U4" i="17"/>
  <c r="T4" i="17"/>
  <c r="S4" i="17"/>
  <c r="R4" i="17"/>
  <c r="Q4" i="17"/>
  <c r="I4" i="17"/>
  <c r="AJ11" i="2"/>
  <c r="U11" i="2"/>
  <c r="Q11" i="2"/>
  <c r="P11" i="2"/>
  <c r="M11" i="2"/>
  <c r="K11" i="2"/>
  <c r="J11" i="2"/>
  <c r="I11" i="2"/>
  <c r="E25" i="28"/>
  <c r="AA13" i="17"/>
  <c r="Z13" i="17"/>
  <c r="Y13" i="17"/>
  <c r="X13" i="17"/>
  <c r="W13" i="17"/>
  <c r="V13" i="17"/>
  <c r="U13" i="17"/>
  <c r="T13" i="17"/>
  <c r="S13" i="17"/>
  <c r="R13" i="17"/>
  <c r="Q13" i="17"/>
  <c r="I13" i="17"/>
  <c r="AJ6" i="2"/>
  <c r="U6" i="2"/>
  <c r="Q6" i="2"/>
  <c r="P6" i="2"/>
  <c r="M6" i="2"/>
  <c r="K6" i="2"/>
  <c r="J6" i="2"/>
  <c r="I6" i="2"/>
  <c r="E10" i="28" s="1"/>
  <c r="AA19" i="17"/>
  <c r="Z19" i="17"/>
  <c r="Y19" i="17"/>
  <c r="X19" i="17"/>
  <c r="W19" i="17"/>
  <c r="V19" i="17"/>
  <c r="U19" i="17"/>
  <c r="T19" i="17"/>
  <c r="S19" i="17"/>
  <c r="R19" i="17"/>
  <c r="Q19" i="17"/>
  <c r="I19" i="17"/>
  <c r="AA12" i="17"/>
  <c r="Z12" i="17"/>
  <c r="Y12" i="17"/>
  <c r="X12" i="17"/>
  <c r="W12" i="17"/>
  <c r="V12" i="17"/>
  <c r="U12" i="17"/>
  <c r="T12" i="17"/>
  <c r="S12" i="17"/>
  <c r="R12" i="17"/>
  <c r="Q12" i="17"/>
  <c r="I12" i="17"/>
  <c r="AJ4" i="2"/>
  <c r="U4" i="2"/>
  <c r="Q4" i="2"/>
  <c r="P4" i="2"/>
  <c r="M4" i="2"/>
  <c r="K4" i="2"/>
  <c r="J4" i="2"/>
  <c r="I4" i="2"/>
  <c r="AE4" i="2" s="1"/>
  <c r="C1" i="2"/>
  <c r="AD20" i="2" l="1"/>
  <c r="AG20" i="2"/>
  <c r="AE20" i="2"/>
  <c r="AF20" i="2"/>
  <c r="AG22" i="2"/>
  <c r="AD22" i="2"/>
  <c r="AE22" i="2"/>
  <c r="AF22" i="2"/>
  <c r="AE23" i="2"/>
  <c r="AF23" i="2"/>
  <c r="AG23" i="2"/>
  <c r="AD23" i="2"/>
  <c r="AF18" i="2"/>
  <c r="AG18" i="2"/>
  <c r="AD18" i="2"/>
  <c r="AE18" i="2"/>
  <c r="E14" i="2"/>
  <c r="E22" i="2"/>
  <c r="E23" i="2"/>
  <c r="E15" i="2"/>
  <c r="E21" i="2"/>
  <c r="E16" i="2"/>
  <c r="E17" i="2"/>
  <c r="E19" i="2"/>
  <c r="E12" i="2"/>
  <c r="E10" i="2"/>
  <c r="E13" i="28"/>
  <c r="E22" i="28"/>
  <c r="E17" i="28"/>
  <c r="AE13" i="2"/>
  <c r="AF13" i="2"/>
  <c r="AG13" i="2"/>
  <c r="AD13" i="2"/>
  <c r="E14" i="28"/>
  <c r="AE11" i="2"/>
  <c r="AF11" i="2"/>
  <c r="AG11" i="2"/>
  <c r="AD11" i="2"/>
  <c r="E21" i="28"/>
  <c r="E18" i="28"/>
  <c r="E15" i="28"/>
  <c r="E19" i="28"/>
  <c r="E7" i="2"/>
  <c r="E21" i="17" s="1"/>
  <c r="E4" i="2"/>
  <c r="E5" i="2"/>
  <c r="E6" i="2"/>
  <c r="E8" i="2"/>
  <c r="E20" i="17" s="1"/>
  <c r="E13" i="2"/>
  <c r="E20" i="2"/>
  <c r="E18" i="2"/>
  <c r="E11" i="2"/>
  <c r="E9" i="2"/>
  <c r="D5" i="3"/>
  <c r="D6" i="3"/>
  <c r="D14" i="3"/>
  <c r="D17" i="3"/>
  <c r="D18" i="3"/>
  <c r="D16" i="3"/>
  <c r="D11" i="3"/>
  <c r="D13" i="3"/>
  <c r="D19" i="3"/>
  <c r="D9" i="3"/>
  <c r="D20" i="3"/>
  <c r="D4" i="3"/>
  <c r="D10" i="3"/>
  <c r="D3" i="3"/>
  <c r="K22" i="28"/>
  <c r="K14" i="28"/>
  <c r="L10" i="28"/>
  <c r="L14" i="28"/>
  <c r="L15" i="28"/>
  <c r="K18" i="28"/>
  <c r="D8" i="3"/>
  <c r="B24" i="7"/>
  <c r="B28" i="7" s="1"/>
  <c r="I10" i="7"/>
  <c r="I11" i="7"/>
  <c r="D21" i="3"/>
  <c r="D15" i="3"/>
  <c r="I16" i="21"/>
  <c r="D22" i="3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7" i="12"/>
  <c r="E30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1" i="10"/>
  <c r="E27" i="27"/>
  <c r="E27" i="26"/>
  <c r="E27" i="13"/>
  <c r="E23" i="10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S13" i="11"/>
  <c r="B4" i="21" s="1"/>
  <c r="T13" i="11"/>
  <c r="C4" i="21" s="1"/>
  <c r="U13" i="11"/>
  <c r="D4" i="21" s="1"/>
  <c r="Q2" i="2"/>
  <c r="P2" i="2"/>
  <c r="S2" i="2"/>
  <c r="S24" i="2"/>
  <c r="I12" i="7"/>
  <c r="AF6" i="2"/>
  <c r="E12" i="12"/>
  <c r="E10" i="13"/>
  <c r="L12" i="12"/>
  <c r="L10" i="13"/>
  <c r="J8" i="7"/>
  <c r="C24" i="7"/>
  <c r="C8" i="7"/>
  <c r="C9" i="7"/>
  <c r="K8" i="7"/>
  <c r="B12" i="7"/>
  <c r="B26" i="3"/>
  <c r="AE6" i="2"/>
  <c r="U24" i="2"/>
  <c r="AG6" i="2"/>
  <c r="AD6" i="2"/>
  <c r="AF4" i="2"/>
  <c r="B17" i="7"/>
  <c r="L8" i="7"/>
  <c r="B13" i="7"/>
  <c r="B10" i="7" s="1"/>
  <c r="C23" i="7"/>
  <c r="B30" i="7"/>
  <c r="C30" i="7" s="1"/>
  <c r="C25" i="7"/>
  <c r="E13" i="11"/>
  <c r="E4" i="10"/>
  <c r="G13" i="11"/>
  <c r="G4" i="10"/>
  <c r="AD4" i="2"/>
  <c r="C11" i="7"/>
  <c r="AG4" i="2"/>
  <c r="P4" i="10"/>
  <c r="W4" i="10" s="1"/>
  <c r="C3" i="21" s="1"/>
  <c r="I3" i="21" s="1"/>
  <c r="Q4" i="10"/>
  <c r="X4" i="10" s="1"/>
  <c r="D3" i="21" s="1"/>
  <c r="O5" i="10"/>
  <c r="C20" i="28" l="1"/>
  <c r="C14" i="11"/>
  <c r="Y14" i="11" s="1"/>
  <c r="C23" i="28"/>
  <c r="C15" i="9"/>
  <c r="D15" i="9" s="1"/>
  <c r="E15" i="9" s="1"/>
  <c r="C13" i="28"/>
  <c r="C24" i="28"/>
  <c r="C15" i="28"/>
  <c r="C12" i="28"/>
  <c r="C19" i="28"/>
  <c r="C2" i="9"/>
  <c r="D2" i="9" s="1"/>
  <c r="E2" i="9" s="1"/>
  <c r="E18" i="17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5" i="13"/>
  <c r="C15" i="12"/>
  <c r="W15" i="12" s="1"/>
  <c r="C13" i="13"/>
  <c r="C22" i="12"/>
  <c r="W22" i="12" s="1"/>
  <c r="C20" i="13"/>
  <c r="C17" i="12"/>
  <c r="W17" i="12" s="1"/>
  <c r="C15" i="13"/>
  <c r="C29" i="13"/>
  <c r="C21" i="12"/>
  <c r="W21" i="12" s="1"/>
  <c r="C19" i="13"/>
  <c r="C27" i="13"/>
  <c r="C27" i="12"/>
  <c r="W27" i="12" s="1"/>
  <c r="C26" i="13"/>
  <c r="C28" i="11"/>
  <c r="Y28" i="11" s="1"/>
  <c r="C25" i="12"/>
  <c r="W25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16" i="10"/>
  <c r="C25" i="11"/>
  <c r="Y25" i="11" s="1"/>
  <c r="C18" i="10"/>
  <c r="C27" i="11"/>
  <c r="Y27" i="11" s="1"/>
  <c r="C9" i="10"/>
  <c r="C18" i="11"/>
  <c r="Y18" i="11" s="1"/>
  <c r="C22" i="10"/>
  <c r="C30" i="11"/>
  <c r="Y30" i="11" s="1"/>
  <c r="C21" i="10"/>
  <c r="C17" i="10"/>
  <c r="C26" i="11"/>
  <c r="Y26" i="11" s="1"/>
  <c r="C15" i="10"/>
  <c r="C24" i="11"/>
  <c r="Y24" i="11" s="1"/>
  <c r="C25" i="10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C10" i="10"/>
  <c r="C12" i="9"/>
  <c r="D12" i="9" s="1"/>
  <c r="E12" i="9" s="1"/>
  <c r="C14" i="10"/>
  <c r="C20" i="10"/>
  <c r="C11" i="9"/>
  <c r="D11" i="9" s="1"/>
  <c r="E11" i="9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E16" i="17"/>
  <c r="C14" i="9"/>
  <c r="D14" i="9" s="1"/>
  <c r="E14" i="9" s="1"/>
  <c r="C9" i="9"/>
  <c r="D9" i="9" s="1"/>
  <c r="E9" i="9" s="1"/>
  <c r="C12" i="12"/>
  <c r="W12" i="12" s="1"/>
  <c r="C10" i="13"/>
  <c r="E15" i="17"/>
  <c r="E17" i="17"/>
  <c r="E8" i="17"/>
  <c r="E10" i="17"/>
  <c r="E14" i="17"/>
  <c r="E9" i="17"/>
  <c r="E2" i="17"/>
  <c r="E6" i="17"/>
  <c r="E13" i="17"/>
  <c r="E11" i="17"/>
  <c r="E19" i="17"/>
  <c r="E5" i="17"/>
  <c r="E4" i="17"/>
  <c r="E12" i="17"/>
  <c r="E7" i="17"/>
  <c r="E3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C22" i="7"/>
  <c r="C17" i="7"/>
  <c r="E23" i="7" l="1"/>
  <c r="E25" i="7"/>
  <c r="D17" i="7"/>
  <c r="D22" i="7"/>
  <c r="D26" i="7" s="1"/>
  <c r="D31" i="7" s="1"/>
  <c r="B33" i="7"/>
  <c r="C32" i="7"/>
  <c r="E24" i="7"/>
  <c r="E31" i="7"/>
  <c r="F30" i="7"/>
  <c r="G30" i="7" s="1"/>
  <c r="F24" i="7" l="1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G24" i="7" l="1"/>
  <c r="G25" i="7"/>
  <c r="F22" i="7"/>
  <c r="F26" i="7" s="1"/>
  <c r="F31" i="7" s="1"/>
  <c r="F17" i="7"/>
  <c r="D33" i="7"/>
  <c r="E32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AC16" i="7" l="1"/>
  <c r="I25" i="7"/>
  <c r="I23" i="7"/>
  <c r="G32" i="7"/>
  <c r="F33" i="7"/>
  <c r="H22" i="7"/>
  <c r="H26" i="7" s="1"/>
  <c r="H31" i="7" s="1"/>
  <c r="H17" i="7"/>
  <c r="I24" i="7"/>
  <c r="M31" i="7"/>
  <c r="N30" i="7"/>
  <c r="O30" i="7" s="1"/>
  <c r="AD16" i="7" l="1"/>
  <c r="J24" i="7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K24" i="7" l="1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J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</commentList>
</comments>
</file>

<file path=xl/sharedStrings.xml><?xml version="1.0" encoding="utf-8"?>
<sst xmlns="http://schemas.openxmlformats.org/spreadsheetml/2006/main" count="934" uniqueCount="303">
  <si>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</si>
  <si>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</si>
  <si>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</si>
  <si>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</si>
  <si>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</si>
  <si>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</si>
  <si>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</si>
  <si>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</si>
  <si>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</si>
  <si>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POR</t>
  </si>
  <si>
    <t>DAV</t>
  </si>
  <si>
    <t>DEF</t>
  </si>
  <si>
    <t>EXT</t>
  </si>
  <si>
    <t>MED</t>
  </si>
  <si>
    <t>Més vegades Capità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</si>
  <si>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</si>
  <si>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</si>
  <si>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</si>
  <si>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</si>
  <si>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</si>
  <si>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</si>
  <si>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</si>
  <si>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</si>
  <si>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</si>
  <si>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</si>
  <si>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</si>
  <si>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</si>
  <si>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</si>
  <si>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</si>
  <si>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</si>
  <si>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</si>
  <si>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</si>
  <si>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</si>
  <si>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</si>
  <si>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</si>
  <si>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</si>
  <si>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</si>
  <si>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</si>
  <si>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</si>
  <si>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</si>
  <si>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</si>
  <si>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</si>
  <si>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JMn</t>
  </si>
  <si>
    <t>JMx</t>
  </si>
  <si>
    <t>CA</t>
  </si>
  <si>
    <t>PEN</t>
  </si>
  <si>
    <t>Ag</t>
  </si>
  <si>
    <t>Ho</t>
  </si>
  <si>
    <t>%T</t>
  </si>
  <si>
    <t>Total</t>
  </si>
  <si>
    <t>DC</t>
  </si>
  <si>
    <t>LD</t>
  </si>
  <si>
    <t>INN</t>
  </si>
  <si>
    <t>INO</t>
  </si>
  <si>
    <t>EN</t>
  </si>
  <si>
    <t>EhM</t>
  </si>
  <si>
    <t>DD</t>
  </si>
  <si>
    <t>LastWeek</t>
  </si>
  <si>
    <t>#1</t>
  </si>
  <si>
    <t>E. Tarrida</t>
  </si>
  <si>
    <t>RAP</t>
  </si>
  <si>
    <t>CAB</t>
  </si>
  <si>
    <t>LAT</t>
  </si>
  <si>
    <t>CEN</t>
  </si>
  <si>
    <t>#2</t>
  </si>
  <si>
    <t>B. Corominola</t>
  </si>
  <si>
    <t>#9</t>
  </si>
  <si>
    <t>G. Durand</t>
  </si>
  <si>
    <t>T. Orozco</t>
  </si>
  <si>
    <t>T. Lebon</t>
  </si>
  <si>
    <t>TEC</t>
  </si>
  <si>
    <t>#11</t>
  </si>
  <si>
    <t>L. Grière</t>
  </si>
  <si>
    <t>#5</t>
  </si>
  <si>
    <t>A. Balsebre</t>
  </si>
  <si>
    <t>#7</t>
  </si>
  <si>
    <t>A. Baldoví</t>
  </si>
  <si>
    <t>#13</t>
  </si>
  <si>
    <t>R. Abrain</t>
  </si>
  <si>
    <t>I. Velayo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</si>
  <si>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</si>
  <si>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</si>
  <si>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</si>
  <si>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</si>
  <si>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</si>
  <si>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</si>
  <si>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</si>
  <si>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</si>
  <si>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</si>
  <si>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</si>
  <si>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</si>
  <si>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</si>
  <si>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</si>
  <si>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</si>
  <si>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</si>
  <si>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</si>
  <si>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Actualización</t>
  </si>
  <si>
    <t>Capitan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</si>
  <si>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</si>
  <si>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</si>
  <si>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</si>
  <si>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</si>
  <si>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</si>
  <si>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</si>
  <si>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</si>
  <si>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</si>
  <si>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</si>
  <si>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</si>
  <si>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</si>
  <si>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</si>
  <si>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</si>
  <si>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</si>
  <si>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</si>
  <si>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</si>
  <si>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</si>
  <si>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</si>
  <si>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</si>
  <si>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</si>
  <si>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</si>
  <si>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</si>
  <si>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</si>
  <si>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</si>
  <si>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</si>
  <si>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</si>
  <si>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</si>
  <si>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</si>
  <si>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</si>
  <si>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</si>
  <si>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</si>
  <si>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</si>
  <si>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</si>
  <si>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</si>
  <si>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</si>
  <si>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</si>
  <si>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</si>
  <si>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</si>
  <si>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</si>
  <si>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</si>
  <si>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</si>
  <si>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</si>
  <si>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</si>
  <si>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</si>
  <si>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</si>
  <si>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</si>
  <si>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</si>
  <si>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</si>
  <si>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</si>
  <si>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</si>
  <si>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</si>
  <si>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</si>
  <si>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</si>
  <si>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</si>
  <si>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</si>
  <si>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</si>
  <si>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</si>
  <si>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</si>
  <si>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</si>
  <si>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</si>
  <si>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</si>
  <si>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</si>
  <si>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</si>
  <si>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</si>
  <si>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</si>
  <si>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</si>
  <si>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</si>
  <si>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</si>
  <si>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</si>
  <si>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</si>
  <si>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#4</t>
  </si>
  <si>
    <t>IHL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</si>
  <si>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</si>
  <si>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</si>
  <si>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</si>
  <si>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</si>
  <si>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</si>
  <si>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</si>
  <si>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</si>
  <si>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</si>
  <si>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</si>
  <si>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</si>
  <si>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</si>
  <si>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</si>
  <si>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</si>
  <si>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</si>
  <si>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</si>
  <si>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</si>
  <si>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</si>
  <si>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</si>
  <si>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</si>
  <si>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</si>
  <si>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</si>
  <si>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</si>
  <si>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</si>
  <si>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</si>
  <si>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</si>
  <si>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#15</t>
  </si>
  <si>
    <t>#6</t>
  </si>
  <si>
    <t>Dor</t>
  </si>
  <si>
    <t>ATT LATERAL</t>
  </si>
  <si>
    <t>#20</t>
  </si>
  <si>
    <t>DL</t>
  </si>
  <si>
    <t>Comentario</t>
  </si>
  <si>
    <t>Nuevos</t>
  </si>
  <si>
    <t>Antiguo</t>
  </si>
  <si>
    <t>Fecha</t>
  </si>
  <si>
    <t>Semana</t>
  </si>
  <si>
    <t>Tiempo</t>
  </si>
  <si>
    <t>Lluvia</t>
  </si>
  <si>
    <t>Soleado</t>
  </si>
  <si>
    <t>Nublado</t>
  </si>
  <si>
    <t>Rival</t>
  </si>
  <si>
    <t>Preferentes</t>
  </si>
  <si>
    <t>Tribunas</t>
  </si>
  <si>
    <t>Palcos</t>
  </si>
  <si>
    <t>Entradas Grada general</t>
  </si>
  <si>
    <t>Entradas Preferentes</t>
  </si>
  <si>
    <t>Entradas Tribunas</t>
  </si>
  <si>
    <t>Entradas Palcos</t>
  </si>
  <si>
    <t>TOTAL INGRESO</t>
  </si>
  <si>
    <t>CUM INGRESO</t>
  </si>
  <si>
    <t>Construccion Grada general</t>
  </si>
  <si>
    <t>Construccion Preferentes</t>
  </si>
  <si>
    <t>Construccion Tribunas</t>
  </si>
  <si>
    <t>Construccion Palcos</t>
  </si>
  <si>
    <t>Mantenimiento Grada general</t>
  </si>
  <si>
    <t>Mantenimiento Preferentes</t>
  </si>
  <si>
    <t>Mantenimiento Tribunas</t>
  </si>
  <si>
    <t>Mantenimiento Palcos</t>
  </si>
  <si>
    <t>TOTAL COSTE</t>
  </si>
  <si>
    <t>CUM COSTE</t>
  </si>
  <si>
    <t>Balance</t>
  </si>
  <si>
    <t>Fijo Construccion</t>
  </si>
  <si>
    <t>Occitania</t>
  </si>
  <si>
    <t>Pinkman</t>
  </si>
  <si>
    <t>Benaventurats</t>
  </si>
  <si>
    <t xml:space="preserve">Qldxcalhattrick </t>
  </si>
  <si>
    <t>InterGorditos</t>
  </si>
  <si>
    <t>Ussassai</t>
  </si>
  <si>
    <t>Howwach</t>
  </si>
  <si>
    <t>Robot</t>
  </si>
  <si>
    <t>Ovelles</t>
  </si>
  <si>
    <t>POT</t>
  </si>
  <si>
    <t>#18</t>
  </si>
  <si>
    <t>FC Pinkman - Luke JC</t>
  </si>
  <si>
    <t>357 hts</t>
  </si>
  <si>
    <t>#21</t>
  </si>
  <si>
    <t>Temporada 56</t>
  </si>
  <si>
    <t>ZeraSum</t>
  </si>
  <si>
    <t>Obtén 58 500 € por cada partido de liga jugado.</t>
  </si>
  <si>
    <t>Elmhedden</t>
  </si>
  <si>
    <t>Obtén 1 060 000 € por ascender de división.</t>
  </si>
  <si>
    <t>Obtén 47 500 € por cada partido de liga ganado.
Obtén 43 500 € por cada partido de liga ganado como visitante.</t>
  </si>
  <si>
    <t>MegaBrain</t>
  </si>
  <si>
    <t>Obtén 9 500 € por cada gol marcado en un partido de liga, con un máximo de 47 500 € por semana.
Obtén 370 000 € si acabas la temporada entre los 3 primeros de tu grupo.</t>
  </si>
  <si>
    <t>Bigfoots</t>
  </si>
  <si>
    <t>Obtén 76 500 € por cada vez que mantengas tu portería a cero en partido de liga como local.
Obtén 87 500 € por cada vez que mantengas tu portería a cero en partido de liga como visitante.</t>
  </si>
  <si>
    <t>Saldria mejor que la priemra opcion si marco 48 goles o mas</t>
  </si>
  <si>
    <t>375 hts</t>
  </si>
  <si>
    <t>Luke JC - Qldxcalhattrick</t>
  </si>
  <si>
    <t>Juan Carlos Morata</t>
  </si>
  <si>
    <t>Marc Costa</t>
  </si>
  <si>
    <t>Mauro Ascariz</t>
  </si>
  <si>
    <t>Fernan de Caranza</t>
  </si>
  <si>
    <t>Jordi Ricart</t>
  </si>
  <si>
    <t>Hemmu Ramchi</t>
  </si>
  <si>
    <t>Calogero Coluccio</t>
  </si>
  <si>
    <t>Julian Blanco</t>
  </si>
  <si>
    <t>Albert Millau</t>
  </si>
  <si>
    <t>Loris Puppa</t>
  </si>
  <si>
    <t>Marcelino Velunza</t>
  </si>
  <si>
    <t>Antero Lombo</t>
  </si>
  <si>
    <t>Pablo Carbo</t>
  </si>
  <si>
    <t>PrecioMedio</t>
  </si>
  <si>
    <t>Bueno</t>
  </si>
  <si>
    <t>Pobre</t>
  </si>
  <si>
    <t>&lt;= debil</t>
  </si>
  <si>
    <t>Debil</t>
  </si>
  <si>
    <t>Insuficiente</t>
  </si>
  <si>
    <t>Aceptable</t>
  </si>
  <si>
    <t>Excelente</t>
  </si>
  <si>
    <t>Formidable</t>
  </si>
  <si>
    <t>Temporada</t>
  </si>
  <si>
    <t>Compra</t>
  </si>
  <si>
    <t>Descripcion Compra</t>
  </si>
  <si>
    <t>Venta</t>
  </si>
  <si>
    <t>Descripcion Venta</t>
  </si>
  <si>
    <t>2 Porteros probablemente Buenos</t>
  </si>
  <si>
    <t>SALDO</t>
  </si>
  <si>
    <t>2 Porteros Excelentes</t>
  </si>
  <si>
    <t>Venta 2 Porteros buenos que seran Excelentes</t>
  </si>
  <si>
    <t>Venta 2 Porteros Excelentes que seran Formidables</t>
  </si>
  <si>
    <t>#19</t>
  </si>
  <si>
    <t>Yakov Orekhanov</t>
  </si>
  <si>
    <t>Gabriel Morell</t>
  </si>
  <si>
    <t>Ffichaje</t>
  </si>
  <si>
    <t>#23</t>
  </si>
  <si>
    <t>Pier Cesare Compania</t>
  </si>
  <si>
    <t>Johst Radler</t>
  </si>
  <si>
    <t>Ricardo L. Namuncura</t>
  </si>
  <si>
    <t>#22</t>
  </si>
  <si>
    <t>Kristian Gamp-Massaunen</t>
  </si>
  <si>
    <t>#8</t>
  </si>
  <si>
    <t>Boris Saca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</si>
</sst>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  <numFmt numFmtId="179" formatCode="_-* #,##0\ _€_-;\-* #,##0\ _€_-;_-* &quot;-&quot;??\ _€_-;_-@_-"/>
    <numFmt numFmtId="180" formatCode="_-* #,##0\ &quot;€&quot;_-;\-* #,##0\ &quot;€&quot;_-;_-* &quot;-&quot;??\ &quot;€&quot;_-;_-@_-"/>
  </numFmts>
  <fonts count="3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b/>
      <sz val="12"/>
      <color rgb="FFFFFFFF"/>
      <name val="Verdana"/>
      <family val="2"/>
    </font>
    <font>
      <b/>
      <sz val="12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FF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5" fillId="0" borderId="0" applyBorder="0" applyProtection="0"/>
    <xf numFmtId="164" fontId="1" fillId="0" borderId="0" applyBorder="0" applyAlignment="0" applyProtection="0"/>
    <xf numFmtId="173" fontId="25" fillId="0" borderId="0" applyBorder="0" applyProtection="0"/>
    <xf numFmtId="42" fontId="1" fillId="0" borderId="0" applyBorder="0" applyAlignment="0" applyProtection="0"/>
    <xf numFmtId="166" fontId="25" fillId="0" borderId="0" applyBorder="0" applyProtection="0"/>
    <xf numFmtId="0" fontId="25" fillId="0" borderId="0"/>
  </cellStyleXfs>
  <cellXfs count="375">
    <xf numFmtId="0" fontId="0" fillId="0" borderId="0" xfId="0"/>
    <xf numFmtId="0" fontId="25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2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3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4" fillId="15" borderId="15" xfId="6" applyFont="1" applyFill="1" applyBorder="1" applyAlignment="1">
      <alignment horizontal="center"/>
    </xf>
    <xf numFmtId="0" fontId="15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15" fillId="16" borderId="16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4" fillId="17" borderId="17" xfId="6" applyFont="1" applyFill="1" applyBorder="1" applyAlignment="1">
      <alignment horizontal="center"/>
    </xf>
    <xf numFmtId="1" fontId="25" fillId="0" borderId="0" xfId="6" applyNumberFormat="1"/>
    <xf numFmtId="1" fontId="16" fillId="0" borderId="0" xfId="6" applyNumberFormat="1" applyFont="1" applyAlignment="1">
      <alignment horizontal="right"/>
    </xf>
    <xf numFmtId="172" fontId="25" fillId="0" borderId="20" xfId="6" applyNumberFormat="1" applyBorder="1" applyAlignment="1">
      <alignment horizontal="center"/>
    </xf>
    <xf numFmtId="0" fontId="17" fillId="0" borderId="0" xfId="6" applyFont="1" applyAlignment="1">
      <alignment horizontal="center"/>
    </xf>
    <xf numFmtId="165" fontId="25" fillId="0" borderId="0" xfId="6" applyNumberFormat="1" applyAlignment="1">
      <alignment horizontal="center"/>
    </xf>
    <xf numFmtId="0" fontId="25" fillId="0" borderId="21" xfId="6" applyBorder="1" applyAlignment="1">
      <alignment horizontal="center"/>
    </xf>
    <xf numFmtId="0" fontId="13" fillId="0" borderId="20" xfId="6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5" fillId="0" borderId="25" xfId="6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25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0" fontId="19" fillId="0" borderId="0" xfId="6" applyFont="1" applyAlignment="1">
      <alignment horizontal="center"/>
    </xf>
    <xf numFmtId="49" fontId="17" fillId="0" borderId="0" xfId="6" applyNumberFormat="1" applyFont="1" applyAlignment="1">
      <alignment horizontal="center"/>
    </xf>
    <xf numFmtId="0" fontId="25" fillId="0" borderId="24" xfId="6" applyBorder="1" applyAlignment="1">
      <alignment horizontal="center"/>
    </xf>
    <xf numFmtId="49" fontId="18" fillId="0" borderId="0" xfId="6" applyNumberFormat="1" applyFont="1" applyAlignment="1">
      <alignment horizontal="center"/>
    </xf>
    <xf numFmtId="0" fontId="13" fillId="0" borderId="0" xfId="6" applyFont="1" applyAlignment="1">
      <alignment horizontal="center"/>
    </xf>
    <xf numFmtId="0" fontId="18" fillId="0" borderId="0" xfId="6" applyFont="1" applyAlignment="1">
      <alignment horizontal="center"/>
    </xf>
    <xf numFmtId="0" fontId="2" fillId="0" borderId="4" xfId="6" applyFont="1" applyBorder="1"/>
    <xf numFmtId="0" fontId="20" fillId="0" borderId="0" xfId="6" applyFont="1" applyAlignment="1">
      <alignment horizontal="center"/>
    </xf>
    <xf numFmtId="165" fontId="2" fillId="0" borderId="4" xfId="6" applyNumberFormat="1" applyFont="1" applyBorder="1"/>
    <xf numFmtId="165" fontId="25" fillId="0" borderId="0" xfId="6" applyNumberFormat="1"/>
    <xf numFmtId="0" fontId="12" fillId="0" borderId="0" xfId="6" applyFont="1" applyAlignment="1">
      <alignment horizontal="center"/>
    </xf>
    <xf numFmtId="1" fontId="12" fillId="0" borderId="0" xfId="6" applyNumberFormat="1" applyFont="1"/>
    <xf numFmtId="165" fontId="12" fillId="0" borderId="0" xfId="6" applyNumberFormat="1" applyFont="1"/>
    <xf numFmtId="165" fontId="0" fillId="0" borderId="0" xfId="0" applyNumberFormat="1" applyAlignment="1">
      <alignment horizontal="center"/>
    </xf>
    <xf numFmtId="167" fontId="25" fillId="0" borderId="0" xfId="5" applyNumberFormat="1"/>
    <xf numFmtId="0" fontId="0" fillId="0" borderId="0" xfId="0" applyAlignment="1">
      <alignment wrapText="1"/>
    </xf>
    <xf numFmtId="0" fontId="22" fillId="21" borderId="38" xfId="0" applyFont="1" applyFill="1" applyBorder="1" applyAlignment="1">
      <alignment horizontal="center" wrapText="1"/>
    </xf>
    <xf numFmtId="0" fontId="0" fillId="20" borderId="35" xfId="0" applyFill="1" applyBorder="1"/>
    <xf numFmtId="0" fontId="23" fillId="22" borderId="39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2" fontId="24" fillId="0" borderId="0" xfId="0" applyNumberFormat="1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0" xfId="0" applyBorder="1" applyAlignment="1">
      <alignment wrapText="1"/>
    </xf>
    <xf numFmtId="1" fontId="0" fillId="0" borderId="36" xfId="0" applyNumberFormat="1" applyBorder="1"/>
    <xf numFmtId="0" fontId="0" fillId="0" borderId="40" xfId="0" applyBorder="1"/>
    <xf numFmtId="0" fontId="24" fillId="23" borderId="41" xfId="0" applyFont="1" applyFill="1" applyBorder="1" applyAlignment="1">
      <alignment horizontal="center" wrapText="1"/>
    </xf>
    <xf numFmtId="0" fontId="23" fillId="23" borderId="41" xfId="0" applyFont="1" applyFill="1" applyBorder="1" applyAlignment="1">
      <alignment horizontal="center" wrapText="1"/>
    </xf>
    <xf numFmtId="1" fontId="0" fillId="24" borderId="42" xfId="0" applyNumberFormat="1" applyFill="1" applyBorder="1"/>
    <xf numFmtId="0" fontId="24" fillId="0" borderId="37" xfId="0" applyFont="1" applyBorder="1" applyAlignment="1">
      <alignment horizontal="center" wrapText="1"/>
    </xf>
    <xf numFmtId="174" fontId="25" fillId="0" borderId="4" xfId="3" applyNumberFormat="1" applyBorder="1"/>
    <xf numFmtId="0" fontId="24" fillId="0" borderId="4" xfId="0" applyFont="1" applyBorder="1" applyAlignment="1">
      <alignment horizontal="center" wrapText="1"/>
    </xf>
    <xf numFmtId="174" fontId="25" fillId="0" borderId="40" xfId="3" applyNumberFormat="1" applyBorder="1"/>
    <xf numFmtId="1" fontId="0" fillId="25" borderId="43" xfId="0" applyNumberFormat="1" applyFill="1" applyBorder="1"/>
    <xf numFmtId="0" fontId="24" fillId="26" borderId="44" xfId="0" applyFont="1" applyFill="1" applyBorder="1" applyAlignment="1">
      <alignment horizontal="center" wrapText="1"/>
    </xf>
    <xf numFmtId="0" fontId="24" fillId="27" borderId="45" xfId="0" applyFont="1" applyFill="1" applyBorder="1" applyAlignment="1">
      <alignment horizontal="center" wrapText="1"/>
    </xf>
    <xf numFmtId="1" fontId="0" fillId="28" borderId="46" xfId="0" applyNumberFormat="1" applyFill="1" applyBorder="1"/>
    <xf numFmtId="167" fontId="25" fillId="29" borderId="47" xfId="5" applyNumberFormat="1" applyFill="1" applyBorder="1"/>
    <xf numFmtId="167" fontId="25" fillId="30" borderId="48" xfId="5" applyNumberFormat="1" applyFill="1" applyBorder="1"/>
    <xf numFmtId="1" fontId="0" fillId="0" borderId="0" xfId="0" applyNumberFormat="1"/>
    <xf numFmtId="167" fontId="25" fillId="31" borderId="49" xfId="5" applyNumberFormat="1" applyFill="1" applyBorder="1"/>
    <xf numFmtId="175" fontId="0" fillId="31" borderId="49" xfId="0" applyNumberFormat="1" applyFill="1" applyBorder="1" applyAlignment="1">
      <alignment wrapText="1"/>
    </xf>
    <xf numFmtId="175" fontId="0" fillId="31" borderId="49" xfId="0" applyNumberFormat="1" applyFill="1" applyBorder="1"/>
    <xf numFmtId="0" fontId="9" fillId="32" borderId="50" xfId="0" applyFont="1" applyFill="1" applyBorder="1" applyAlignment="1">
      <alignment horizontal="right"/>
    </xf>
    <xf numFmtId="175" fontId="2" fillId="33" borderId="51" xfId="0" applyNumberFormat="1" applyFont="1" applyFill="1" applyBorder="1"/>
    <xf numFmtId="0" fontId="2" fillId="34" borderId="52" xfId="0" applyFont="1" applyFill="1" applyBorder="1" applyAlignment="1">
      <alignment horizontal="center"/>
    </xf>
    <xf numFmtId="0" fontId="0" fillId="35" borderId="53" xfId="0" applyFill="1" applyBorder="1"/>
    <xf numFmtId="1" fontId="0" fillId="35" borderId="53" xfId="0" applyNumberFormat="1" applyFill="1" applyBorder="1"/>
    <xf numFmtId="0" fontId="0" fillId="32" borderId="50" xfId="0" applyFill="1" applyBorder="1" applyAlignment="1">
      <alignment horizontal="right"/>
    </xf>
    <xf numFmtId="1" fontId="0" fillId="32" borderId="50" xfId="0" applyNumberFormat="1" applyFill="1" applyBorder="1"/>
    <xf numFmtId="0" fontId="0" fillId="36" borderId="54" xfId="0" applyFill="1" applyBorder="1" applyAlignment="1">
      <alignment horizontal="right" wrapText="1"/>
    </xf>
    <xf numFmtId="176" fontId="0" fillId="36" borderId="54" xfId="0" applyNumberFormat="1" applyFill="1" applyBorder="1"/>
    <xf numFmtId="0" fontId="0" fillId="37" borderId="55" xfId="0" applyFill="1" applyBorder="1" applyAlignment="1">
      <alignment horizontal="right" wrapText="1"/>
    </xf>
    <xf numFmtId="176" fontId="0" fillId="37" borderId="55" xfId="0" applyNumberFormat="1" applyFill="1" applyBorder="1"/>
    <xf numFmtId="0" fontId="5" fillId="35" borderId="53" xfId="0" applyFont="1" applyFill="1" applyBorder="1" applyAlignment="1">
      <alignment horizontal="right" wrapText="1"/>
    </xf>
    <xf numFmtId="176" fontId="21" fillId="35" borderId="53" xfId="0" applyNumberFormat="1" applyFont="1" applyFill="1" applyBorder="1"/>
    <xf numFmtId="0" fontId="21" fillId="35" borderId="53" xfId="0" applyFont="1" applyFill="1" applyBorder="1" applyAlignment="1">
      <alignment horizontal="right" wrapText="1"/>
    </xf>
    <xf numFmtId="0" fontId="7" fillId="38" borderId="56" xfId="0" applyFont="1" applyFill="1" applyBorder="1" applyAlignment="1">
      <alignment horizontal="right" vertical="center"/>
    </xf>
    <xf numFmtId="0" fontId="7" fillId="38" borderId="56" xfId="0" applyFont="1" applyFill="1" applyBorder="1" applyAlignment="1">
      <alignment horizontal="center" vertical="center"/>
    </xf>
    <xf numFmtId="0" fontId="7" fillId="39" borderId="57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8" xfId="0" applyFill="1" applyBorder="1"/>
    <xf numFmtId="0" fontId="0" fillId="40" borderId="58" xfId="0" applyFill="1" applyBorder="1" applyAlignment="1">
      <alignment horizontal="center"/>
    </xf>
    <xf numFmtId="165" fontId="0" fillId="40" borderId="58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2" xfId="0" applyFill="1" applyBorder="1"/>
    <xf numFmtId="165" fontId="0" fillId="43" borderId="62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1" xfId="0" applyFont="1" applyFill="1" applyBorder="1" applyAlignment="1">
      <alignment horizontal="left" vertical="center"/>
    </xf>
    <xf numFmtId="1" fontId="10" fillId="13" borderId="61" xfId="0" applyNumberFormat="1" applyFont="1" applyFill="1" applyBorder="1" applyAlignment="1">
      <alignment horizontal="left" vertical="center"/>
    </xf>
    <xf numFmtId="0" fontId="10" fillId="5" borderId="61" xfId="0" applyFont="1" applyFill="1" applyBorder="1" applyAlignment="1">
      <alignment horizontal="center" vertical="center"/>
    </xf>
    <xf numFmtId="168" fontId="10" fillId="5" borderId="61" xfId="0" applyNumberFormat="1" applyFont="1" applyFill="1" applyBorder="1" applyAlignment="1">
      <alignment horizontal="left" vertical="center"/>
    </xf>
    <xf numFmtId="2" fontId="10" fillId="5" borderId="61" xfId="0" applyNumberFormat="1" applyFont="1" applyFill="1" applyBorder="1" applyAlignment="1">
      <alignment horizontal="left" vertical="center"/>
    </xf>
    <xf numFmtId="1" fontId="10" fillId="14" borderId="61" xfId="0" applyNumberFormat="1" applyFont="1" applyFill="1" applyBorder="1" applyAlignment="1">
      <alignment horizontal="left" vertical="center"/>
    </xf>
    <xf numFmtId="1" fontId="10" fillId="5" borderId="61" xfId="0" applyNumberFormat="1" applyFont="1" applyFill="1" applyBorder="1" applyAlignment="1">
      <alignment horizontal="center" vertical="center"/>
    </xf>
    <xf numFmtId="2" fontId="10" fillId="5" borderId="61" xfId="0" applyNumberFormat="1" applyFont="1" applyFill="1" applyBorder="1" applyAlignment="1">
      <alignment horizontal="center" vertical="center"/>
    </xf>
    <xf numFmtId="166" fontId="10" fillId="5" borderId="61" xfId="5" applyFont="1" applyFill="1" applyBorder="1" applyAlignment="1">
      <alignment horizontal="center" vertical="center"/>
    </xf>
    <xf numFmtId="170" fontId="10" fillId="5" borderId="61" xfId="1" applyNumberFormat="1" applyFont="1" applyFill="1" applyBorder="1" applyAlignment="1">
      <alignment horizontal="right" vertical="center"/>
    </xf>
    <xf numFmtId="170" fontId="10" fillId="5" borderId="61" xfId="1" applyNumberFormat="1" applyFont="1" applyFill="1" applyBorder="1" applyAlignment="1">
      <alignment horizontal="left" vertical="center"/>
    </xf>
    <xf numFmtId="171" fontId="10" fillId="5" borderId="61" xfId="1" applyNumberFormat="1" applyFont="1" applyFill="1" applyBorder="1" applyAlignment="1">
      <alignment horizontal="right" vertical="center"/>
    </xf>
    <xf numFmtId="170" fontId="6" fillId="5" borderId="61" xfId="1" applyNumberFormat="1" applyFont="1" applyFill="1" applyBorder="1" applyAlignment="1">
      <alignment horizontal="right" vertical="center"/>
    </xf>
    <xf numFmtId="165" fontId="10" fillId="5" borderId="61" xfId="0" applyNumberFormat="1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/>
    </xf>
    <xf numFmtId="2" fontId="27" fillId="0" borderId="23" xfId="6" applyNumberFormat="1" applyFont="1" applyBorder="1" applyAlignment="1">
      <alignment horizontal="center"/>
    </xf>
    <xf numFmtId="2" fontId="27" fillId="0" borderId="24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28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8" borderId="2" xfId="0" applyFill="1" applyBorder="1" applyAlignment="1">
      <alignment horizontal="center"/>
    </xf>
    <xf numFmtId="0" fontId="0" fillId="48" borderId="2" xfId="0" applyFill="1" applyBorder="1"/>
    <xf numFmtId="165" fontId="0" fillId="48" borderId="2" xfId="0" applyNumberFormat="1" applyFill="1" applyBorder="1"/>
    <xf numFmtId="170" fontId="29" fillId="5" borderId="5" xfId="1" applyNumberFormat="1" applyFont="1" applyFill="1" applyBorder="1" applyAlignment="1">
      <alignment horizontal="right" vertical="center"/>
    </xf>
    <xf numFmtId="0" fontId="2" fillId="0" borderId="61" xfId="0" applyFont="1" applyBorder="1" applyAlignment="1">
      <alignment horizontal="center"/>
    </xf>
    <xf numFmtId="0" fontId="0" fillId="48" borderId="2" xfId="0" applyFont="1" applyFill="1" applyBorder="1" applyAlignment="1">
      <alignment horizontal="center"/>
    </xf>
    <xf numFmtId="0" fontId="0" fillId="48" borderId="2" xfId="0" applyFont="1" applyFill="1" applyBorder="1"/>
    <xf numFmtId="0" fontId="0" fillId="3" borderId="65" xfId="0" applyFill="1" applyBorder="1" applyAlignment="1">
      <alignment horizontal="center"/>
    </xf>
    <xf numFmtId="0" fontId="0" fillId="3" borderId="65" xfId="0" applyFill="1" applyBorder="1"/>
    <xf numFmtId="165" fontId="0" fillId="3" borderId="65" xfId="0" applyNumberFormat="1" applyFill="1" applyBorder="1"/>
    <xf numFmtId="0" fontId="0" fillId="48" borderId="65" xfId="0" applyFill="1" applyBorder="1" applyAlignment="1">
      <alignment horizontal="center"/>
    </xf>
    <xf numFmtId="2" fontId="27" fillId="0" borderId="28" xfId="6" applyNumberFormat="1" applyFont="1" applyBorder="1" applyAlignment="1">
      <alignment horizontal="center"/>
    </xf>
    <xf numFmtId="0" fontId="2" fillId="48" borderId="2" xfId="0" applyFont="1" applyFill="1" applyBorder="1"/>
    <xf numFmtId="2" fontId="2" fillId="48" borderId="3" xfId="0" applyNumberFormat="1" applyFont="1" applyFill="1" applyBorder="1"/>
    <xf numFmtId="168" fontId="29" fillId="5" borderId="5" xfId="0" applyNumberFormat="1" applyFont="1" applyFill="1" applyBorder="1" applyAlignment="1">
      <alignment horizontal="center" vertical="center"/>
    </xf>
    <xf numFmtId="168" fontId="29" fillId="5" borderId="6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0" fillId="49" borderId="11" xfId="0" applyFont="1" applyFill="1" applyBorder="1" applyAlignment="1">
      <alignment horizontal="center" vertical="center"/>
    </xf>
    <xf numFmtId="170" fontId="29" fillId="5" borderId="61" xfId="1" applyNumberFormat="1" applyFont="1" applyFill="1" applyBorder="1" applyAlignment="1">
      <alignment horizontal="right" vertical="center"/>
    </xf>
    <xf numFmtId="2" fontId="27" fillId="0" borderId="22" xfId="6" applyNumberFormat="1" applyFont="1" applyBorder="1" applyAlignment="1">
      <alignment horizontal="center"/>
    </xf>
    <xf numFmtId="2" fontId="27" fillId="0" borderId="26" xfId="6" applyNumberFormat="1" applyFont="1" applyBorder="1" applyAlignment="1">
      <alignment horizontal="center"/>
    </xf>
    <xf numFmtId="2" fontId="27" fillId="0" borderId="27" xfId="6" applyNumberFormat="1" applyFont="1" applyBorder="1" applyAlignment="1">
      <alignment horizontal="center"/>
    </xf>
    <xf numFmtId="2" fontId="31" fillId="0" borderId="22" xfId="6" applyNumberFormat="1" applyFont="1" applyBorder="1" applyAlignment="1">
      <alignment horizontal="center"/>
    </xf>
    <xf numFmtId="2" fontId="31" fillId="0" borderId="23" xfId="6" applyNumberFormat="1" applyFont="1" applyBorder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0" fontId="25" fillId="47" borderId="65" xfId="6" applyFill="1" applyBorder="1" applyAlignment="1">
      <alignment horizontal="right"/>
    </xf>
    <xf numFmtId="172" fontId="25" fillId="0" borderId="20" xfId="6" applyNumberFormat="1" applyFont="1" applyBorder="1" applyAlignment="1">
      <alignment horizontal="center"/>
    </xf>
    <xf numFmtId="0" fontId="2" fillId="50" borderId="0" xfId="0" applyFont="1" applyFill="1" applyAlignment="1">
      <alignment horizontal="center"/>
    </xf>
    <xf numFmtId="0" fontId="25" fillId="50" borderId="0" xfId="6" applyFill="1"/>
    <xf numFmtId="1" fontId="25" fillId="50" borderId="0" xfId="6" applyNumberFormat="1" applyFill="1"/>
    <xf numFmtId="0" fontId="2" fillId="50" borderId="0" xfId="6" applyFont="1" applyFill="1" applyAlignment="1">
      <alignment horizontal="center"/>
    </xf>
    <xf numFmtId="1" fontId="16" fillId="50" borderId="0" xfId="6" applyNumberFormat="1" applyFont="1" applyFill="1" applyAlignment="1">
      <alignment horizontal="right"/>
    </xf>
    <xf numFmtId="172" fontId="25" fillId="50" borderId="29" xfId="6" applyNumberFormat="1" applyFill="1" applyBorder="1" applyAlignment="1">
      <alignment horizontal="center"/>
    </xf>
    <xf numFmtId="0" fontId="19" fillId="50" borderId="0" xfId="6" applyFont="1" applyFill="1" applyAlignment="1">
      <alignment horizontal="center"/>
    </xf>
    <xf numFmtId="165" fontId="25" fillId="50" borderId="0" xfId="6" applyNumberFormat="1" applyFill="1" applyAlignment="1">
      <alignment horizontal="center"/>
    </xf>
    <xf numFmtId="0" fontId="25" fillId="50" borderId="30" xfId="6" applyFill="1" applyBorder="1" applyAlignment="1">
      <alignment horizontal="center"/>
    </xf>
    <xf numFmtId="0" fontId="13" fillId="50" borderId="0" xfId="6" applyFont="1" applyFill="1" applyAlignment="1">
      <alignment horizontal="center"/>
    </xf>
    <xf numFmtId="2" fontId="27" fillId="50" borderId="31" xfId="6" applyNumberFormat="1" applyFont="1" applyFill="1" applyBorder="1" applyAlignment="1">
      <alignment horizontal="center"/>
    </xf>
    <xf numFmtId="2" fontId="27" fillId="50" borderId="32" xfId="6" applyNumberFormat="1" applyFont="1" applyFill="1" applyBorder="1" applyAlignment="1">
      <alignment horizontal="center"/>
    </xf>
    <xf numFmtId="2" fontId="27" fillId="50" borderId="33" xfId="6" applyNumberFormat="1" applyFont="1" applyFill="1" applyBorder="1" applyAlignment="1">
      <alignment horizontal="center"/>
    </xf>
    <xf numFmtId="0" fontId="3" fillId="50" borderId="31" xfId="0" applyFont="1" applyFill="1" applyBorder="1" applyAlignment="1">
      <alignment horizontal="center"/>
    </xf>
    <xf numFmtId="0" fontId="25" fillId="50" borderId="33" xfId="6" applyFill="1" applyBorder="1" applyAlignment="1">
      <alignment horizontal="center"/>
    </xf>
    <xf numFmtId="0" fontId="25" fillId="50" borderId="34" xfId="6" applyFill="1" applyBorder="1" applyAlignment="1">
      <alignment horizontal="center"/>
    </xf>
    <xf numFmtId="0" fontId="0" fillId="50" borderId="34" xfId="0" applyFill="1" applyBorder="1" applyAlignment="1">
      <alignment horizontal="center"/>
    </xf>
    <xf numFmtId="0" fontId="0" fillId="50" borderId="32" xfId="0" applyFill="1" applyBorder="1" applyAlignment="1">
      <alignment horizontal="center"/>
    </xf>
    <xf numFmtId="0" fontId="25" fillId="50" borderId="0" xfId="6" applyFill="1" applyAlignment="1">
      <alignment horizontal="center"/>
    </xf>
    <xf numFmtId="168" fontId="0" fillId="50" borderId="0" xfId="0" applyNumberFormat="1" applyFill="1" applyAlignment="1">
      <alignment horizontal="center"/>
    </xf>
    <xf numFmtId="168" fontId="0" fillId="50" borderId="0" xfId="0" applyNumberFormat="1" applyFill="1"/>
    <xf numFmtId="0" fontId="0" fillId="50" borderId="0" xfId="0" applyFill="1"/>
    <xf numFmtId="0" fontId="0" fillId="3" borderId="65" xfId="0" applyFont="1" applyFill="1" applyBorder="1" applyAlignment="1">
      <alignment horizontal="center"/>
    </xf>
    <xf numFmtId="0" fontId="0" fillId="3" borderId="65" xfId="0" applyFont="1" applyFill="1" applyBorder="1"/>
    <xf numFmtId="165" fontId="0" fillId="3" borderId="65" xfId="0" applyNumberFormat="1" applyFont="1" applyFill="1" applyBorder="1"/>
    <xf numFmtId="165" fontId="0" fillId="48" borderId="2" xfId="0" applyNumberFormat="1" applyFont="1" applyFill="1" applyBorder="1"/>
    <xf numFmtId="0" fontId="0" fillId="40" borderId="58" xfId="0" applyFont="1" applyFill="1" applyBorder="1" applyAlignment="1">
      <alignment horizontal="center"/>
    </xf>
    <xf numFmtId="0" fontId="0" fillId="40" borderId="58" xfId="0" applyFont="1" applyFill="1" applyBorder="1"/>
    <xf numFmtId="165" fontId="0" fillId="40" borderId="58" xfId="0" applyNumberFormat="1" applyFont="1" applyFill="1" applyBorder="1"/>
    <xf numFmtId="2" fontId="0" fillId="48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8" xfId="0" applyNumberFormat="1" applyFont="1" applyFill="1" applyBorder="1"/>
    <xf numFmtId="2" fontId="0" fillId="43" borderId="62" xfId="0" applyNumberFormat="1" applyFont="1" applyFill="1" applyBorder="1"/>
    <xf numFmtId="0" fontId="0" fillId="43" borderId="62" xfId="0" applyFont="1" applyFill="1" applyBorder="1"/>
    <xf numFmtId="165" fontId="0" fillId="43" borderId="62" xfId="0" applyNumberFormat="1" applyFont="1" applyFill="1" applyBorder="1"/>
    <xf numFmtId="2" fontId="0" fillId="0" borderId="0" xfId="0" applyNumberFormat="1" applyFont="1"/>
    <xf numFmtId="0" fontId="0" fillId="45" borderId="64" xfId="0" applyFont="1" applyFill="1" applyBorder="1" applyAlignment="1">
      <alignment horizontal="center"/>
    </xf>
    <xf numFmtId="165" fontId="0" fillId="44" borderId="63" xfId="0" applyNumberFormat="1" applyFont="1" applyFill="1" applyBorder="1"/>
    <xf numFmtId="0" fontId="0" fillId="0" borderId="63" xfId="0" applyFont="1" applyFill="1" applyBorder="1"/>
    <xf numFmtId="0" fontId="27" fillId="49" borderId="19" xfId="6" applyFont="1" applyFill="1" applyBorder="1" applyAlignment="1">
      <alignment horizontal="right"/>
    </xf>
    <xf numFmtId="0" fontId="27" fillId="47" borderId="19" xfId="6" applyFont="1" applyFill="1" applyBorder="1" applyAlignment="1">
      <alignment horizontal="right"/>
    </xf>
    <xf numFmtId="0" fontId="27" fillId="47" borderId="65" xfId="6" applyFont="1" applyFill="1" applyBorder="1" applyAlignment="1">
      <alignment horizontal="right"/>
    </xf>
    <xf numFmtId="14" fontId="0" fillId="0" borderId="0" xfId="0" applyNumberFormat="1"/>
    <xf numFmtId="0" fontId="0" fillId="51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8" xfId="0" applyFill="1" applyBorder="1"/>
    <xf numFmtId="171" fontId="32" fillId="5" borderId="5" xfId="1" applyNumberFormat="1" applyFont="1" applyFill="1" applyBorder="1" applyAlignment="1">
      <alignment horizontal="right" vertical="center"/>
    </xf>
    <xf numFmtId="171" fontId="32" fillId="5" borderId="61" xfId="1" applyNumberFormat="1" applyFont="1" applyFill="1" applyBorder="1" applyAlignment="1">
      <alignment horizontal="right" vertical="center"/>
    </xf>
    <xf numFmtId="0" fontId="2" fillId="50" borderId="0" xfId="0" applyFont="1" applyFill="1"/>
    <xf numFmtId="0" fontId="0" fillId="50" borderId="0" xfId="0" applyFill="1" applyAlignment="1">
      <alignment horizontal="center"/>
    </xf>
    <xf numFmtId="0" fontId="2" fillId="46" borderId="0" xfId="0" applyFont="1" applyFill="1"/>
    <xf numFmtId="0" fontId="2" fillId="51" borderId="0" xfId="0" applyFont="1" applyFill="1"/>
    <xf numFmtId="0" fontId="2" fillId="52" borderId="0" xfId="0" applyFont="1" applyFill="1"/>
    <xf numFmtId="0" fontId="0" fillId="52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5" xfId="0" applyFont="1" applyFill="1" applyBorder="1" applyAlignment="1">
      <alignment horizontal="center" vertical="center"/>
    </xf>
    <xf numFmtId="166" fontId="25" fillId="0" borderId="0" xfId="5"/>
    <xf numFmtId="0" fontId="2" fillId="3" borderId="65" xfId="0" applyFont="1" applyFill="1" applyBorder="1" applyAlignment="1">
      <alignment horizontal="center"/>
    </xf>
    <xf numFmtId="0" fontId="2" fillId="3" borderId="65" xfId="0" applyFont="1" applyFill="1" applyBorder="1"/>
    <xf numFmtId="0" fontId="2" fillId="0" borderId="2" xfId="0" applyFont="1" applyFill="1" applyBorder="1"/>
    <xf numFmtId="165" fontId="2" fillId="3" borderId="65" xfId="0" applyNumberFormat="1" applyFont="1" applyFill="1" applyBorder="1"/>
    <xf numFmtId="0" fontId="0" fillId="54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33" fillId="0" borderId="0" xfId="0" applyFont="1"/>
    <xf numFmtId="0" fontId="2" fillId="0" borderId="0" xfId="0" applyFont="1" applyAlignment="1">
      <alignment horizontal="center"/>
    </xf>
    <xf numFmtId="0" fontId="2" fillId="49" borderId="61" xfId="6" applyFont="1" applyFill="1" applyBorder="1" applyAlignment="1">
      <alignment horizontal="right"/>
    </xf>
    <xf numFmtId="0" fontId="25" fillId="0" borderId="61" xfId="6" applyFont="1" applyFill="1" applyBorder="1" applyAlignment="1">
      <alignment horizontal="right"/>
    </xf>
    <xf numFmtId="0" fontId="25" fillId="50" borderId="61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13" fillId="0" borderId="67" xfId="0" applyFont="1" applyBorder="1" applyAlignment="1">
      <alignment horizontal="center"/>
    </xf>
    <xf numFmtId="177" fontId="13" fillId="0" borderId="67" xfId="0" applyNumberFormat="1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33" fillId="0" borderId="69" xfId="0" applyFont="1" applyBorder="1"/>
    <xf numFmtId="177" fontId="13" fillId="0" borderId="69" xfId="0" applyNumberFormat="1" applyFont="1" applyBorder="1"/>
    <xf numFmtId="177" fontId="13" fillId="0" borderId="70" xfId="0" applyNumberFormat="1" applyFont="1" applyBorder="1"/>
    <xf numFmtId="177" fontId="13" fillId="0" borderId="67" xfId="0" applyNumberFormat="1" applyFont="1" applyBorder="1"/>
    <xf numFmtId="0" fontId="2" fillId="0" borderId="71" xfId="0" applyFont="1" applyBorder="1" applyAlignment="1">
      <alignment horizontal="center"/>
    </xf>
    <xf numFmtId="0" fontId="7" fillId="11" borderId="72" xfId="0" applyFont="1" applyFill="1" applyBorder="1" applyAlignment="1">
      <alignment horizontal="center" vertical="center"/>
    </xf>
    <xf numFmtId="0" fontId="34" fillId="49" borderId="66" xfId="0" applyFont="1" applyFill="1" applyBorder="1" applyAlignment="1">
      <alignment horizontal="center" vertical="center"/>
    </xf>
    <xf numFmtId="0" fontId="34" fillId="49" borderId="73" xfId="0" applyFont="1" applyFill="1" applyBorder="1" applyAlignment="1">
      <alignment horizontal="center" vertical="center"/>
    </xf>
    <xf numFmtId="0" fontId="7" fillId="11" borderId="73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9" xfId="0" applyBorder="1"/>
    <xf numFmtId="177" fontId="0" fillId="0" borderId="65" xfId="0" applyNumberFormat="1" applyBorder="1"/>
    <xf numFmtId="177" fontId="0" fillId="0" borderId="69" xfId="0" applyNumberFormat="1" applyBorder="1"/>
    <xf numFmtId="177" fontId="0" fillId="0" borderId="74" xfId="0" applyNumberFormat="1" applyBorder="1"/>
    <xf numFmtId="177" fontId="0" fillId="0" borderId="70" xfId="0" applyNumberFormat="1" applyBorder="1"/>
    <xf numFmtId="0" fontId="13" fillId="0" borderId="69" xfId="0" applyFont="1" applyBorder="1" applyAlignment="1">
      <alignment horizontal="center"/>
    </xf>
    <xf numFmtId="177" fontId="13" fillId="0" borderId="69" xfId="0" applyNumberFormat="1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36" fillId="39" borderId="57" xfId="0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55" borderId="19" xfId="6" applyFont="1" applyFill="1" applyBorder="1" applyAlignment="1">
      <alignment horizontal="right"/>
    </xf>
    <xf numFmtId="2" fontId="35" fillId="0" borderId="28" xfId="6" applyNumberFormat="1" applyFont="1" applyBorder="1" applyAlignment="1">
      <alignment horizontal="center"/>
    </xf>
    <xf numFmtId="2" fontId="35" fillId="0" borderId="23" xfId="6" applyNumberFormat="1" applyFont="1" applyBorder="1" applyAlignment="1">
      <alignment horizontal="center"/>
    </xf>
    <xf numFmtId="2" fontId="35" fillId="0" borderId="24" xfId="6" applyNumberFormat="1" applyFont="1" applyBorder="1" applyAlignment="1">
      <alignment horizontal="center"/>
    </xf>
    <xf numFmtId="2" fontId="35" fillId="0" borderId="22" xfId="6" applyNumberFormat="1" applyFont="1" applyBorder="1" applyAlignment="1">
      <alignment horizontal="center"/>
    </xf>
    <xf numFmtId="2" fontId="37" fillId="0" borderId="24" xfId="6" applyNumberFormat="1" applyFont="1" applyBorder="1" applyAlignment="1">
      <alignment horizontal="center"/>
    </xf>
    <xf numFmtId="2" fontId="37" fillId="0" borderId="23" xfId="6" applyNumberFormat="1" applyFont="1" applyBorder="1" applyAlignment="1">
      <alignment horizontal="center"/>
    </xf>
    <xf numFmtId="0" fontId="8" fillId="19" borderId="65" xfId="6" applyFont="1" applyFill="1" applyBorder="1" applyAlignment="1">
      <alignment horizontal="left"/>
    </xf>
    <xf numFmtId="0" fontId="0" fillId="0" borderId="65" xfId="0" applyBorder="1" applyAlignment="1">
      <alignment wrapText="1"/>
    </xf>
    <xf numFmtId="179" fontId="0" fillId="0" borderId="0" xfId="1" applyNumberFormat="1" applyFont="1"/>
    <xf numFmtId="179" fontId="0" fillId="0" borderId="0" xfId="0" applyNumberFormat="1"/>
    <xf numFmtId="0" fontId="0" fillId="50" borderId="65" xfId="0" applyFill="1" applyBorder="1" applyAlignment="1">
      <alignment horizontal="right" wrapText="1"/>
    </xf>
    <xf numFmtId="14" fontId="0" fillId="50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0" fontId="0" fillId="46" borderId="65" xfId="0" applyFill="1" applyBorder="1" applyAlignment="1">
      <alignment horizontal="right" wrapText="1"/>
    </xf>
    <xf numFmtId="0" fontId="0" fillId="46" borderId="0" xfId="0" applyFill="1" applyAlignment="1">
      <alignment horizontal="right"/>
    </xf>
    <xf numFmtId="0" fontId="2" fillId="46" borderId="0" xfId="0" applyFont="1" applyFill="1" applyAlignment="1">
      <alignment horizontal="right"/>
    </xf>
    <xf numFmtId="0" fontId="0" fillId="51" borderId="65" xfId="0" applyFill="1" applyBorder="1" applyAlignment="1">
      <alignment horizontal="right" wrapText="1"/>
    </xf>
    <xf numFmtId="180" fontId="0" fillId="51" borderId="0" xfId="3" applyNumberFormat="1" applyFont="1" applyFill="1" applyAlignment="1">
      <alignment horizontal="right"/>
    </xf>
    <xf numFmtId="0" fontId="13" fillId="51" borderId="65" xfId="0" applyFont="1" applyFill="1" applyBorder="1" applyAlignment="1">
      <alignment horizontal="right" wrapText="1"/>
    </xf>
    <xf numFmtId="180" fontId="13" fillId="51" borderId="0" xfId="0" applyNumberFormat="1" applyFont="1" applyFill="1" applyAlignment="1">
      <alignment horizontal="right"/>
    </xf>
    <xf numFmtId="180" fontId="13" fillId="51" borderId="0" xfId="3" applyNumberFormat="1" applyFont="1" applyFill="1" applyAlignment="1">
      <alignment horizontal="right"/>
    </xf>
    <xf numFmtId="0" fontId="0" fillId="54" borderId="65" xfId="0" applyFill="1" applyBorder="1" applyAlignment="1">
      <alignment horizontal="right" wrapText="1"/>
    </xf>
    <xf numFmtId="180" fontId="0" fillId="54" borderId="0" xfId="3" applyNumberFormat="1" applyFont="1" applyFill="1" applyAlignment="1">
      <alignment horizontal="right"/>
    </xf>
    <xf numFmtId="180" fontId="0" fillId="54" borderId="0" xfId="0" applyNumberFormat="1" applyFill="1" applyAlignment="1">
      <alignment horizontal="right"/>
    </xf>
    <xf numFmtId="0" fontId="13" fillId="54" borderId="65" xfId="0" applyFont="1" applyFill="1" applyBorder="1" applyAlignment="1">
      <alignment horizontal="right" wrapText="1"/>
    </xf>
    <xf numFmtId="180" fontId="13" fillId="54" borderId="0" xfId="0" applyNumberFormat="1" applyFont="1" applyFill="1" applyAlignment="1">
      <alignment horizontal="right"/>
    </xf>
    <xf numFmtId="180" fontId="2" fillId="54" borderId="0" xfId="0" applyNumberFormat="1" applyFont="1" applyFill="1" applyAlignment="1">
      <alignment horizontal="right"/>
    </xf>
    <xf numFmtId="0" fontId="0" fillId="46" borderId="0" xfId="0" applyFont="1" applyFill="1" applyAlignment="1">
      <alignment horizontal="right"/>
    </xf>
    <xf numFmtId="174" fontId="25" fillId="0" borderId="0" xfId="3" applyNumberFormat="1"/>
    <xf numFmtId="17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174" fontId="2" fillId="50" borderId="0" xfId="3" applyNumberFormat="1" applyFont="1" applyFill="1"/>
    <xf numFmtId="174" fontId="25" fillId="51" borderId="0" xfId="3" applyNumberFormat="1" applyFill="1"/>
    <xf numFmtId="0" fontId="0" fillId="51" borderId="0" xfId="0" applyFill="1"/>
    <xf numFmtId="0" fontId="2" fillId="51" borderId="0" xfId="0" applyFont="1" applyFill="1" applyAlignment="1">
      <alignment horizontal="center"/>
    </xf>
    <xf numFmtId="174" fontId="25" fillId="54" borderId="0" xfId="3" applyNumberFormat="1" applyFill="1"/>
    <xf numFmtId="0" fontId="0" fillId="54" borderId="0" xfId="0" applyFill="1"/>
    <xf numFmtId="0" fontId="25" fillId="46" borderId="61" xfId="6" applyFont="1" applyFill="1" applyBorder="1" applyAlignment="1">
      <alignment horizontal="right"/>
    </xf>
    <xf numFmtId="0" fontId="2" fillId="0" borderId="61" xfId="6" applyFont="1" applyBorder="1" applyAlignment="1">
      <alignment horizontal="center"/>
    </xf>
    <xf numFmtId="0" fontId="27" fillId="51" borderId="61" xfId="6" applyFont="1" applyFill="1" applyBorder="1" applyAlignment="1">
      <alignment horizontal="right"/>
    </xf>
    <xf numFmtId="0" fontId="25" fillId="51" borderId="61" xfId="6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2" fillId="0" borderId="65" xfId="0" applyFont="1" applyBorder="1" applyAlignment="1">
      <alignment horizontal="left"/>
    </xf>
    <xf numFmtId="0" fontId="0" fillId="30" borderId="48" xfId="0" applyFill="1" applyBorder="1" applyAlignment="1">
      <alignment horizontal="center"/>
    </xf>
    <xf numFmtId="0" fontId="0" fillId="41" borderId="59" xfId="0" applyFill="1" applyBorder="1" applyAlignment="1">
      <alignment horizontal="center"/>
    </xf>
    <xf numFmtId="0" fontId="0" fillId="42" borderId="6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184150</xdr:colOff>
      <xdr:row>50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8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66" t="s">
        <v>0</v>
      </c>
      <c r="B1" s="366"/>
      <c r="C1" s="366"/>
      <c r="E1" s="367" t="s">
        <v>1</v>
      </c>
      <c r="F1" s="367"/>
      <c r="G1" s="367"/>
      <c r="H1" s="367"/>
    </row>
    <row r="2" spans="1:23" x14ac:dyDescent="0.25">
      <c r="A2" s="368">
        <v>44645</v>
      </c>
      <c r="B2" s="368"/>
      <c r="C2" s="368"/>
      <c r="E2" s="2" t="s">
        <v>2</v>
      </c>
      <c r="F2" s="4" t="s">
        <v>257</v>
      </c>
      <c r="G2" s="159">
        <v>44521</v>
      </c>
      <c r="H2" t="s">
        <v>258</v>
      </c>
    </row>
    <row r="3" spans="1:23" x14ac:dyDescent="0.25">
      <c r="E3" s="2" t="s">
        <v>3</v>
      </c>
      <c r="F3" s="4" t="s">
        <v>244</v>
      </c>
      <c r="G3" s="159">
        <v>44486</v>
      </c>
      <c r="H3" t="s">
        <v>243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87"/>
      <c r="R4" s="6"/>
      <c r="S4" s="6"/>
      <c r="T4" s="6"/>
      <c r="U4" s="6"/>
    </row>
    <row r="5" spans="1:23" ht="18.75" x14ac:dyDescent="0.3">
      <c r="A5" s="6"/>
      <c r="B5" s="365" t="s">
        <v>4</v>
      </c>
      <c r="C5" s="365"/>
      <c r="E5" s="6"/>
      <c r="F5" s="6"/>
      <c r="G5" s="365" t="s">
        <v>5</v>
      </c>
      <c r="H5" s="365"/>
      <c r="I5" s="365"/>
      <c r="J5" s="8"/>
      <c r="K5" s="8"/>
      <c r="L5" s="365" t="s">
        <v>6</v>
      </c>
      <c r="M5" s="365"/>
      <c r="O5" s="9" t="s">
        <v>7</v>
      </c>
      <c r="P5" s="6"/>
      <c r="Q5" s="187"/>
      <c r="R5" s="365" t="s">
        <v>8</v>
      </c>
      <c r="S5" s="365"/>
      <c r="T5" s="6"/>
      <c r="U5" s="6"/>
    </row>
    <row r="6" spans="1:23" x14ac:dyDescent="0.25">
      <c r="A6" s="186">
        <v>1</v>
      </c>
      <c r="B6" s="10"/>
      <c r="C6" s="11"/>
      <c r="D6" s="12"/>
      <c r="F6" s="189">
        <v>1</v>
      </c>
      <c r="G6" s="10"/>
      <c r="H6" s="11"/>
      <c r="I6" s="12"/>
      <c r="K6" s="261">
        <v>1</v>
      </c>
      <c r="L6" s="10"/>
      <c r="M6" s="11"/>
      <c r="N6" s="11"/>
      <c r="O6" s="13"/>
      <c r="Q6" s="285">
        <v>1</v>
      </c>
      <c r="R6" s="10"/>
      <c r="S6" s="11"/>
      <c r="T6" s="11"/>
    </row>
    <row r="7" spans="1:23" x14ac:dyDescent="0.25">
      <c r="A7" s="186">
        <v>2</v>
      </c>
      <c r="B7" s="16"/>
      <c r="C7" s="15"/>
      <c r="D7" s="17"/>
      <c r="F7" s="189">
        <v>2</v>
      </c>
      <c r="G7" s="10"/>
      <c r="H7" s="11"/>
      <c r="I7" s="11"/>
      <c r="K7" s="261">
        <v>2</v>
      </c>
      <c r="L7" s="10"/>
      <c r="M7" s="11"/>
      <c r="N7" s="12"/>
      <c r="O7" s="13"/>
      <c r="Q7" s="285">
        <v>1</v>
      </c>
      <c r="R7" s="283"/>
      <c r="S7" s="284"/>
      <c r="T7" s="286"/>
    </row>
    <row r="8" spans="1:23" x14ac:dyDescent="0.25">
      <c r="A8" s="269">
        <v>3</v>
      </c>
      <c r="B8" s="161"/>
      <c r="C8" s="160"/>
      <c r="D8" s="162"/>
      <c r="F8" s="189">
        <v>3</v>
      </c>
      <c r="G8" s="10"/>
      <c r="H8" s="11"/>
      <c r="I8" s="12"/>
      <c r="K8" s="261">
        <v>3</v>
      </c>
      <c r="L8" s="10"/>
      <c r="M8" s="208"/>
      <c r="N8" s="208"/>
      <c r="O8" s="209"/>
      <c r="Q8" s="285">
        <v>3</v>
      </c>
      <c r="R8" s="283"/>
      <c r="S8" s="284"/>
      <c r="T8" s="286"/>
    </row>
    <row r="9" spans="1:23" ht="18.75" x14ac:dyDescent="0.3">
      <c r="A9" s="186">
        <v>4</v>
      </c>
      <c r="E9" s="6"/>
      <c r="F9" s="189">
        <v>4</v>
      </c>
      <c r="G9" s="190"/>
      <c r="H9" s="191"/>
      <c r="I9" s="192"/>
      <c r="J9" s="6"/>
      <c r="K9" s="261">
        <v>4</v>
      </c>
      <c r="L9" s="190"/>
      <c r="M9" s="191"/>
      <c r="N9" s="192"/>
      <c r="O9" s="253"/>
      <c r="P9" s="6"/>
      <c r="Q9" s="285">
        <v>4</v>
      </c>
      <c r="R9" s="10"/>
      <c r="S9" s="11"/>
      <c r="T9" s="12"/>
      <c r="U9" s="193"/>
      <c r="V9" s="194"/>
      <c r="W9" s="194"/>
    </row>
    <row r="10" spans="1:23" x14ac:dyDescent="0.25">
      <c r="A10" s="186">
        <v>5</v>
      </c>
      <c r="B10" s="2"/>
      <c r="F10" s="189">
        <v>5</v>
      </c>
      <c r="G10" s="190"/>
      <c r="H10" s="191"/>
      <c r="I10" s="192"/>
      <c r="K10" s="261">
        <v>5</v>
      </c>
      <c r="L10" s="190"/>
      <c r="M10" s="191"/>
      <c r="N10" s="192"/>
      <c r="O10" s="255"/>
      <c r="Q10" s="189">
        <v>4</v>
      </c>
      <c r="R10" s="190"/>
      <c r="S10" s="191"/>
      <c r="T10" s="192"/>
      <c r="U10" s="195"/>
      <c r="V10" s="194"/>
      <c r="W10" s="194"/>
    </row>
    <row r="11" spans="1:23" x14ac:dyDescent="0.25">
      <c r="A11" s="186">
        <v>6</v>
      </c>
      <c r="B11" s="2"/>
      <c r="F11" s="189">
        <v>6</v>
      </c>
      <c r="G11" s="190"/>
      <c r="H11" s="191"/>
      <c r="I11" s="191"/>
      <c r="K11" s="261">
        <v>6</v>
      </c>
      <c r="L11" s="190"/>
      <c r="M11" s="191"/>
      <c r="N11" s="191"/>
      <c r="O11" s="253"/>
      <c r="Q11" s="189">
        <v>4</v>
      </c>
      <c r="R11" s="190"/>
      <c r="S11" s="191"/>
      <c r="T11" s="192"/>
      <c r="U11" s="195"/>
      <c r="V11" s="194"/>
      <c r="W11" s="194"/>
    </row>
    <row r="12" spans="1:23" x14ac:dyDescent="0.25">
      <c r="A12" s="186"/>
      <c r="B12" s="2"/>
      <c r="F12" s="189">
        <v>7</v>
      </c>
      <c r="G12" s="16"/>
      <c r="H12" s="15"/>
      <c r="I12" s="17"/>
      <c r="K12" s="261">
        <v>6</v>
      </c>
      <c r="L12" s="190"/>
      <c r="M12" s="191"/>
      <c r="N12" s="192"/>
      <c r="O12" s="253"/>
      <c r="Q12" s="189">
        <v>4</v>
      </c>
      <c r="R12" s="190"/>
      <c r="S12" s="191"/>
      <c r="T12" s="192"/>
    </row>
    <row r="13" spans="1:23" ht="18.75" x14ac:dyDescent="0.3">
      <c r="A13" s="186"/>
      <c r="B13" s="2"/>
      <c r="E13" s="6"/>
      <c r="F13" s="189">
        <v>8</v>
      </c>
      <c r="G13" s="190"/>
      <c r="H13" s="191"/>
      <c r="I13" s="192"/>
      <c r="J13" s="6"/>
      <c r="K13" s="261">
        <v>8</v>
      </c>
      <c r="L13" s="190"/>
      <c r="M13" s="191"/>
      <c r="N13" s="192"/>
      <c r="O13" s="258"/>
      <c r="P13" s="6"/>
      <c r="Q13" s="189">
        <v>8</v>
      </c>
      <c r="R13" s="245"/>
      <c r="S13" s="246"/>
      <c r="T13" s="247"/>
    </row>
    <row r="14" spans="1:23" ht="18.75" x14ac:dyDescent="0.3">
      <c r="A14" s="187"/>
      <c r="B14" s="7" t="s">
        <v>14</v>
      </c>
      <c r="C14" s="7"/>
      <c r="F14" s="189">
        <v>9</v>
      </c>
      <c r="G14" s="203"/>
      <c r="H14" s="204"/>
      <c r="I14" s="205"/>
      <c r="K14" s="261">
        <v>9</v>
      </c>
      <c r="L14" s="259"/>
      <c r="M14" s="191"/>
      <c r="N14" s="260"/>
      <c r="O14" s="258"/>
      <c r="Q14" s="189">
        <v>8</v>
      </c>
      <c r="R14" s="190"/>
      <c r="S14" s="191"/>
      <c r="T14" s="191"/>
    </row>
    <row r="15" spans="1:23" x14ac:dyDescent="0.25">
      <c r="A15" s="186">
        <v>1</v>
      </c>
      <c r="B15" s="10"/>
      <c r="C15" s="11"/>
      <c r="D15" s="11"/>
      <c r="F15" s="189">
        <v>10</v>
      </c>
      <c r="G15" s="190"/>
      <c r="H15" s="191"/>
      <c r="I15" s="191"/>
      <c r="K15" s="261">
        <v>10</v>
      </c>
      <c r="L15" s="249"/>
      <c r="M15" s="250"/>
      <c r="N15" s="251"/>
      <c r="O15" s="254"/>
      <c r="Q15" s="189">
        <v>10</v>
      </c>
      <c r="R15" s="190"/>
      <c r="S15" s="246"/>
      <c r="T15" s="247"/>
    </row>
    <row r="16" spans="1:23" x14ac:dyDescent="0.25">
      <c r="A16" s="269">
        <v>2</v>
      </c>
      <c r="B16" s="2"/>
      <c r="C16" s="164"/>
      <c r="D16" s="17"/>
      <c r="F16" s="189">
        <v>11</v>
      </c>
      <c r="G16" s="16"/>
      <c r="H16" s="15"/>
      <c r="I16" s="17"/>
      <c r="K16" s="261">
        <v>10</v>
      </c>
      <c r="L16" s="190"/>
      <c r="M16" s="191"/>
      <c r="N16" s="192"/>
      <c r="O16" s="253"/>
      <c r="Q16" s="189">
        <v>11</v>
      </c>
      <c r="R16" s="190"/>
      <c r="S16" s="191"/>
      <c r="T16" s="192"/>
    </row>
    <row r="17" spans="1:21" x14ac:dyDescent="0.25">
      <c r="A17" s="186">
        <v>3</v>
      </c>
      <c r="B17" s="196"/>
      <c r="C17" s="197"/>
      <c r="D17" s="198"/>
      <c r="F17" s="189">
        <v>12</v>
      </c>
      <c r="G17" s="201"/>
      <c r="H17" s="202"/>
      <c r="I17" s="248"/>
      <c r="K17" s="261">
        <v>12</v>
      </c>
      <c r="L17" s="190"/>
      <c r="M17" s="191"/>
      <c r="N17" s="191"/>
      <c r="O17" s="253"/>
      <c r="Q17" s="189">
        <v>12</v>
      </c>
      <c r="R17" s="190"/>
      <c r="S17" s="191"/>
      <c r="T17" s="192"/>
    </row>
    <row r="18" spans="1:21" x14ac:dyDescent="0.25">
      <c r="A18" s="269">
        <v>4</v>
      </c>
      <c r="B18" s="196"/>
      <c r="C18" s="197"/>
      <c r="D18" s="198"/>
      <c r="F18" s="189">
        <v>13</v>
      </c>
      <c r="G18" s="201"/>
      <c r="H18" s="202"/>
      <c r="I18" s="248"/>
      <c r="K18" s="261">
        <v>13</v>
      </c>
      <c r="L18" s="190"/>
      <c r="M18" s="191"/>
      <c r="N18" s="192"/>
      <c r="O18" s="253"/>
      <c r="Q18" s="189">
        <v>13</v>
      </c>
      <c r="R18" s="201"/>
      <c r="S18" s="202"/>
      <c r="T18" s="202"/>
    </row>
    <row r="19" spans="1:21" x14ac:dyDescent="0.25">
      <c r="A19" s="186">
        <v>5</v>
      </c>
      <c r="B19" s="161"/>
      <c r="C19" s="160"/>
      <c r="D19" s="162"/>
      <c r="F19" s="189">
        <v>14</v>
      </c>
      <c r="G19" s="16"/>
      <c r="H19" s="15"/>
      <c r="I19" s="17"/>
      <c r="K19" s="261">
        <v>14</v>
      </c>
      <c r="L19" s="190"/>
      <c r="M19" s="202"/>
      <c r="N19" s="202"/>
      <c r="O19" s="252"/>
      <c r="Q19" s="189">
        <v>14</v>
      </c>
      <c r="R19" s="245"/>
      <c r="S19" s="246"/>
      <c r="T19" s="247"/>
    </row>
    <row r="20" spans="1:21" x14ac:dyDescent="0.25">
      <c r="A20" s="186">
        <v>6</v>
      </c>
      <c r="B20" s="163"/>
      <c r="C20" s="191"/>
      <c r="D20" s="192"/>
      <c r="F20" s="189">
        <v>15</v>
      </c>
      <c r="G20" s="203"/>
      <c r="H20" s="204"/>
      <c r="I20" s="205"/>
      <c r="K20" s="261">
        <v>14</v>
      </c>
      <c r="L20" s="249"/>
      <c r="M20" s="250"/>
      <c r="N20" s="251"/>
      <c r="O20" s="254"/>
      <c r="Q20" s="189">
        <v>14</v>
      </c>
      <c r="R20" s="245"/>
      <c r="S20" s="191"/>
      <c r="T20" s="192"/>
    </row>
    <row r="21" spans="1:21" x14ac:dyDescent="0.25">
      <c r="A21" s="269">
        <v>7</v>
      </c>
      <c r="B21" s="161"/>
      <c r="C21" s="160"/>
      <c r="D21" s="162"/>
      <c r="F21" s="189">
        <v>16</v>
      </c>
      <c r="G21" s="190"/>
      <c r="H21" s="202"/>
      <c r="I21" s="202"/>
      <c r="K21" s="261">
        <v>16</v>
      </c>
      <c r="L21" s="245"/>
      <c r="M21" s="246"/>
      <c r="N21" s="247"/>
      <c r="O21" s="253"/>
      <c r="Q21" s="189">
        <v>16</v>
      </c>
      <c r="R21" s="249"/>
      <c r="S21" s="250"/>
      <c r="T21" s="251"/>
    </row>
    <row r="22" spans="1:21" x14ac:dyDescent="0.25">
      <c r="A22" s="269">
        <v>7</v>
      </c>
      <c r="B22" s="16"/>
      <c r="C22" s="197"/>
      <c r="D22" s="197"/>
      <c r="F22" s="189">
        <v>17</v>
      </c>
      <c r="G22" s="201"/>
      <c r="H22" s="202"/>
      <c r="I22" s="202"/>
      <c r="K22" s="261">
        <v>17</v>
      </c>
      <c r="L22" s="190"/>
      <c r="M22" s="191"/>
      <c r="N22" s="192"/>
      <c r="O22" s="253"/>
      <c r="Q22" s="189">
        <v>16</v>
      </c>
      <c r="R22" s="190"/>
      <c r="S22" s="202"/>
      <c r="T22" s="248"/>
    </row>
    <row r="23" spans="1:21" x14ac:dyDescent="0.25">
      <c r="A23" s="186">
        <v>7</v>
      </c>
      <c r="B23" s="16"/>
      <c r="C23" s="15"/>
      <c r="D23" s="17"/>
      <c r="F23" s="189">
        <v>18</v>
      </c>
      <c r="G23" s="190"/>
      <c r="H23" s="202"/>
      <c r="I23" s="248"/>
      <c r="K23" s="261">
        <v>17</v>
      </c>
      <c r="L23" s="190"/>
      <c r="M23" s="202"/>
      <c r="N23" s="248"/>
      <c r="O23" s="252"/>
      <c r="Q23" s="189">
        <v>16</v>
      </c>
      <c r="R23" s="249"/>
      <c r="S23" s="250"/>
      <c r="T23" s="251"/>
    </row>
    <row r="24" spans="1:21" x14ac:dyDescent="0.25">
      <c r="A24" s="186">
        <v>10</v>
      </c>
      <c r="B24" s="161"/>
      <c r="C24" s="160"/>
      <c r="D24" s="162"/>
      <c r="F24" s="189">
        <v>19</v>
      </c>
      <c r="G24" s="16"/>
      <c r="H24" s="15"/>
      <c r="I24" s="17"/>
      <c r="K24" s="261">
        <v>19</v>
      </c>
      <c r="L24" s="249"/>
      <c r="M24" s="250"/>
      <c r="N24" s="251"/>
      <c r="O24" s="254"/>
      <c r="Q24" s="189">
        <v>16</v>
      </c>
      <c r="R24" s="190"/>
      <c r="S24" s="202"/>
      <c r="T24" s="202"/>
    </row>
    <row r="25" spans="1:21" x14ac:dyDescent="0.25">
      <c r="A25" s="186">
        <v>10</v>
      </c>
      <c r="B25" s="161"/>
      <c r="C25" s="160"/>
      <c r="D25" s="162"/>
      <c r="F25" s="189">
        <v>20</v>
      </c>
      <c r="G25" s="249"/>
      <c r="H25" s="250"/>
      <c r="I25" s="251"/>
      <c r="K25" s="261">
        <v>20</v>
      </c>
      <c r="L25" s="190"/>
      <c r="M25" s="256"/>
      <c r="N25" s="257"/>
      <c r="O25" s="255"/>
      <c r="Q25" s="189">
        <v>16</v>
      </c>
      <c r="R25" s="249"/>
      <c r="S25" s="250"/>
      <c r="T25" s="251"/>
      <c r="U25" s="2"/>
    </row>
    <row r="26" spans="1:21" x14ac:dyDescent="0.25">
      <c r="A26" s="186">
        <v>10</v>
      </c>
      <c r="B26" s="161"/>
      <c r="C26" s="191"/>
      <c r="D26" s="191"/>
      <c r="F26" s="189">
        <v>21</v>
      </c>
      <c r="G26" s="190"/>
      <c r="H26" s="202"/>
      <c r="I26" s="202"/>
      <c r="K26" s="261">
        <v>21</v>
      </c>
      <c r="L26" s="190"/>
      <c r="M26" s="191"/>
      <c r="N26" s="192"/>
      <c r="O26" s="253"/>
      <c r="Q26" s="189">
        <v>16</v>
      </c>
      <c r="R26" s="190"/>
      <c r="S26" s="202"/>
      <c r="T26" s="248"/>
      <c r="U26" s="2"/>
    </row>
    <row r="27" spans="1:21" x14ac:dyDescent="0.25">
      <c r="B27" s="2"/>
      <c r="C27" s="191"/>
      <c r="D27" s="191"/>
      <c r="F27" s="189">
        <v>22</v>
      </c>
      <c r="G27" s="16"/>
      <c r="H27" s="165"/>
      <c r="I27" s="166"/>
      <c r="K27" s="261">
        <v>21</v>
      </c>
      <c r="L27" s="190"/>
      <c r="M27" s="202"/>
      <c r="N27" s="202"/>
      <c r="O27" s="252"/>
      <c r="Q27" s="189">
        <v>22</v>
      </c>
      <c r="R27" s="190"/>
      <c r="S27" s="202"/>
      <c r="T27" s="248"/>
      <c r="U27" s="2"/>
    </row>
    <row r="28" spans="1:21" x14ac:dyDescent="0.25">
      <c r="B28" s="351"/>
      <c r="C28" s="191"/>
      <c r="D28" s="191"/>
      <c r="F28" s="189">
        <v>23</v>
      </c>
      <c r="G28" s="196"/>
      <c r="H28" s="204"/>
      <c r="I28" s="205"/>
      <c r="K28" s="261">
        <v>23</v>
      </c>
      <c r="L28" s="249"/>
      <c r="M28" s="191"/>
      <c r="N28" s="192"/>
      <c r="O28" s="253"/>
      <c r="Q28" s="189">
        <v>22</v>
      </c>
      <c r="R28" s="190"/>
      <c r="S28" s="202"/>
      <c r="T28" s="202"/>
      <c r="U28" s="2"/>
    </row>
    <row r="29" spans="1:21" x14ac:dyDescent="0.25">
      <c r="B29" s="4">
        <f>SUM(B15:B28)</f>
        <v>0</v>
      </c>
      <c r="F29" s="189">
        <v>24</v>
      </c>
      <c r="G29" s="161"/>
      <c r="H29" s="160"/>
      <c r="I29" s="162"/>
      <c r="K29" s="261">
        <v>24</v>
      </c>
      <c r="L29" s="190"/>
      <c r="M29" s="256"/>
      <c r="N29" s="257"/>
      <c r="O29" s="255"/>
      <c r="Q29" s="189">
        <v>22</v>
      </c>
      <c r="R29" s="249"/>
      <c r="S29" s="250"/>
      <c r="T29" s="251"/>
      <c r="U29" s="2"/>
    </row>
    <row r="30" spans="1:21" x14ac:dyDescent="0.25">
      <c r="B30" s="2"/>
      <c r="F30" s="189">
        <v>25</v>
      </c>
      <c r="G30" s="161"/>
      <c r="H30" s="160"/>
      <c r="I30" s="162"/>
      <c r="K30" s="261">
        <v>25</v>
      </c>
      <c r="L30" s="249"/>
      <c r="M30" s="250"/>
      <c r="N30" s="251"/>
      <c r="O30" s="254"/>
      <c r="Q30" s="189">
        <v>22</v>
      </c>
      <c r="R30" s="190"/>
      <c r="S30" s="256"/>
      <c r="T30" s="257"/>
      <c r="U30" s="2"/>
    </row>
    <row r="31" spans="1:21" x14ac:dyDescent="0.25">
      <c r="B31" s="2"/>
      <c r="F31" s="189">
        <v>26</v>
      </c>
      <c r="G31" s="161"/>
      <c r="H31" s="160"/>
      <c r="I31" s="162"/>
      <c r="K31" s="261">
        <v>26</v>
      </c>
      <c r="L31" s="190"/>
      <c r="M31" s="191"/>
      <c r="N31" s="192"/>
      <c r="O31" s="253"/>
      <c r="Q31" s="189">
        <v>22</v>
      </c>
      <c r="R31" s="190"/>
      <c r="S31" s="256"/>
      <c r="T31" s="257"/>
      <c r="U31" s="2"/>
    </row>
    <row r="32" spans="1:21" x14ac:dyDescent="0.25">
      <c r="B32" s="2"/>
      <c r="F32" s="189">
        <v>27</v>
      </c>
      <c r="G32" s="206"/>
      <c r="H32" s="204"/>
      <c r="I32" s="205"/>
      <c r="K32" s="261">
        <v>27</v>
      </c>
      <c r="L32" s="190"/>
      <c r="M32" s="191"/>
      <c r="N32" s="192"/>
      <c r="O32" s="253"/>
      <c r="Q32" s="189">
        <v>22</v>
      </c>
      <c r="R32" s="190"/>
      <c r="S32" s="256"/>
      <c r="T32" s="257"/>
      <c r="U32" s="2"/>
    </row>
    <row r="33" spans="2:21" x14ac:dyDescent="0.25">
      <c r="B33" s="2"/>
      <c r="F33" s="189">
        <v>28</v>
      </c>
      <c r="G33" s="161"/>
      <c r="H33" s="160"/>
      <c r="I33" s="162"/>
      <c r="K33" s="261">
        <v>28</v>
      </c>
      <c r="L33" s="190"/>
      <c r="M33" s="202"/>
      <c r="N33" s="248"/>
      <c r="O33" s="253"/>
      <c r="Q33" s="188"/>
      <c r="R33" s="2"/>
      <c r="S33" s="2"/>
      <c r="T33" s="2"/>
      <c r="U33" s="2"/>
    </row>
    <row r="34" spans="2:21" x14ac:dyDescent="0.25">
      <c r="B34" s="2"/>
      <c r="F34" s="189">
        <v>29</v>
      </c>
      <c r="G34" s="16"/>
      <c r="H34" s="165"/>
      <c r="I34" s="166"/>
      <c r="K34" s="261"/>
      <c r="L34" s="249"/>
      <c r="M34" s="250"/>
      <c r="N34" s="251"/>
      <c r="O34" s="253"/>
      <c r="Q34" s="188"/>
      <c r="R34" s="2"/>
      <c r="S34" s="2"/>
      <c r="T34" s="2"/>
      <c r="U34" s="2"/>
    </row>
    <row r="35" spans="2:21" x14ac:dyDescent="0.25">
      <c r="B35" s="2"/>
      <c r="F35" s="189">
        <v>30</v>
      </c>
      <c r="G35" s="161"/>
      <c r="H35" s="160"/>
      <c r="I35" s="162"/>
      <c r="K35" s="261"/>
      <c r="L35" s="249"/>
      <c r="M35" s="250"/>
      <c r="N35" s="251"/>
      <c r="O35" s="253"/>
      <c r="Q35" s="188"/>
      <c r="R35" s="2"/>
      <c r="S35" s="2"/>
      <c r="T35" s="2"/>
      <c r="U35" s="2"/>
    </row>
    <row r="36" spans="2:21" x14ac:dyDescent="0.25">
      <c r="B36" s="2"/>
      <c r="F36" s="189">
        <v>31</v>
      </c>
      <c r="G36" s="16"/>
      <c r="H36" s="197"/>
      <c r="I36" s="198"/>
      <c r="K36" s="186"/>
      <c r="L36" s="268">
        <f>SUM(L6:L33)</f>
        <v>0</v>
      </c>
      <c r="Q36" s="188"/>
      <c r="R36" s="2"/>
      <c r="S36" s="2"/>
      <c r="T36" s="2"/>
    </row>
    <row r="37" spans="2:21" x14ac:dyDescent="0.25">
      <c r="B37" s="2"/>
      <c r="F37" s="189">
        <v>32</v>
      </c>
      <c r="G37" s="161"/>
      <c r="H37" s="160"/>
      <c r="I37" s="162"/>
      <c r="K37" s="186"/>
      <c r="R37" s="2"/>
      <c r="S37" s="2"/>
      <c r="T37" s="2"/>
    </row>
    <row r="38" spans="2:21" x14ac:dyDescent="0.25">
      <c r="B38" s="2"/>
      <c r="F38" s="189">
        <v>33</v>
      </c>
      <c r="G38" s="196"/>
      <c r="H38" s="204"/>
      <c r="I38" s="205"/>
      <c r="K38" s="186"/>
      <c r="R38" s="2"/>
      <c r="S38" s="2"/>
      <c r="T38" s="2"/>
    </row>
    <row r="39" spans="2:21" x14ac:dyDescent="0.25">
      <c r="B39" s="2"/>
      <c r="F39" s="189">
        <v>34</v>
      </c>
      <c r="G39" s="196"/>
      <c r="H39" s="197"/>
      <c r="I39" s="198"/>
      <c r="K39" s="186"/>
      <c r="R39" s="2"/>
      <c r="S39" s="2"/>
      <c r="T39" s="2"/>
    </row>
    <row r="40" spans="2:21" x14ac:dyDescent="0.25">
      <c r="F40" s="189">
        <v>35</v>
      </c>
      <c r="G40" s="196"/>
      <c r="H40" s="197"/>
      <c r="I40" s="198"/>
      <c r="K40" s="186"/>
      <c r="R40" s="2"/>
      <c r="S40" s="2"/>
      <c r="T40" s="2"/>
    </row>
    <row r="41" spans="2:21" x14ac:dyDescent="0.25">
      <c r="F41" s="186"/>
    </row>
    <row r="42" spans="2:21" x14ac:dyDescent="0.25">
      <c r="F42" s="186"/>
    </row>
    <row r="43" spans="2:21" x14ac:dyDescent="0.25">
      <c r="F43" s="186"/>
    </row>
    <row r="44" spans="2:21" x14ac:dyDescent="0.25">
      <c r="F44" s="186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21">
      <colorScale>
        <cfvo type="min"/>
        <cfvo type="max"/>
        <color rgb="FFFFEF9C"/>
        <color rgb="FF63BE7B"/>
      </colorScale>
    </cfRule>
  </conditionalFormatting>
  <conditionalFormatting sqref="B15:B26">
    <cfRule type="colorScale" priority="1718">
      <colorScale>
        <cfvo type="min"/>
        <cfvo type="max"/>
        <color rgb="FFFCFCFF"/>
        <color rgb="FFF8696B"/>
      </colorScale>
    </cfRule>
  </conditionalFormatting>
  <conditionalFormatting sqref="R6:R32">
    <cfRule type="colorScale" priority="1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2183">
      <colorScale>
        <cfvo type="min"/>
        <cfvo type="max"/>
        <color rgb="FFFFEF9C"/>
        <color rgb="FF63BE7B"/>
      </colorScale>
    </cfRule>
  </conditionalFormatting>
  <conditionalFormatting sqref="L6:L35">
    <cfRule type="colorScale" priority="2190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219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activeCell="H11" sqref="H11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184</v>
      </c>
    </row>
    <row r="2" spans="1:15" x14ac:dyDescent="0.25">
      <c r="B2" t="s">
        <v>183</v>
      </c>
      <c r="D2" t="s">
        <v>183</v>
      </c>
      <c r="I2" s="273" t="str">
        <f>PLANTILLA!C4</f>
        <v>Jordi Ricart</v>
      </c>
      <c r="M2" s="272" t="str">
        <f>PLANTILLA!B4</f>
        <v>POR</v>
      </c>
      <c r="N2" s="272" t="str">
        <f>PLANTILLA!C4</f>
        <v>Jordi Ricart</v>
      </c>
      <c r="O2" s="272">
        <f>PLANTILLA!R4</f>
        <v>5320</v>
      </c>
    </row>
    <row r="3" spans="1:15" x14ac:dyDescent="0.25">
      <c r="A3" t="s">
        <v>55</v>
      </c>
      <c r="B3" t="s">
        <v>181</v>
      </c>
      <c r="C3" t="s">
        <v>181</v>
      </c>
      <c r="D3" t="s">
        <v>181</v>
      </c>
      <c r="E3" t="s">
        <v>55</v>
      </c>
      <c r="M3" t="e">
        <f>PLANTILLA!#REF!</f>
        <v>#REF!</v>
      </c>
      <c r="N3" t="e">
        <f>PLANTILLA!#REF!</f>
        <v>#REF!</v>
      </c>
      <c r="O3" t="e">
        <f>PLANTILLA!#REF!</f>
        <v>#REF!</v>
      </c>
    </row>
    <row r="4" spans="1:15" x14ac:dyDescent="0.25">
      <c r="B4" t="s">
        <v>182</v>
      </c>
      <c r="C4" t="s">
        <v>182</v>
      </c>
      <c r="D4" t="s">
        <v>182</v>
      </c>
      <c r="H4" s="267" t="e">
        <f>PLANTILLA!#REF!</f>
        <v>#REF!</v>
      </c>
      <c r="J4" s="267" t="e">
        <f>PLANTILLA!#REF!</f>
        <v>#REF!</v>
      </c>
      <c r="M4" t="str">
        <f>PLANTILLA!B6</f>
        <v>LAT</v>
      </c>
      <c r="N4" t="str">
        <f>PLANTILLA!C6</f>
        <v>Antero Lombo</v>
      </c>
      <c r="O4">
        <f>PLANTILLA!R6</f>
        <v>950</v>
      </c>
    </row>
    <row r="5" spans="1:15" x14ac:dyDescent="0.25">
      <c r="M5" t="str">
        <f>PLANTILLA!B9</f>
        <v>CEN</v>
      </c>
      <c r="N5" t="str">
        <f>PLANTILLA!C9</f>
        <v>Juan Carlos Morata</v>
      </c>
      <c r="O5">
        <f>PLANTILLA!R9</f>
        <v>650</v>
      </c>
    </row>
    <row r="6" spans="1:15" x14ac:dyDescent="0.25">
      <c r="G6" s="266" t="str">
        <f>PLANTILLA!C20</f>
        <v>Hemmu Ramchi</v>
      </c>
      <c r="H6" s="266" t="str">
        <f>PLANTILLA!C13</f>
        <v>Julian Blanco</v>
      </c>
      <c r="I6" s="266" t="str">
        <f>PLANTILLA!C11</f>
        <v>Mauro Ascariz</v>
      </c>
      <c r="J6" s="266" t="str">
        <f>PLANTILLA!C12</f>
        <v>Calogero Coluccio</v>
      </c>
      <c r="K6" s="266" t="str">
        <f>PLANTILLA!C18</f>
        <v>Fernan de Caranza</v>
      </c>
      <c r="M6" t="e">
        <f>PLANTILLA!#REF!</f>
        <v>#REF!</v>
      </c>
      <c r="N6" t="e">
        <f>PLANTILLA!#REF!</f>
        <v>#REF!</v>
      </c>
      <c r="O6" t="e">
        <f>PLANTILLA!#REF!</f>
        <v>#REF!</v>
      </c>
    </row>
    <row r="7" spans="1:15" x14ac:dyDescent="0.25">
      <c r="M7" s="274" t="e">
        <f>PLANTILLA!#REF!</f>
        <v>#REF!</v>
      </c>
      <c r="N7" s="274" t="e">
        <f>PLANTILLA!#REF!</f>
        <v>#REF!</v>
      </c>
      <c r="O7" s="274" t="e">
        <f>PLANTILLA!#REF!</f>
        <v>#REF!</v>
      </c>
    </row>
    <row r="8" spans="1:15" x14ac:dyDescent="0.25">
      <c r="H8" s="277" t="str">
        <f>PLANTILLA!C22</f>
        <v>Albert Millau</v>
      </c>
      <c r="I8" s="277" t="str">
        <f>PLANTILLA!C23</f>
        <v>Pablo Carbo</v>
      </c>
      <c r="J8" s="277" t="e">
        <f>PLANTILLA!#REF!</f>
        <v>#REF!</v>
      </c>
      <c r="M8" s="275" t="str">
        <f>PLANTILLA!B11</f>
        <v>MED</v>
      </c>
      <c r="N8" s="275" t="str">
        <f>PLANTILLA!C11</f>
        <v>Mauro Ascariz</v>
      </c>
      <c r="O8" s="275">
        <f>PLANTILLA!R11</f>
        <v>1190</v>
      </c>
    </row>
    <row r="9" spans="1:15" x14ac:dyDescent="0.25">
      <c r="M9" s="274" t="e">
        <f>PLANTILLA!#REF!</f>
        <v>#REF!</v>
      </c>
      <c r="N9" s="274" t="e">
        <f>PLANTILLA!#REF!</f>
        <v>#REF!</v>
      </c>
      <c r="O9" s="274" t="e">
        <f>PLANTILLA!#REF!</f>
        <v>#REF!</v>
      </c>
    </row>
    <row r="10" spans="1:15" x14ac:dyDescent="0.25">
      <c r="M10" s="275" t="str">
        <f>PLANTILLA!B12</f>
        <v>MED</v>
      </c>
      <c r="N10" s="275" t="str">
        <f>PLANTILLA!C12</f>
        <v>Calogero Coluccio</v>
      </c>
      <c r="O10" s="275">
        <f>PLANTILLA!R12</f>
        <v>1510</v>
      </c>
    </row>
    <row r="11" spans="1:15" x14ac:dyDescent="0.25">
      <c r="M11" s="275" t="str">
        <f>PLANTILLA!B13</f>
        <v>MED</v>
      </c>
      <c r="N11" s="275" t="str">
        <f>PLANTILLA!C13</f>
        <v>Julian Blanco</v>
      </c>
      <c r="O11" s="275">
        <f>PLANTILLA!R13</f>
        <v>880</v>
      </c>
    </row>
    <row r="12" spans="1:15" x14ac:dyDescent="0.25">
      <c r="M12" s="275" t="str">
        <f>PLANTILLA!B18</f>
        <v>EXT</v>
      </c>
      <c r="N12" s="275" t="str">
        <f>PLANTILLA!C18</f>
        <v>Fernan de Caranza</v>
      </c>
      <c r="O12" s="275">
        <f>PLANTILLA!R18</f>
        <v>1450</v>
      </c>
    </row>
    <row r="13" spans="1:15" x14ac:dyDescent="0.25">
      <c r="M13" s="275" t="str">
        <f>PLANTILLA!B20</f>
        <v>EXT</v>
      </c>
      <c r="N13" s="275" t="str">
        <f>PLANTILLA!C20</f>
        <v>Hemmu Ramchi</v>
      </c>
      <c r="O13" s="275">
        <f>PLANTILLA!R20</f>
        <v>2070</v>
      </c>
    </row>
    <row r="14" spans="1:15" x14ac:dyDescent="0.25">
      <c r="M14" t="str">
        <f>PLANTILLA!B21</f>
        <v>DAV</v>
      </c>
      <c r="N14" t="str">
        <f>PLANTILLA!C21</f>
        <v>Marc Costa</v>
      </c>
      <c r="O14">
        <f>PLANTILLA!R21</f>
        <v>1500</v>
      </c>
    </row>
    <row r="15" spans="1:15" x14ac:dyDescent="0.25">
      <c r="M15" s="276" t="str">
        <f>PLANTILLA!B22</f>
        <v>DAV</v>
      </c>
      <c r="N15" s="276" t="str">
        <f>PLANTILLA!C22</f>
        <v>Albert Millau</v>
      </c>
      <c r="O15" s="276">
        <f>PLANTILLA!R22</f>
        <v>1280</v>
      </c>
    </row>
    <row r="16" spans="1:15" x14ac:dyDescent="0.25">
      <c r="M16" s="276" t="str">
        <f>PLANTILLA!B23</f>
        <v>DAV</v>
      </c>
      <c r="N16" s="276" t="str">
        <f>PLANTILLA!C23</f>
        <v>Pablo Carbo</v>
      </c>
      <c r="O16" s="276">
        <f>PLANTILLA!R23</f>
        <v>100</v>
      </c>
    </row>
    <row r="17" spans="13:15" x14ac:dyDescent="0.25">
      <c r="M17" t="e">
        <f>PLANTILLA!#REF!</f>
        <v>#REF!</v>
      </c>
      <c r="N17" t="e">
        <f>PLANTILLA!#REF!</f>
        <v>#REF!</v>
      </c>
      <c r="O17" t="e">
        <f>PLANTILLA!#REF!</f>
        <v>#REF!</v>
      </c>
    </row>
    <row r="18" spans="13:15" x14ac:dyDescent="0.25">
      <c r="M18" s="276" t="e">
        <f>PLANTILLA!#REF!</f>
        <v>#REF!</v>
      </c>
      <c r="N18" s="276" t="e">
        <f>PLANTILLA!#REF!</f>
        <v>#REF!</v>
      </c>
      <c r="O18" s="276" t="e">
        <f>PLANTILLA!#REF!</f>
        <v>#REF!</v>
      </c>
    </row>
    <row r="19" spans="13:15" x14ac:dyDescent="0.25">
      <c r="M19" t="e">
        <f>PLANTILLA!#REF!</f>
        <v>#REF!</v>
      </c>
      <c r="N19" t="e">
        <f>PLANTILLA!#REF!</f>
        <v>#REF!</v>
      </c>
      <c r="O19" t="e">
        <f>PLANTILLA!#REF!</f>
        <v>#REF!</v>
      </c>
    </row>
    <row r="20" spans="13:15" x14ac:dyDescent="0.25">
      <c r="M20" t="e">
        <f>PLANTILLA!#REF!</f>
        <v>#REF!</v>
      </c>
      <c r="N20" t="e">
        <f>PLANTILLA!#REF!</f>
        <v>#REF!</v>
      </c>
      <c r="O20" t="e">
        <f>PLANTILLA!#REF!</f>
        <v>#REF!</v>
      </c>
    </row>
    <row r="21" spans="13:15" x14ac:dyDescent="0.25">
      <c r="M21" t="e">
        <f>PLANTILLA!#REF!</f>
        <v>#REF!</v>
      </c>
      <c r="N21" t="e">
        <f>PLANTILLA!#REF!</f>
        <v>#REF!</v>
      </c>
      <c r="O21" t="e">
        <f>PLANTILLA!#REF!</f>
        <v>#REF!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18"/>
  <sheetViews>
    <sheetView workbookViewId="0">
      <selection activeCell="H15" sqref="H15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184</v>
      </c>
    </row>
    <row r="2" spans="1:15" x14ac:dyDescent="0.25">
      <c r="B2" t="s">
        <v>183</v>
      </c>
      <c r="E2" t="s">
        <v>186</v>
      </c>
      <c r="I2" s="273" t="str">
        <f>PLANTILLA!C4</f>
        <v>Jordi Ricart</v>
      </c>
      <c r="M2" s="272" t="str">
        <f>PLANTILLA!B4</f>
        <v>POR</v>
      </c>
      <c r="N2" s="272" t="str">
        <f>PLANTILLA!C4</f>
        <v>Jordi Ricart</v>
      </c>
      <c r="O2" s="272">
        <f>PLANTILLA!R4</f>
        <v>5320</v>
      </c>
    </row>
    <row r="3" spans="1:15" x14ac:dyDescent="0.25">
      <c r="A3" t="s">
        <v>55</v>
      </c>
      <c r="B3" t="s">
        <v>181</v>
      </c>
      <c r="C3" t="s">
        <v>181</v>
      </c>
      <c r="D3" t="s">
        <v>172</v>
      </c>
      <c r="E3" t="s">
        <v>54</v>
      </c>
      <c r="M3" t="e">
        <f>PLANTILLA!#REF!</f>
        <v>#REF!</v>
      </c>
      <c r="N3" t="e">
        <f>PLANTILLA!#REF!</f>
        <v>#REF!</v>
      </c>
      <c r="O3" t="e">
        <f>PLANTILLA!#REF!</f>
        <v>#REF!</v>
      </c>
    </row>
    <row r="4" spans="1:15" x14ac:dyDescent="0.25">
      <c r="B4" t="s">
        <v>182</v>
      </c>
      <c r="C4" t="s">
        <v>182</v>
      </c>
      <c r="D4" t="s">
        <v>185</v>
      </c>
      <c r="H4" s="267" t="e">
        <f>PLANTILLA!#REF!</f>
        <v>#REF!</v>
      </c>
      <c r="J4" s="278"/>
      <c r="K4" s="267" t="str">
        <f>PLANTILLA!C20</f>
        <v>Hemmu Ramchi</v>
      </c>
      <c r="M4" t="str">
        <f>PLANTILLA!B6</f>
        <v>LAT</v>
      </c>
      <c r="N4" t="str">
        <f>PLANTILLA!C6</f>
        <v>Antero Lombo</v>
      </c>
      <c r="O4">
        <f>PLANTILLA!R6</f>
        <v>950</v>
      </c>
    </row>
    <row r="5" spans="1:15" x14ac:dyDescent="0.25">
      <c r="M5" t="str">
        <f>PLANTILLA!B9</f>
        <v>CEN</v>
      </c>
      <c r="N5" t="str">
        <f>PLANTILLA!C9</f>
        <v>Juan Carlos Morata</v>
      </c>
      <c r="O5">
        <f>PLANTILLA!R9</f>
        <v>650</v>
      </c>
    </row>
    <row r="6" spans="1:15" x14ac:dyDescent="0.25">
      <c r="G6" s="266" t="e">
        <f>PLANTILLA!#REF!</f>
        <v>#REF!</v>
      </c>
      <c r="H6" s="266" t="str">
        <f>PLANTILLA!C13</f>
        <v>Julian Blanco</v>
      </c>
      <c r="I6" s="266" t="str">
        <f>PLANTILLA!C11</f>
        <v>Mauro Ascariz</v>
      </c>
      <c r="J6" s="266" t="str">
        <f>PLANTILLA!C12</f>
        <v>Calogero Coluccio</v>
      </c>
      <c r="K6" s="266" t="str">
        <f>PLANTILLA!C18</f>
        <v>Fernan de Caranza</v>
      </c>
      <c r="M6" t="e">
        <f>PLANTILLA!#REF!</f>
        <v>#REF!</v>
      </c>
      <c r="N6" t="e">
        <f>PLANTILLA!#REF!</f>
        <v>#REF!</v>
      </c>
      <c r="O6" t="e">
        <f>PLANTILLA!#REF!</f>
        <v>#REF!</v>
      </c>
    </row>
    <row r="7" spans="1:15" x14ac:dyDescent="0.25">
      <c r="M7" s="279" t="e">
        <f>PLANTILLA!#REF!</f>
        <v>#REF!</v>
      </c>
      <c r="N7" s="279" t="e">
        <f>PLANTILLA!#REF!</f>
        <v>#REF!</v>
      </c>
      <c r="O7" s="279" t="e">
        <f>PLANTILLA!#REF!</f>
        <v>#REF!</v>
      </c>
    </row>
    <row r="8" spans="1:15" x14ac:dyDescent="0.25">
      <c r="H8" s="277" t="e">
        <f>PLANTILLA!#REF!</f>
        <v>#REF!</v>
      </c>
      <c r="I8" s="277" t="str">
        <f>PLANTILLA!C23</f>
        <v>Pablo Carbo</v>
      </c>
      <c r="J8" s="277" t="str">
        <f>PLANTILLA!C22</f>
        <v>Albert Millau</v>
      </c>
      <c r="M8" s="275" t="str">
        <f>PLANTILLA!B11</f>
        <v>MED</v>
      </c>
      <c r="N8" s="275" t="str">
        <f>PLANTILLA!C11</f>
        <v>Mauro Ascariz</v>
      </c>
      <c r="O8" s="275">
        <f>PLANTILLA!R11</f>
        <v>1190</v>
      </c>
    </row>
    <row r="9" spans="1:15" x14ac:dyDescent="0.25">
      <c r="M9" s="275" t="e">
        <f>PLANTILLA!#REF!</f>
        <v>#REF!</v>
      </c>
      <c r="N9" s="275" t="e">
        <f>PLANTILLA!#REF!</f>
        <v>#REF!</v>
      </c>
      <c r="O9" s="275" t="e">
        <f>PLANTILLA!#REF!</f>
        <v>#REF!</v>
      </c>
    </row>
    <row r="10" spans="1:15" x14ac:dyDescent="0.25">
      <c r="M10" s="275" t="str">
        <f>PLANTILLA!B12</f>
        <v>MED</v>
      </c>
      <c r="N10" s="275" t="str">
        <f>PLANTILLA!C12</f>
        <v>Calogero Coluccio</v>
      </c>
      <c r="O10" s="275">
        <f>PLANTILLA!R12</f>
        <v>1510</v>
      </c>
    </row>
    <row r="11" spans="1:15" x14ac:dyDescent="0.25">
      <c r="M11" s="275" t="str">
        <f>PLANTILLA!B13</f>
        <v>MED</v>
      </c>
      <c r="N11" s="275" t="str">
        <f>PLANTILLA!C13</f>
        <v>Julian Blanco</v>
      </c>
      <c r="O11" s="275">
        <f>PLANTILLA!R13</f>
        <v>880</v>
      </c>
    </row>
    <row r="12" spans="1:15" x14ac:dyDescent="0.25">
      <c r="M12" s="275" t="str">
        <f>PLANTILLA!B18</f>
        <v>EXT</v>
      </c>
      <c r="N12" s="275" t="str">
        <f>PLANTILLA!C18</f>
        <v>Fernan de Caranza</v>
      </c>
      <c r="O12" s="275">
        <f>PLANTILLA!R18</f>
        <v>1450</v>
      </c>
    </row>
    <row r="13" spans="1:15" x14ac:dyDescent="0.25">
      <c r="M13" s="274" t="str">
        <f>PLANTILLA!B20</f>
        <v>EXT</v>
      </c>
      <c r="N13" s="274" t="str">
        <f>PLANTILLA!C20</f>
        <v>Hemmu Ramchi</v>
      </c>
      <c r="O13" s="274">
        <f>PLANTILLA!R20</f>
        <v>2070</v>
      </c>
    </row>
    <row r="14" spans="1:15" x14ac:dyDescent="0.25">
      <c r="M14" t="str">
        <f>PLANTILLA!B21</f>
        <v>DAV</v>
      </c>
      <c r="N14" t="str">
        <f>PLANTILLA!C21</f>
        <v>Marc Costa</v>
      </c>
      <c r="O14">
        <f>PLANTILLA!R21</f>
        <v>1500</v>
      </c>
    </row>
    <row r="15" spans="1:15" x14ac:dyDescent="0.25">
      <c r="M15" s="276" t="str">
        <f>PLANTILLA!B22</f>
        <v>DAV</v>
      </c>
      <c r="N15" s="276" t="str">
        <f>PLANTILLA!C22</f>
        <v>Albert Millau</v>
      </c>
      <c r="O15" s="276">
        <f>PLANTILLA!R22</f>
        <v>1280</v>
      </c>
    </row>
    <row r="16" spans="1:15" x14ac:dyDescent="0.25">
      <c r="M16" s="276" t="str">
        <f>PLANTILLA!B23</f>
        <v>DAV</v>
      </c>
      <c r="N16" s="276" t="str">
        <f>PLANTILLA!C23</f>
        <v>Pablo Carbo</v>
      </c>
      <c r="O16" s="276">
        <f>PLANTILLA!R23</f>
        <v>100</v>
      </c>
    </row>
    <row r="17" spans="13:15" x14ac:dyDescent="0.25">
      <c r="M17" t="e">
        <f>PLANTILLA!#REF!</f>
        <v>#REF!</v>
      </c>
      <c r="N17" t="e">
        <f>PLANTILLA!#REF!</f>
        <v>#REF!</v>
      </c>
      <c r="O17" t="e">
        <f>PLANTILLA!#REF!</f>
        <v>#REF!</v>
      </c>
    </row>
    <row r="18" spans="13:15" x14ac:dyDescent="0.25">
      <c r="M18" s="276" t="e">
        <f>PLANTILLA!#REF!</f>
        <v>#REF!</v>
      </c>
      <c r="N18" s="276" t="e">
        <f>PLANTILLA!#REF!</f>
        <v>#REF!</v>
      </c>
      <c r="O18" s="276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J6" sqref="J6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288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288" bestFit="1" customWidth="1"/>
    <col min="10" max="10" width="6.42578125" style="289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187</v>
      </c>
    </row>
    <row r="2" spans="1:25" ht="15" x14ac:dyDescent="0.25">
      <c r="A2" s="303" t="s">
        <v>173</v>
      </c>
      <c r="B2" s="304" t="s">
        <v>161</v>
      </c>
      <c r="C2" s="304" t="s">
        <v>162</v>
      </c>
      <c r="D2" s="304" t="s">
        <v>163</v>
      </c>
      <c r="E2" s="305" t="s">
        <v>164</v>
      </c>
      <c r="F2" s="304" t="s">
        <v>165</v>
      </c>
      <c r="G2" s="304" t="s">
        <v>166</v>
      </c>
      <c r="H2" s="304" t="s">
        <v>167</v>
      </c>
      <c r="I2" s="305" t="s">
        <v>11</v>
      </c>
      <c r="J2" s="306" t="s">
        <v>180</v>
      </c>
      <c r="O2" s="2"/>
      <c r="P2" s="2"/>
      <c r="Q2" s="273" t="s">
        <v>59</v>
      </c>
      <c r="R2" s="2"/>
      <c r="S2" s="2"/>
    </row>
    <row r="3" spans="1:25" x14ac:dyDescent="0.25">
      <c r="A3" s="287" t="s">
        <v>174</v>
      </c>
      <c r="B3" s="157">
        <f>POR!V4</f>
        <v>8.5285714285714284E-2</v>
      </c>
      <c r="C3" s="157">
        <f>POR!W4</f>
        <v>0.12371428571428571</v>
      </c>
      <c r="D3" s="157">
        <f>POR!X4</f>
        <v>8.5285714285714284E-2</v>
      </c>
      <c r="E3" s="296"/>
      <c r="F3" s="308"/>
      <c r="G3" s="308"/>
      <c r="H3" s="308"/>
      <c r="I3" s="302">
        <f>(B3*0.257+C3*0.36+D3*0.257)/0.874</f>
        <v>0.10111441647597254</v>
      </c>
      <c r="J3" s="299"/>
      <c r="O3" s="2"/>
      <c r="P3" s="2"/>
      <c r="Q3" s="2"/>
      <c r="R3" s="2"/>
      <c r="S3" s="2"/>
      <c r="W3" t="s">
        <v>184</v>
      </c>
    </row>
    <row r="4" spans="1:25" x14ac:dyDescent="0.25">
      <c r="A4" s="287" t="s">
        <v>175</v>
      </c>
      <c r="B4" s="157">
        <f>DEF!S13</f>
        <v>0.36154999999999998</v>
      </c>
      <c r="C4" s="157">
        <f>DEF!T13</f>
        <v>0.82915000000000005</v>
      </c>
      <c r="D4" s="157">
        <f>DEF!U13</f>
        <v>0.33830000000000005</v>
      </c>
      <c r="E4" s="296"/>
      <c r="F4" s="308"/>
      <c r="G4" s="308"/>
      <c r="H4" s="308"/>
      <c r="I4" s="302">
        <f>(B4*0.257+C4*0.36+D4*0.257)/0.874</f>
        <v>0.54731744851258579</v>
      </c>
      <c r="J4" s="299"/>
      <c r="O4" s="2"/>
      <c r="P4" s="267" t="s">
        <v>67</v>
      </c>
      <c r="Q4" s="2"/>
      <c r="R4" s="267" t="s">
        <v>68</v>
      </c>
      <c r="S4" s="2"/>
      <c r="V4" t="s">
        <v>183</v>
      </c>
      <c r="X4" t="s">
        <v>183</v>
      </c>
    </row>
    <row r="5" spans="1:25" x14ac:dyDescent="0.25">
      <c r="A5" s="273" t="s">
        <v>176</v>
      </c>
      <c r="E5" s="297">
        <f>JUG!R12</f>
        <v>0.45342948717948717</v>
      </c>
      <c r="F5" s="308"/>
      <c r="G5" s="308"/>
      <c r="H5" s="308"/>
      <c r="I5" s="296"/>
      <c r="J5" s="299"/>
      <c r="O5" s="2"/>
      <c r="P5" s="2"/>
      <c r="Q5" s="2"/>
      <c r="R5" s="2"/>
      <c r="S5" s="2"/>
      <c r="U5" t="s">
        <v>55</v>
      </c>
      <c r="V5" t="s">
        <v>181</v>
      </c>
      <c r="W5" t="s">
        <v>181</v>
      </c>
      <c r="X5" t="s">
        <v>181</v>
      </c>
      <c r="Y5" t="s">
        <v>55</v>
      </c>
    </row>
    <row r="6" spans="1:25" x14ac:dyDescent="0.25">
      <c r="A6" s="266" t="s">
        <v>177</v>
      </c>
      <c r="E6" s="296"/>
      <c r="F6" s="310">
        <f>LAT!T10</f>
        <v>0.40150000000000002</v>
      </c>
      <c r="G6" s="310">
        <f>LAT!U10</f>
        <v>0</v>
      </c>
      <c r="H6" s="310">
        <f>LAT!V10</f>
        <v>0.40150000000000002</v>
      </c>
      <c r="I6" s="297"/>
      <c r="J6" s="300">
        <f>(F6*0.257+G6*0.36+H6*0.257)/0.874</f>
        <v>0.23612242562929064</v>
      </c>
      <c r="O6" s="266" t="s">
        <v>72</v>
      </c>
      <c r="P6" s="266" t="s">
        <v>74</v>
      </c>
      <c r="Q6" s="266" t="s">
        <v>65</v>
      </c>
      <c r="R6" s="266" t="s">
        <v>95</v>
      </c>
      <c r="S6" s="266" t="s">
        <v>69</v>
      </c>
      <c r="V6" t="s">
        <v>182</v>
      </c>
      <c r="W6" t="s">
        <v>182</v>
      </c>
      <c r="X6" t="s">
        <v>182</v>
      </c>
    </row>
    <row r="7" spans="1:25" x14ac:dyDescent="0.25">
      <c r="A7" s="266" t="s">
        <v>198</v>
      </c>
      <c r="E7" s="296"/>
      <c r="F7" s="310">
        <f>ATTLAT!T10</f>
        <v>0.32127999999999995</v>
      </c>
      <c r="G7" s="310">
        <f>ATTLAT!U10</f>
        <v>0</v>
      </c>
      <c r="H7" s="310">
        <f>ATTLAT!V10</f>
        <v>0.32127999999999995</v>
      </c>
      <c r="I7" s="297"/>
      <c r="J7" s="300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66" t="s">
        <v>178</v>
      </c>
      <c r="E8" s="296"/>
      <c r="F8" s="310">
        <f>PAS!T10</f>
        <v>0.40804166666666652</v>
      </c>
      <c r="G8" s="310">
        <f>PAS!U10</f>
        <v>0.80658333333333332</v>
      </c>
      <c r="H8" s="310">
        <f>PAS!V10</f>
        <v>0.44270833333333326</v>
      </c>
      <c r="I8" s="296"/>
      <c r="J8" s="300">
        <f t="shared" ref="J8:J9" si="0">(F8*0.257+G8*0.36+H8*0.257)/0.874</f>
        <v>0.58239445080091523</v>
      </c>
      <c r="O8" s="2"/>
      <c r="P8" s="277" t="s">
        <v>76</v>
      </c>
      <c r="Q8" s="277" t="s">
        <v>78</v>
      </c>
      <c r="R8" s="277" t="s">
        <v>79</v>
      </c>
      <c r="S8" s="2"/>
    </row>
    <row r="9" spans="1:25" x14ac:dyDescent="0.25">
      <c r="A9" s="266" t="s">
        <v>179</v>
      </c>
      <c r="E9" s="298"/>
      <c r="F9" s="312">
        <f>ANO!T10</f>
        <v>6.9000000000000006E-2</v>
      </c>
      <c r="G9" s="312">
        <f>ANO!U10</f>
        <v>0.68199999999999994</v>
      </c>
      <c r="H9" s="312">
        <f>ANO!V10</f>
        <v>6.9000000000000006E-2</v>
      </c>
      <c r="I9" s="298"/>
      <c r="J9" s="301">
        <f t="shared" si="0"/>
        <v>0.32149427917620133</v>
      </c>
    </row>
    <row r="13" spans="1:25" x14ac:dyDescent="0.25">
      <c r="A13" s="18" t="s">
        <v>188</v>
      </c>
      <c r="O13" s="2"/>
      <c r="P13" s="2"/>
      <c r="Q13" s="273" t="s">
        <v>59</v>
      </c>
      <c r="R13" s="2"/>
      <c r="S13" s="2"/>
    </row>
    <row r="14" spans="1:25" ht="15" x14ac:dyDescent="0.25">
      <c r="A14" s="303" t="s">
        <v>173</v>
      </c>
      <c r="B14" s="304" t="s">
        <v>161</v>
      </c>
      <c r="C14" s="304" t="s">
        <v>162</v>
      </c>
      <c r="D14" s="304" t="s">
        <v>163</v>
      </c>
      <c r="E14" s="305" t="s">
        <v>164</v>
      </c>
      <c r="F14" s="304" t="s">
        <v>165</v>
      </c>
      <c r="G14" s="304" t="s">
        <v>166</v>
      </c>
      <c r="H14" s="307" t="s">
        <v>167</v>
      </c>
      <c r="I14" s="306" t="s">
        <v>11</v>
      </c>
      <c r="J14" s="306" t="s">
        <v>180</v>
      </c>
      <c r="O14" s="2"/>
      <c r="P14" s="2"/>
      <c r="Q14" s="2"/>
      <c r="R14" s="2"/>
      <c r="S14" s="2"/>
      <c r="W14" t="s">
        <v>184</v>
      </c>
    </row>
    <row r="15" spans="1:25" x14ac:dyDescent="0.25">
      <c r="A15" s="287" t="s">
        <v>174</v>
      </c>
      <c r="B15" s="157">
        <f>POR!V4</f>
        <v>8.5285714285714284E-2</v>
      </c>
      <c r="C15" s="157">
        <f>POR!W4</f>
        <v>0.12371428571428571</v>
      </c>
      <c r="D15" s="157">
        <f>POR!X4</f>
        <v>8.5285714285714284E-2</v>
      </c>
      <c r="E15" s="296"/>
      <c r="F15" s="308"/>
      <c r="G15" s="308"/>
      <c r="H15" s="309"/>
      <c r="I15" s="300">
        <f>(B15*0.257+C15*0.36+D15*0.257)/0.874</f>
        <v>0.10111441647597254</v>
      </c>
      <c r="J15" s="299"/>
      <c r="O15" s="2"/>
      <c r="P15" s="267" t="s">
        <v>67</v>
      </c>
      <c r="Q15" s="2"/>
      <c r="R15" s="278"/>
      <c r="S15" s="267" t="s">
        <v>72</v>
      </c>
      <c r="V15" t="s">
        <v>183</v>
      </c>
      <c r="Y15" t="s">
        <v>186</v>
      </c>
    </row>
    <row r="16" spans="1:25" x14ac:dyDescent="0.25">
      <c r="A16" s="287" t="s">
        <v>175</v>
      </c>
      <c r="B16" s="157">
        <f>DEF!AF13</f>
        <v>0.27379999999999999</v>
      </c>
      <c r="C16" s="157">
        <f>DEF!AG13</f>
        <v>0.73615000000000008</v>
      </c>
      <c r="D16" s="157">
        <f>DEF!AH13</f>
        <v>0.45904999999999996</v>
      </c>
      <c r="E16" s="296"/>
      <c r="F16" s="308"/>
      <c r="G16" s="308"/>
      <c r="H16" s="309"/>
      <c r="I16" s="300">
        <f>(B16*0.257+C16*0.36+D16*0.257)/0.874</f>
        <v>0.51871447368421053</v>
      </c>
      <c r="J16" s="299"/>
      <c r="O16" s="2"/>
      <c r="P16" s="2"/>
      <c r="Q16" s="2"/>
      <c r="R16" s="2"/>
      <c r="S16" s="2"/>
      <c r="U16" t="s">
        <v>55</v>
      </c>
      <c r="V16" t="s">
        <v>181</v>
      </c>
      <c r="W16" t="s">
        <v>181</v>
      </c>
      <c r="X16" t="s">
        <v>172</v>
      </c>
      <c r="Y16" t="s">
        <v>54</v>
      </c>
    </row>
    <row r="17" spans="1:24" x14ac:dyDescent="0.25">
      <c r="A17" s="273" t="s">
        <v>176</v>
      </c>
      <c r="E17" s="297">
        <f>JUG!AC12</f>
        <v>0.4103525641025641</v>
      </c>
      <c r="F17" s="308"/>
      <c r="G17" s="308"/>
      <c r="H17" s="309"/>
      <c r="I17" s="314"/>
      <c r="J17" s="299"/>
      <c r="O17" s="266" t="s">
        <v>68</v>
      </c>
      <c r="P17" s="266" t="s">
        <v>74</v>
      </c>
      <c r="Q17" s="266" t="s">
        <v>65</v>
      </c>
      <c r="R17" s="266" t="s">
        <v>95</v>
      </c>
      <c r="S17" s="266" t="s">
        <v>69</v>
      </c>
      <c r="V17" t="s">
        <v>182</v>
      </c>
      <c r="W17" t="s">
        <v>182</v>
      </c>
      <c r="X17" t="s">
        <v>185</v>
      </c>
    </row>
    <row r="18" spans="1:24" x14ac:dyDescent="0.25">
      <c r="A18" s="266" t="s">
        <v>177</v>
      </c>
      <c r="E18" s="296"/>
      <c r="F18" s="310">
        <f>LAT!AD10</f>
        <v>0.10050000000000001</v>
      </c>
      <c r="G18" s="310">
        <f>LAT!AE10</f>
        <v>0</v>
      </c>
      <c r="H18" s="311">
        <f>LAT!AF10</f>
        <v>0.79916666666666658</v>
      </c>
      <c r="I18" s="315"/>
      <c r="J18" s="300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66" t="s">
        <v>198</v>
      </c>
      <c r="E19" s="296"/>
      <c r="F19" s="310">
        <f>ATTLAT!AD10</f>
        <v>0.12864</v>
      </c>
      <c r="G19" s="310">
        <f>ATTLAT!AE10</f>
        <v>0</v>
      </c>
      <c r="H19" s="311">
        <f>ATTLAT!AF10</f>
        <v>0.57578666666666667</v>
      </c>
      <c r="I19" s="315"/>
      <c r="J19" s="300">
        <f>(F19*0.257+G19*0.36+H19*0.257)/0.874</f>
        <v>0.2071369031273837</v>
      </c>
      <c r="O19" s="2"/>
      <c r="P19" s="277" t="s">
        <v>79</v>
      </c>
      <c r="Q19" s="277" t="s">
        <v>78</v>
      </c>
      <c r="R19" s="277" t="s">
        <v>76</v>
      </c>
      <c r="S19" s="2"/>
    </row>
    <row r="20" spans="1:24" x14ac:dyDescent="0.25">
      <c r="A20" s="266" t="s">
        <v>178</v>
      </c>
      <c r="E20" s="296"/>
      <c r="F20" s="310">
        <f>PAS!AD10</f>
        <v>0.31270833333333325</v>
      </c>
      <c r="G20" s="310">
        <f>PAS!AE10</f>
        <v>0.70791666666666664</v>
      </c>
      <c r="H20" s="311">
        <f>PAS!AF10</f>
        <v>0.45504166666666668</v>
      </c>
      <c r="I20" s="314"/>
      <c r="J20" s="300">
        <f t="shared" ref="J20:J21" si="1">(F20*0.257+G20*0.36+H20*0.257)/0.874</f>
        <v>0.51734754004576655</v>
      </c>
    </row>
    <row r="21" spans="1:24" x14ac:dyDescent="0.25">
      <c r="A21" s="266" t="s">
        <v>179</v>
      </c>
      <c r="E21" s="298"/>
      <c r="F21" s="312">
        <f>ANO!AD10</f>
        <v>6.9000000000000006E-2</v>
      </c>
      <c r="G21" s="312">
        <f>ANO!AE10</f>
        <v>0.53733333333333333</v>
      </c>
      <c r="H21" s="313">
        <f>ANO!AF10</f>
        <v>0.12416666666666665</v>
      </c>
      <c r="I21" s="316"/>
      <c r="J21" s="301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A3" sqref="A3:M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65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3" t="s">
        <v>16</v>
      </c>
      <c r="B3" s="154" t="s">
        <v>17</v>
      </c>
      <c r="C3" s="154" t="s">
        <v>18</v>
      </c>
      <c r="D3" s="154" t="s">
        <v>19</v>
      </c>
      <c r="E3" s="154" t="s">
        <v>22</v>
      </c>
      <c r="F3" s="154" t="s">
        <v>27</v>
      </c>
      <c r="G3" s="154" t="s">
        <v>35</v>
      </c>
      <c r="H3" s="154" t="s">
        <v>36</v>
      </c>
      <c r="I3" s="154" t="s">
        <v>37</v>
      </c>
      <c r="J3" s="154" t="s">
        <v>38</v>
      </c>
      <c r="K3" s="154" t="s">
        <v>39</v>
      </c>
      <c r="L3" s="154" t="s">
        <v>40</v>
      </c>
      <c r="M3" s="154" t="s">
        <v>19</v>
      </c>
      <c r="N3" s="155" t="s">
        <v>93</v>
      </c>
      <c r="O3" s="156" t="s">
        <v>161</v>
      </c>
      <c r="P3" s="156" t="s">
        <v>162</v>
      </c>
      <c r="Q3" s="156" t="s">
        <v>163</v>
      </c>
      <c r="R3" s="156" t="s">
        <v>164</v>
      </c>
      <c r="S3" s="156" t="s">
        <v>165</v>
      </c>
      <c r="T3" s="156" t="s">
        <v>166</v>
      </c>
      <c r="U3" s="156" t="s">
        <v>167</v>
      </c>
      <c r="V3" s="213" t="s">
        <v>49</v>
      </c>
      <c r="W3" s="213" t="s">
        <v>49</v>
      </c>
      <c r="X3" s="213" t="s">
        <v>49</v>
      </c>
    </row>
    <row r="4" spans="1:24" x14ac:dyDescent="0.25">
      <c r="A4" t="str">
        <f>PLANTILLA!C4</f>
        <v>Jordi Ricart</v>
      </c>
      <c r="B4">
        <f>PLANTILLA!D4</f>
        <v>22</v>
      </c>
      <c r="C4" s="135">
        <f ca="1">PLANTILLA!E4</f>
        <v>7</v>
      </c>
      <c r="D4">
        <f>PLANTILLA!F4</f>
        <v>0</v>
      </c>
      <c r="E4" s="68">
        <f>PLANTILLA!I4</f>
        <v>0.63616167295954995</v>
      </c>
      <c r="F4" s="66">
        <f>PLANTILLA!N4</f>
        <v>1.5</v>
      </c>
      <c r="G4" s="66">
        <f>PLANTILLA!V4</f>
        <v>7</v>
      </c>
      <c r="H4" s="66">
        <f>PLANTILLA!W4</f>
        <v>1</v>
      </c>
      <c r="I4" s="66">
        <f>PLANTILLA!X4</f>
        <v>0</v>
      </c>
      <c r="J4" s="66">
        <f>PLANTILLA!Y4</f>
        <v>0</v>
      </c>
      <c r="K4" s="66">
        <f>PLANTILLA!Z4</f>
        <v>0</v>
      </c>
      <c r="L4" s="66">
        <f>PLANTILLA!AA4</f>
        <v>0</v>
      </c>
      <c r="M4" s="66">
        <f>PLANTILLA!AB4</f>
        <v>5</v>
      </c>
      <c r="N4" s="212">
        <f>1/7</f>
        <v>0.14285714285714285</v>
      </c>
      <c r="O4" s="157">
        <f t="shared" ref="O4:Q5" si="0">$N4*O$2</f>
        <v>8.5285714285714284E-2</v>
      </c>
      <c r="P4" s="157">
        <f t="shared" si="0"/>
        <v>0.12371428571428571</v>
      </c>
      <c r="Q4" s="157">
        <f t="shared" si="0"/>
        <v>8.5285714285714284E-2</v>
      </c>
      <c r="V4" s="158">
        <f>O4</f>
        <v>8.5285714285714284E-2</v>
      </c>
      <c r="W4" s="158">
        <f t="shared" ref="W4:X4" si="1">P4</f>
        <v>0.12371428571428571</v>
      </c>
      <c r="X4" s="158">
        <f t="shared" si="1"/>
        <v>8.5285714285714284E-2</v>
      </c>
    </row>
    <row r="5" spans="1:24" x14ac:dyDescent="0.25">
      <c r="A5" t="e">
        <f>PLANTILLA!#REF!</f>
        <v>#REF!</v>
      </c>
      <c r="B5" t="e">
        <f>PLANTILLA!#REF!</f>
        <v>#REF!</v>
      </c>
      <c r="C5" s="135" t="e">
        <f>PLANTILLA!#REF!</f>
        <v>#REF!</v>
      </c>
      <c r="D5" t="e">
        <f>PLANTILLA!#REF!</f>
        <v>#REF!</v>
      </c>
      <c r="E5" s="68" t="e">
        <f>PLANTILLA!#REF!</f>
        <v>#REF!</v>
      </c>
      <c r="F5" s="66" t="e">
        <f>PLANTILLA!#REF!</f>
        <v>#REF!</v>
      </c>
      <c r="G5" s="66" t="e">
        <f>PLANTILLA!#REF!</f>
        <v>#REF!</v>
      </c>
      <c r="H5" s="66" t="e">
        <f>PLANTILLA!#REF!</f>
        <v>#REF!</v>
      </c>
      <c r="I5" s="66" t="e">
        <f>PLANTILLA!#REF!</f>
        <v>#REF!</v>
      </c>
      <c r="J5" s="66" t="e">
        <f>PLANTILLA!#REF!</f>
        <v>#REF!</v>
      </c>
      <c r="K5" s="66" t="e">
        <f>PLANTILLA!#REF!</f>
        <v>#REF!</v>
      </c>
      <c r="L5" s="66" t="e">
        <f>PLANTILLA!#REF!</f>
        <v>#REF!</v>
      </c>
      <c r="M5" s="66" t="e">
        <f>PLANTILLA!#REF!</f>
        <v>#REF!</v>
      </c>
      <c r="N5" s="212">
        <f>1/6.5</f>
        <v>0.15384615384615385</v>
      </c>
      <c r="O5" s="157">
        <f t="shared" si="0"/>
        <v>9.1846153846153841E-2</v>
      </c>
      <c r="P5" s="157">
        <f t="shared" si="0"/>
        <v>0.13323076923076924</v>
      </c>
      <c r="Q5" s="157">
        <f t="shared" si="0"/>
        <v>9.1846153846153841E-2</v>
      </c>
      <c r="V5" s="158"/>
    </row>
    <row r="6" spans="1:24" x14ac:dyDescent="0.25">
      <c r="A6" t="str">
        <f>PLANTILLA!C6</f>
        <v>Antero Lombo</v>
      </c>
      <c r="B6">
        <f>PLANTILLA!D6</f>
        <v>31</v>
      </c>
      <c r="C6" s="135">
        <f ca="1">PLANTILLA!E6</f>
        <v>56</v>
      </c>
      <c r="D6">
        <f>PLANTILLA!F6</f>
        <v>0</v>
      </c>
      <c r="E6" s="68">
        <f>PLANTILLA!I6</f>
        <v>1.0375350005115249</v>
      </c>
      <c r="F6" s="66">
        <f>PLANTILLA!N6</f>
        <v>1.5</v>
      </c>
      <c r="G6" s="66">
        <f>PLANTILLA!V6</f>
        <v>0</v>
      </c>
      <c r="H6" s="66">
        <f>PLANTILLA!W6</f>
        <v>5</v>
      </c>
      <c r="I6" s="66">
        <f>PLANTILLA!X6</f>
        <v>5</v>
      </c>
      <c r="J6" s="66">
        <f>PLANTILLA!Y6</f>
        <v>4</v>
      </c>
      <c r="K6" s="66">
        <f>PLANTILLA!Z6</f>
        <v>5</v>
      </c>
      <c r="L6" s="66">
        <f>PLANTILLA!AA6</f>
        <v>2</v>
      </c>
      <c r="M6" s="66">
        <f>PLANTILLA!AB6</f>
        <v>4</v>
      </c>
      <c r="N6" s="68"/>
      <c r="V6" s="9"/>
    </row>
    <row r="7" spans="1:24" x14ac:dyDescent="0.25">
      <c r="A7" t="str">
        <f>PLANTILLA!C9</f>
        <v>Juan Carlos Morata</v>
      </c>
      <c r="B7">
        <f>PLANTILLA!D9</f>
        <v>18</v>
      </c>
      <c r="C7" s="135">
        <f ca="1">PLANTILLA!E9</f>
        <v>91</v>
      </c>
      <c r="D7" t="str">
        <f>PLANTILLA!F9</f>
        <v>CAB</v>
      </c>
      <c r="E7" s="68">
        <f>PLANTILLA!I9</f>
        <v>0.40137332755197491</v>
      </c>
      <c r="F7" s="66">
        <f>PLANTILLA!N9</f>
        <v>1.5</v>
      </c>
      <c r="G7" s="66">
        <f>PLANTILLA!V9</f>
        <v>0</v>
      </c>
      <c r="H7" s="66">
        <f>PLANTILLA!W9</f>
        <v>6</v>
      </c>
      <c r="I7" s="66">
        <f>PLANTILLA!X9</f>
        <v>2</v>
      </c>
      <c r="J7" s="66">
        <f>PLANTILLA!Y9</f>
        <v>2</v>
      </c>
      <c r="K7" s="66">
        <f>PLANTILLA!Z9</f>
        <v>4</v>
      </c>
      <c r="L7" s="66">
        <f>PLANTILLA!AA9</f>
        <v>1</v>
      </c>
      <c r="M7" s="66">
        <f>PLANTILLA!AB9</f>
        <v>4</v>
      </c>
      <c r="N7" s="68"/>
      <c r="V7" s="9"/>
    </row>
    <row r="8" spans="1:24" x14ac:dyDescent="0.25">
      <c r="A8" t="e">
        <f>PLANTILLA!#REF!</f>
        <v>#REF!</v>
      </c>
      <c r="B8" t="e">
        <f>PLANTILLA!#REF!</f>
        <v>#REF!</v>
      </c>
      <c r="C8" s="135" t="e">
        <f>PLANTILLA!#REF!</f>
        <v>#REF!</v>
      </c>
      <c r="D8" t="e">
        <f>PLANTILLA!#REF!</f>
        <v>#REF!</v>
      </c>
      <c r="E8" s="68" t="e">
        <f>PLANTILLA!#REF!</f>
        <v>#REF!</v>
      </c>
      <c r="F8" s="66" t="e">
        <f>PLANTILLA!#REF!</f>
        <v>#REF!</v>
      </c>
      <c r="G8" s="66" t="e">
        <f>PLANTILLA!#REF!</f>
        <v>#REF!</v>
      </c>
      <c r="H8" s="66" t="e">
        <f>PLANTILLA!#REF!</f>
        <v>#REF!</v>
      </c>
      <c r="I8" s="66" t="e">
        <f>PLANTILLA!#REF!</f>
        <v>#REF!</v>
      </c>
      <c r="J8" s="66" t="e">
        <f>PLANTILLA!#REF!</f>
        <v>#REF!</v>
      </c>
      <c r="K8" s="66" t="e">
        <f>PLANTILLA!#REF!</f>
        <v>#REF!</v>
      </c>
      <c r="L8" s="66" t="e">
        <f>PLANTILLA!#REF!</f>
        <v>#REF!</v>
      </c>
      <c r="M8" s="66" t="e">
        <f>PLANTILLA!#REF!</f>
        <v>#REF!</v>
      </c>
      <c r="N8" s="68"/>
      <c r="V8" s="9"/>
    </row>
    <row r="9" spans="1:24" x14ac:dyDescent="0.25">
      <c r="A9" t="e">
        <f>PLANTILLA!#REF!</f>
        <v>#REF!</v>
      </c>
      <c r="B9" t="e">
        <f>PLANTILLA!#REF!</f>
        <v>#REF!</v>
      </c>
      <c r="C9" s="135" t="e">
        <f>PLANTILLA!#REF!</f>
        <v>#REF!</v>
      </c>
      <c r="D9" t="e">
        <f>PLANTILLA!#REF!</f>
        <v>#REF!</v>
      </c>
      <c r="E9" s="68" t="e">
        <f>PLANTILLA!#REF!</f>
        <v>#REF!</v>
      </c>
      <c r="F9" s="66" t="e">
        <f>PLANTILLA!#REF!</f>
        <v>#REF!</v>
      </c>
      <c r="G9" s="66" t="e">
        <f>PLANTILLA!#REF!</f>
        <v>#REF!</v>
      </c>
      <c r="H9" s="66" t="e">
        <f>PLANTILLA!#REF!</f>
        <v>#REF!</v>
      </c>
      <c r="I9" s="66" t="e">
        <f>PLANTILLA!#REF!</f>
        <v>#REF!</v>
      </c>
      <c r="J9" s="66" t="e">
        <f>PLANTILLA!#REF!</f>
        <v>#REF!</v>
      </c>
      <c r="K9" s="66" t="e">
        <f>PLANTILLA!#REF!</f>
        <v>#REF!</v>
      </c>
      <c r="L9" s="66" t="e">
        <f>PLANTILLA!#REF!</f>
        <v>#REF!</v>
      </c>
      <c r="M9" s="66" t="e">
        <f>PLANTILLA!#REF!</f>
        <v>#REF!</v>
      </c>
      <c r="N9" s="68"/>
      <c r="V9" s="9"/>
    </row>
    <row r="10" spans="1:24" x14ac:dyDescent="0.25">
      <c r="A10" t="str">
        <f>PLANTILLA!C11</f>
        <v>Mauro Ascariz</v>
      </c>
      <c r="B10">
        <f>PLANTILLA!D11</f>
        <v>19</v>
      </c>
      <c r="C10" s="135">
        <f ca="1">PLANTILLA!E11</f>
        <v>84</v>
      </c>
      <c r="D10">
        <f>PLANTILLA!F11</f>
        <v>0</v>
      </c>
      <c r="E10" s="68">
        <f>PLANTILLA!I11</f>
        <v>0.40137332755197491</v>
      </c>
      <c r="F10" s="66">
        <f>PLANTILLA!N11</f>
        <v>1.5</v>
      </c>
      <c r="G10" s="66">
        <f>PLANTILLA!V11</f>
        <v>0</v>
      </c>
      <c r="H10" s="66">
        <f>PLANTILLA!W11</f>
        <v>3</v>
      </c>
      <c r="I10" s="66">
        <f>PLANTILLA!X11</f>
        <v>5</v>
      </c>
      <c r="J10" s="66">
        <f>PLANTILLA!Y11</f>
        <v>1</v>
      </c>
      <c r="K10" s="66">
        <f>PLANTILLA!Z11</f>
        <v>5</v>
      </c>
      <c r="L10" s="66">
        <f>PLANTILLA!AA11</f>
        <v>1</v>
      </c>
      <c r="M10" s="66">
        <f>PLANTILLA!AB11</f>
        <v>5</v>
      </c>
      <c r="N10" s="68"/>
      <c r="V10" s="9"/>
    </row>
    <row r="11" spans="1:24" x14ac:dyDescent="0.25">
      <c r="A11" t="e">
        <f>PLANTILLA!#REF!</f>
        <v>#REF!</v>
      </c>
      <c r="B11" t="e">
        <f>PLANTILLA!#REF!</f>
        <v>#REF!</v>
      </c>
      <c r="C11" s="135" t="e">
        <f>PLANTILLA!#REF!</f>
        <v>#REF!</v>
      </c>
      <c r="D11" t="e">
        <f>PLANTILLA!#REF!</f>
        <v>#REF!</v>
      </c>
      <c r="E11" s="68" t="e">
        <f>PLANTILLA!#REF!</f>
        <v>#REF!</v>
      </c>
      <c r="F11" s="66" t="e">
        <f>PLANTILLA!#REF!</f>
        <v>#REF!</v>
      </c>
      <c r="G11" s="66" t="e">
        <f>PLANTILLA!#REF!</f>
        <v>#REF!</v>
      </c>
      <c r="H11" s="66" t="e">
        <f>PLANTILLA!#REF!</f>
        <v>#REF!</v>
      </c>
      <c r="I11" s="66" t="e">
        <f>PLANTILLA!#REF!</f>
        <v>#REF!</v>
      </c>
      <c r="J11" s="66" t="e">
        <f>PLANTILLA!#REF!</f>
        <v>#REF!</v>
      </c>
      <c r="K11" s="66" t="e">
        <f>PLANTILLA!#REF!</f>
        <v>#REF!</v>
      </c>
      <c r="L11" s="66" t="e">
        <f>PLANTILLA!#REF!</f>
        <v>#REF!</v>
      </c>
      <c r="M11" s="66" t="e">
        <f>PLANTILLA!#REF!</f>
        <v>#REF!</v>
      </c>
      <c r="N11" s="68"/>
      <c r="V11" s="9"/>
    </row>
    <row r="12" spans="1:24" x14ac:dyDescent="0.25">
      <c r="A12" t="str">
        <f>PLANTILLA!C12</f>
        <v>Calogero Coluccio</v>
      </c>
      <c r="B12">
        <f>PLANTILLA!D12</f>
        <v>24</v>
      </c>
      <c r="C12" s="135">
        <f ca="1">PLANTILLA!E12</f>
        <v>19</v>
      </c>
      <c r="D12" t="str">
        <f>PLANTILLA!F12</f>
        <v>RAP</v>
      </c>
      <c r="E12" s="68">
        <f>PLANTILLA!I12</f>
        <v>0.63616167295954995</v>
      </c>
      <c r="F12" s="66">
        <f>PLANTILLA!N12</f>
        <v>1.5</v>
      </c>
      <c r="G12" s="66">
        <f>PLANTILLA!V12</f>
        <v>0</v>
      </c>
      <c r="H12" s="66">
        <f>PLANTILLA!W12</f>
        <v>5</v>
      </c>
      <c r="I12" s="66">
        <f>PLANTILLA!X12</f>
        <v>6</v>
      </c>
      <c r="J12" s="66">
        <f>PLANTILLA!Y12</f>
        <v>1</v>
      </c>
      <c r="K12" s="66">
        <f>PLANTILLA!Z12</f>
        <v>2</v>
      </c>
      <c r="L12" s="66">
        <f>PLANTILLA!AA12</f>
        <v>0</v>
      </c>
      <c r="M12" s="66">
        <f>PLANTILLA!AB12</f>
        <v>3</v>
      </c>
      <c r="N12" s="68"/>
      <c r="V12" s="9"/>
    </row>
    <row r="13" spans="1:24" x14ac:dyDescent="0.25">
      <c r="A13" t="str">
        <f>PLANTILLA!C13</f>
        <v>Julian Blanco</v>
      </c>
      <c r="B13">
        <f>PLANTILLA!D13</f>
        <v>24</v>
      </c>
      <c r="C13" s="135">
        <f ca="1">PLANTILLA!E13</f>
        <v>73</v>
      </c>
      <c r="D13" t="str">
        <f>PLANTILLA!F13</f>
        <v>TEC</v>
      </c>
      <c r="E13" s="68">
        <f>PLANTILLA!I13</f>
        <v>0.80274665510394982</v>
      </c>
      <c r="F13" s="66">
        <f>PLANTILLA!N13</f>
        <v>1.5</v>
      </c>
      <c r="G13" s="66">
        <f>PLANTILLA!V13</f>
        <v>0</v>
      </c>
      <c r="H13" s="66">
        <f>PLANTILLA!W13</f>
        <v>3</v>
      </c>
      <c r="I13" s="66">
        <f>PLANTILLA!X13</f>
        <v>6</v>
      </c>
      <c r="J13" s="66">
        <f>PLANTILLA!Y13</f>
        <v>2</v>
      </c>
      <c r="K13" s="66">
        <f>PLANTILLA!Z13</f>
        <v>3</v>
      </c>
      <c r="L13" s="66">
        <f>PLANTILLA!AA13</f>
        <v>2</v>
      </c>
      <c r="M13" s="66">
        <f>PLANTILLA!AB13</f>
        <v>4</v>
      </c>
      <c r="N13" s="68"/>
      <c r="V13" s="9"/>
    </row>
    <row r="14" spans="1:24" x14ac:dyDescent="0.25">
      <c r="A14" t="str">
        <f>PLANTILLA!C18</f>
        <v>Fernan de Caranza</v>
      </c>
      <c r="B14">
        <f>PLANTILLA!D18</f>
        <v>20</v>
      </c>
      <c r="C14" s="135">
        <f ca="1">PLANTILLA!E18</f>
        <v>54</v>
      </c>
      <c r="D14" t="str">
        <f>PLANTILLA!F18</f>
        <v>POT</v>
      </c>
      <c r="E14" s="68">
        <f>PLANTILLA!I18</f>
        <v>0.40137332755197491</v>
      </c>
      <c r="F14" s="66">
        <f>PLANTILLA!N18</f>
        <v>1.5</v>
      </c>
      <c r="G14" s="66">
        <f>PLANTILLA!V18</f>
        <v>0</v>
      </c>
      <c r="H14" s="66">
        <f>PLANTILLA!W18</f>
        <v>3</v>
      </c>
      <c r="I14" s="66">
        <f>PLANTILLA!X18</f>
        <v>5</v>
      </c>
      <c r="J14" s="66">
        <f>PLANTILLA!Y18</f>
        <v>5</v>
      </c>
      <c r="K14" s="66">
        <f>PLANTILLA!Z18</f>
        <v>4</v>
      </c>
      <c r="L14" s="66">
        <f>PLANTILLA!AA18</f>
        <v>2</v>
      </c>
      <c r="M14" s="66">
        <f>PLANTILLA!AB18</f>
        <v>3</v>
      </c>
      <c r="N14" s="68"/>
      <c r="V14" s="9"/>
    </row>
    <row r="15" spans="1:24" x14ac:dyDescent="0.25">
      <c r="A15" t="str">
        <f>PLANTILLA!C20</f>
        <v>Hemmu Ramchi</v>
      </c>
      <c r="B15">
        <f>PLANTILLA!D20</f>
        <v>22</v>
      </c>
      <c r="C15" s="135">
        <f ca="1">PLANTILLA!E20</f>
        <v>105</v>
      </c>
      <c r="D15">
        <f>PLANTILLA!F20</f>
        <v>0</v>
      </c>
      <c r="E15" s="68">
        <f>PLANTILLA!I20</f>
        <v>0.63616167295954995</v>
      </c>
      <c r="F15" s="66">
        <f ca="1">PLANTILLA!N20</f>
        <v>1</v>
      </c>
      <c r="G15" s="66">
        <f>PLANTILLA!V20</f>
        <v>0</v>
      </c>
      <c r="H15" s="66">
        <f>PLANTILLA!W20</f>
        <v>3</v>
      </c>
      <c r="I15" s="66">
        <f>PLANTILLA!X20</f>
        <v>4</v>
      </c>
      <c r="J15" s="66">
        <f>PLANTILLA!Y20</f>
        <v>6</v>
      </c>
      <c r="K15" s="66">
        <f>PLANTILLA!Z20</f>
        <v>5</v>
      </c>
      <c r="L15" s="66">
        <f>PLANTILLA!AA20</f>
        <v>2</v>
      </c>
      <c r="M15" s="66">
        <f>PLANTILLA!AB20</f>
        <v>3</v>
      </c>
      <c r="N15" s="68"/>
      <c r="V15" s="9"/>
    </row>
    <row r="16" spans="1:24" x14ac:dyDescent="0.25">
      <c r="A16" t="str">
        <f>PLANTILLA!C21</f>
        <v>Marc Costa</v>
      </c>
      <c r="B16">
        <f>PLANTILLA!D21</f>
        <v>19</v>
      </c>
      <c r="C16" s="135">
        <f ca="1">PLANTILLA!E21</f>
        <v>20</v>
      </c>
      <c r="D16">
        <f>PLANTILLA!F21</f>
        <v>0</v>
      </c>
      <c r="E16" s="68">
        <f>PLANTILLA!I21</f>
        <v>0.40137332755197491</v>
      </c>
      <c r="F16" s="66">
        <f>PLANTILLA!N21</f>
        <v>1.5</v>
      </c>
      <c r="G16" s="66">
        <f>PLANTILLA!V21</f>
        <v>0</v>
      </c>
      <c r="H16" s="66">
        <f>PLANTILLA!W21</f>
        <v>1</v>
      </c>
      <c r="I16" s="66">
        <f>PLANTILLA!X21</f>
        <v>2</v>
      </c>
      <c r="J16" s="66">
        <f>PLANTILLA!Y21</f>
        <v>5</v>
      </c>
      <c r="K16" s="66">
        <f>PLANTILLA!Z21</f>
        <v>3</v>
      </c>
      <c r="L16" s="66">
        <f>PLANTILLA!AA21</f>
        <v>6</v>
      </c>
      <c r="M16" s="66">
        <f>PLANTILLA!AB21</f>
        <v>5</v>
      </c>
      <c r="N16" s="68"/>
      <c r="V16" s="9"/>
    </row>
    <row r="17" spans="1:22" x14ac:dyDescent="0.25">
      <c r="A17" t="str">
        <f>PLANTILLA!C22</f>
        <v>Albert Millau</v>
      </c>
      <c r="B17">
        <f>PLANTILLA!D22</f>
        <v>26</v>
      </c>
      <c r="C17" s="135">
        <f ca="1">PLANTILLA!E22</f>
        <v>1</v>
      </c>
      <c r="D17">
        <f>PLANTILLA!F22</f>
        <v>0</v>
      </c>
      <c r="E17" s="68">
        <f>PLANTILLA!I22</f>
        <v>0.80274665510394982</v>
      </c>
      <c r="F17" s="66">
        <f>PLANTILLA!N22</f>
        <v>1.5</v>
      </c>
      <c r="G17" s="66">
        <f>PLANTILLA!V22</f>
        <v>0</v>
      </c>
      <c r="H17" s="66">
        <f>PLANTILLA!W22</f>
        <v>2</v>
      </c>
      <c r="I17" s="66">
        <f>PLANTILLA!X22</f>
        <v>4</v>
      </c>
      <c r="J17" s="66">
        <f>PLANTILLA!Y22</f>
        <v>3</v>
      </c>
      <c r="K17" s="66">
        <f>PLANTILLA!Z22</f>
        <v>5</v>
      </c>
      <c r="L17" s="66">
        <f>PLANTILLA!AA22</f>
        <v>5</v>
      </c>
      <c r="M17" s="66">
        <f>PLANTILLA!AB22</f>
        <v>1</v>
      </c>
      <c r="N17" s="68"/>
      <c r="V17" s="9"/>
    </row>
    <row r="18" spans="1:22" x14ac:dyDescent="0.25">
      <c r="A18" t="str">
        <f>PLANTILLA!C23</f>
        <v>Pablo Carbo</v>
      </c>
      <c r="B18">
        <f>PLANTILLA!D23</f>
        <v>34</v>
      </c>
      <c r="C18" s="135">
        <f ca="1">PLANTILLA!E23</f>
        <v>12</v>
      </c>
      <c r="D18">
        <f>PLANTILLA!F23</f>
        <v>0</v>
      </c>
      <c r="E18" s="68">
        <f>PLANTILLA!I23</f>
        <v>1.0375350005115249</v>
      </c>
      <c r="F18" s="66">
        <f>PLANTILLA!N23</f>
        <v>1.5</v>
      </c>
      <c r="G18" s="66">
        <f>PLANTILLA!V23</f>
        <v>0</v>
      </c>
      <c r="H18" s="66">
        <f>PLANTILLA!W23</f>
        <v>2</v>
      </c>
      <c r="I18" s="66">
        <f>PLANTILLA!X23</f>
        <v>3</v>
      </c>
      <c r="J18" s="66">
        <f>PLANTILLA!Y23</f>
        <v>3</v>
      </c>
      <c r="K18" s="66">
        <f>PLANTILLA!Z23</f>
        <v>2</v>
      </c>
      <c r="L18" s="66">
        <f>PLANTILLA!AA23</f>
        <v>6</v>
      </c>
      <c r="M18" s="66">
        <f>PLANTILLA!AB23</f>
        <v>3</v>
      </c>
      <c r="N18" s="68"/>
      <c r="V18" s="9"/>
    </row>
    <row r="19" spans="1:22" x14ac:dyDescent="0.25">
      <c r="A19" t="e">
        <f>PLANTILLA!#REF!</f>
        <v>#REF!</v>
      </c>
      <c r="B19" t="e">
        <f>PLANTILLA!#REF!</f>
        <v>#REF!</v>
      </c>
      <c r="C19" s="135" t="e">
        <f>PLANTILLA!#REF!</f>
        <v>#REF!</v>
      </c>
      <c r="D19" t="e">
        <f>PLANTILLA!#REF!</f>
        <v>#REF!</v>
      </c>
      <c r="E19" s="68" t="e">
        <f>PLANTILLA!#REF!</f>
        <v>#REF!</v>
      </c>
      <c r="F19" s="66" t="e">
        <f>PLANTILLA!#REF!</f>
        <v>#REF!</v>
      </c>
      <c r="G19" s="66" t="e">
        <f>PLANTILLA!#REF!</f>
        <v>#REF!</v>
      </c>
      <c r="H19" s="66" t="e">
        <f>PLANTILLA!#REF!</f>
        <v>#REF!</v>
      </c>
      <c r="I19" s="66" t="e">
        <f>PLANTILLA!#REF!</f>
        <v>#REF!</v>
      </c>
      <c r="J19" s="66" t="e">
        <f>PLANTILLA!#REF!</f>
        <v>#REF!</v>
      </c>
      <c r="K19" s="66" t="e">
        <f>PLANTILLA!#REF!</f>
        <v>#REF!</v>
      </c>
      <c r="L19" s="66" t="e">
        <f>PLANTILLA!#REF!</f>
        <v>#REF!</v>
      </c>
      <c r="M19" s="66" t="e">
        <f>PLANTILLA!#REF!</f>
        <v>#REF!</v>
      </c>
      <c r="N19" s="68"/>
      <c r="V19" s="9"/>
    </row>
    <row r="20" spans="1:22" x14ac:dyDescent="0.25">
      <c r="A20" t="e">
        <f>PLANTILLA!#REF!</f>
        <v>#REF!</v>
      </c>
      <c r="B20" t="e">
        <f>PLANTILLA!#REF!</f>
        <v>#REF!</v>
      </c>
      <c r="C20" s="135" t="e">
        <f>PLANTILLA!#REF!</f>
        <v>#REF!</v>
      </c>
      <c r="D20" t="e">
        <f>PLANTILLA!#REF!</f>
        <v>#REF!</v>
      </c>
      <c r="E20" s="68" t="e">
        <f>PLANTILLA!#REF!</f>
        <v>#REF!</v>
      </c>
      <c r="F20" s="66" t="e">
        <f>PLANTILLA!#REF!</f>
        <v>#REF!</v>
      </c>
      <c r="G20" s="66" t="e">
        <f>PLANTILLA!#REF!</f>
        <v>#REF!</v>
      </c>
      <c r="H20" s="66" t="e">
        <f>PLANTILLA!#REF!</f>
        <v>#REF!</v>
      </c>
      <c r="I20" s="66" t="e">
        <f>PLANTILLA!#REF!</f>
        <v>#REF!</v>
      </c>
      <c r="J20" s="66" t="e">
        <f>PLANTILLA!#REF!</f>
        <v>#REF!</v>
      </c>
      <c r="K20" s="66" t="e">
        <f>PLANTILLA!#REF!</f>
        <v>#REF!</v>
      </c>
      <c r="L20" s="66" t="e">
        <f>PLANTILLA!#REF!</f>
        <v>#REF!</v>
      </c>
      <c r="M20" s="66" t="e">
        <f>PLANTILLA!#REF!</f>
        <v>#REF!</v>
      </c>
    </row>
    <row r="21" spans="1:22" x14ac:dyDescent="0.25">
      <c r="A21" t="e">
        <f>PLANTILLA!#REF!</f>
        <v>#REF!</v>
      </c>
      <c r="B21" t="e">
        <f>PLANTILLA!#REF!</f>
        <v>#REF!</v>
      </c>
      <c r="C21" s="135" t="e">
        <f>PLANTILLA!#REF!</f>
        <v>#REF!</v>
      </c>
      <c r="D21" t="e">
        <f>PLANTILLA!#REF!</f>
        <v>#REF!</v>
      </c>
      <c r="E21" s="68" t="e">
        <f>PLANTILLA!#REF!</f>
        <v>#REF!</v>
      </c>
      <c r="F21" s="66" t="e">
        <f>PLANTILLA!#REF!</f>
        <v>#REF!</v>
      </c>
      <c r="G21" s="66" t="e">
        <f>PLANTILLA!#REF!</f>
        <v>#REF!</v>
      </c>
      <c r="H21" s="66" t="e">
        <f>PLANTILLA!#REF!</f>
        <v>#REF!</v>
      </c>
      <c r="I21" s="66" t="e">
        <f>PLANTILLA!#REF!</f>
        <v>#REF!</v>
      </c>
      <c r="J21" s="66" t="e">
        <f>PLANTILLA!#REF!</f>
        <v>#REF!</v>
      </c>
      <c r="K21" s="66" t="e">
        <f>PLANTILLA!#REF!</f>
        <v>#REF!</v>
      </c>
      <c r="L21" s="66" t="e">
        <f>PLANTILLA!#REF!</f>
        <v>#REF!</v>
      </c>
      <c r="M21" s="66" t="e">
        <f>PLANTILLA!#REF!</f>
        <v>#REF!</v>
      </c>
    </row>
    <row r="22" spans="1:22" x14ac:dyDescent="0.25">
      <c r="A22" t="e">
        <f>PLANTILLA!#REF!</f>
        <v>#REF!</v>
      </c>
      <c r="B22" t="e">
        <f>PLANTILLA!#REF!</f>
        <v>#REF!</v>
      </c>
      <c r="C22" s="135" t="e">
        <f>PLANTILLA!#REF!</f>
        <v>#REF!</v>
      </c>
      <c r="D22" t="e">
        <f>PLANTILLA!#REF!</f>
        <v>#REF!</v>
      </c>
      <c r="E22" s="68" t="e">
        <f>PLANTILLA!#REF!</f>
        <v>#REF!</v>
      </c>
      <c r="F22" s="66" t="e">
        <f>PLANTILLA!#REF!</f>
        <v>#REF!</v>
      </c>
      <c r="G22" s="66" t="e">
        <f>PLANTILLA!#REF!</f>
        <v>#REF!</v>
      </c>
      <c r="H22" s="66" t="e">
        <f>PLANTILLA!#REF!</f>
        <v>#REF!</v>
      </c>
      <c r="I22" s="66" t="e">
        <f>PLANTILLA!#REF!</f>
        <v>#REF!</v>
      </c>
      <c r="J22" s="66" t="e">
        <f>PLANTILLA!#REF!</f>
        <v>#REF!</v>
      </c>
      <c r="K22" s="66" t="e">
        <f>PLANTILLA!#REF!</f>
        <v>#REF!</v>
      </c>
      <c r="L22" s="66" t="e">
        <f>PLANTILLA!#REF!</f>
        <v>#REF!</v>
      </c>
      <c r="M22" s="66" t="e">
        <f>PLANTILLA!#REF!</f>
        <v>#REF!</v>
      </c>
    </row>
    <row r="23" spans="1:2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</row>
    <row r="24" spans="1:2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</row>
    <row r="26" spans="1:22" x14ac:dyDescent="0.25">
      <c r="C26" s="135"/>
      <c r="E26" s="68"/>
      <c r="F26" s="66"/>
      <c r="G26" s="66"/>
      <c r="H26" s="66"/>
      <c r="I26" s="66"/>
      <c r="J26" s="66"/>
      <c r="K26" s="66"/>
      <c r="L26" s="66"/>
      <c r="M26" s="66"/>
    </row>
    <row r="27" spans="1:22" x14ac:dyDescent="0.25">
      <c r="C27" s="135"/>
      <c r="E27" s="68"/>
      <c r="F27" s="66"/>
      <c r="G27" s="66"/>
      <c r="H27" s="66"/>
      <c r="I27" s="66"/>
      <c r="J27" s="66"/>
      <c r="K27" s="66"/>
      <c r="L27" s="66"/>
      <c r="M27" s="66"/>
    </row>
    <row r="28" spans="1:22" x14ac:dyDescent="0.25">
      <c r="C28" s="135"/>
      <c r="E28" s="68"/>
      <c r="F28" s="66"/>
      <c r="G28" s="66"/>
      <c r="H28" s="66"/>
      <c r="I28" s="66"/>
      <c r="J28" s="66"/>
      <c r="K28" s="66"/>
      <c r="L28" s="66"/>
      <c r="M28" s="66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4"/>
  <sheetViews>
    <sheetView workbookViewId="0">
      <selection activeCell="P16" sqref="P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9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9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189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189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50</v>
      </c>
      <c r="P4" s="14">
        <v>0.5</v>
      </c>
      <c r="Q4" s="14">
        <v>1</v>
      </c>
      <c r="R4" s="14">
        <v>0.25</v>
      </c>
      <c r="AA4" s="2"/>
      <c r="AB4" s="2" t="s">
        <v>50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51</v>
      </c>
      <c r="P5" s="14">
        <v>0.69099999999999995</v>
      </c>
      <c r="Q5" s="14">
        <v>0.38900000000000001</v>
      </c>
      <c r="R5" s="14">
        <v>0</v>
      </c>
      <c r="AA5" s="2"/>
      <c r="AB5" s="2" t="s">
        <v>51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186</v>
      </c>
      <c r="P6" s="14">
        <v>0</v>
      </c>
      <c r="Q6" s="14">
        <v>0.42499999999999999</v>
      </c>
      <c r="R6" s="14">
        <v>0.91200000000000003</v>
      </c>
      <c r="AA6" s="2"/>
      <c r="AB6" s="2" t="s">
        <v>191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52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52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52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52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172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55</v>
      </c>
      <c r="P10" s="14">
        <v>0.28999999999999998</v>
      </c>
      <c r="Q10" s="14">
        <v>0.253</v>
      </c>
      <c r="R10" s="14">
        <v>0</v>
      </c>
      <c r="AA10" s="2"/>
      <c r="AB10" s="2" t="s">
        <v>55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374" t="s">
        <v>187</v>
      </c>
      <c r="B11" s="374"/>
      <c r="O11" s="2" t="s">
        <v>54</v>
      </c>
      <c r="P11" s="14">
        <v>0</v>
      </c>
      <c r="Q11" s="14">
        <v>0.20799999999999999</v>
      </c>
      <c r="R11" s="14">
        <v>0.34699999999999998</v>
      </c>
      <c r="W11" s="374" t="s">
        <v>188</v>
      </c>
      <c r="X11" s="374"/>
      <c r="AA11" s="2"/>
      <c r="AB11" s="2" t="s">
        <v>54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3" t="s">
        <v>16</v>
      </c>
      <c r="B12" s="154" t="s">
        <v>17</v>
      </c>
      <c r="C12" s="154" t="s">
        <v>18</v>
      </c>
      <c r="D12" s="154" t="s">
        <v>19</v>
      </c>
      <c r="E12" s="154" t="s">
        <v>22</v>
      </c>
      <c r="F12" s="154" t="s">
        <v>27</v>
      </c>
      <c r="G12" s="154" t="s">
        <v>35</v>
      </c>
      <c r="H12" s="154" t="s">
        <v>36</v>
      </c>
      <c r="I12" s="154" t="s">
        <v>37</v>
      </c>
      <c r="J12" s="154" t="s">
        <v>38</v>
      </c>
      <c r="K12" s="154" t="s">
        <v>39</v>
      </c>
      <c r="L12" s="154" t="s">
        <v>40</v>
      </c>
      <c r="M12" s="154" t="s">
        <v>19</v>
      </c>
      <c r="N12" s="155" t="s">
        <v>93</v>
      </c>
      <c r="O12" s="155" t="s">
        <v>15</v>
      </c>
      <c r="P12" s="156" t="s">
        <v>161</v>
      </c>
      <c r="Q12" s="156" t="s">
        <v>162</v>
      </c>
      <c r="R12" s="156" t="s">
        <v>163</v>
      </c>
      <c r="S12" s="213" t="s">
        <v>49</v>
      </c>
      <c r="T12" s="213" t="s">
        <v>49</v>
      </c>
      <c r="U12" s="213" t="s">
        <v>49</v>
      </c>
      <c r="W12" s="153" t="s">
        <v>16</v>
      </c>
      <c r="X12" s="154" t="s">
        <v>17</v>
      </c>
      <c r="Y12" s="154" t="s">
        <v>18</v>
      </c>
      <c r="Z12" s="154" t="s">
        <v>19</v>
      </c>
      <c r="AA12" s="155" t="s">
        <v>93</v>
      </c>
      <c r="AB12" s="155" t="s">
        <v>15</v>
      </c>
      <c r="AC12" s="156" t="s">
        <v>161</v>
      </c>
      <c r="AD12" s="156" t="s">
        <v>162</v>
      </c>
      <c r="AE12" s="156" t="s">
        <v>163</v>
      </c>
      <c r="AF12" s="213" t="s">
        <v>49</v>
      </c>
      <c r="AG12" s="213" t="s">
        <v>49</v>
      </c>
      <c r="AH12" s="213" t="s">
        <v>49</v>
      </c>
    </row>
    <row r="13" spans="1:34" x14ac:dyDescent="0.25">
      <c r="A13" t="str">
        <f>PLANTILLA!C4</f>
        <v>Jordi Ricart</v>
      </c>
      <c r="B13">
        <f>PLANTILLA!D4</f>
        <v>22</v>
      </c>
      <c r="C13" s="135">
        <f ca="1">PLANTILLA!E4</f>
        <v>7</v>
      </c>
      <c r="D13">
        <f>PLANTILLA!F4</f>
        <v>0</v>
      </c>
      <c r="E13" s="68">
        <f>PLANTILLA!I4</f>
        <v>0.63616167295954995</v>
      </c>
      <c r="F13" s="66">
        <f>PLANTILLA!N4</f>
        <v>1.5</v>
      </c>
      <c r="G13" s="66">
        <f>PLANTILLA!V4</f>
        <v>7</v>
      </c>
      <c r="H13" s="66">
        <f>PLANTILLA!W4</f>
        <v>1</v>
      </c>
      <c r="I13" s="66">
        <f>PLANTILLA!X4</f>
        <v>0</v>
      </c>
      <c r="J13" s="66">
        <f>PLANTILLA!Y4</f>
        <v>0</v>
      </c>
      <c r="K13" s="66">
        <f>PLANTILLA!Z4</f>
        <v>0</v>
      </c>
      <c r="L13" s="66">
        <f>PLANTILLA!AA4</f>
        <v>0</v>
      </c>
      <c r="M13" s="66">
        <f>PLANTILLA!AB4</f>
        <v>5</v>
      </c>
      <c r="N13" s="2">
        <f>1/5</f>
        <v>0.2</v>
      </c>
      <c r="O13" s="2" t="s">
        <v>9</v>
      </c>
      <c r="P13" s="157">
        <f>$N13*P$2</f>
        <v>5.3000000000000005E-2</v>
      </c>
      <c r="Q13" s="157">
        <f>$N13*Q$2</f>
        <v>7.9799999999999996E-2</v>
      </c>
      <c r="R13" s="157">
        <f>$N13*R$2</f>
        <v>5.3000000000000005E-2</v>
      </c>
      <c r="S13" s="158">
        <f>SUM(P13:P30)</f>
        <v>0.36154999999999998</v>
      </c>
      <c r="T13" s="158">
        <f>SUM(Q13:Q30)</f>
        <v>0.82915000000000005</v>
      </c>
      <c r="U13" s="158">
        <f>SUM(R13:R30)</f>
        <v>0.33830000000000005</v>
      </c>
      <c r="W13" t="str">
        <f>A13</f>
        <v>Jordi Ricart</v>
      </c>
      <c r="X13">
        <f t="shared" ref="X13:Z28" si="0">B13</f>
        <v>22</v>
      </c>
      <c r="Y13">
        <f t="shared" ca="1" si="0"/>
        <v>7</v>
      </c>
      <c r="Z13">
        <f t="shared" si="0"/>
        <v>0</v>
      </c>
      <c r="AA13" s="68">
        <f>N13</f>
        <v>0.2</v>
      </c>
      <c r="AB13" s="68" t="str">
        <f>O13</f>
        <v>POR</v>
      </c>
      <c r="AC13" s="157">
        <f>P13</f>
        <v>5.3000000000000005E-2</v>
      </c>
      <c r="AD13" s="157">
        <f>Q13</f>
        <v>7.9799999999999996E-2</v>
      </c>
      <c r="AE13" s="157">
        <f>R13</f>
        <v>5.3000000000000005E-2</v>
      </c>
      <c r="AF13" s="158">
        <f>SUM(AC13:AC30)</f>
        <v>0.27379999999999999</v>
      </c>
      <c r="AG13" s="158">
        <f>SUM(AD13:AD30)</f>
        <v>0.73615000000000008</v>
      </c>
      <c r="AH13" s="158">
        <f>SUM(AE13:AE30)</f>
        <v>0.45904999999999996</v>
      </c>
    </row>
    <row r="14" spans="1:34" x14ac:dyDescent="0.25">
      <c r="A14" t="e">
        <f>PLANTILLA!#REF!</f>
        <v>#REF!</v>
      </c>
      <c r="B14" t="e">
        <f>PLANTILLA!#REF!</f>
        <v>#REF!</v>
      </c>
      <c r="C14" s="135" t="e">
        <f>PLANTILLA!#REF!</f>
        <v>#REF!</v>
      </c>
      <c r="D14" t="e">
        <f>PLANTILLA!#REF!</f>
        <v>#REF!</v>
      </c>
      <c r="E14" s="68" t="e">
        <f>PLANTILLA!#REF!</f>
        <v>#REF!</v>
      </c>
      <c r="F14" s="66" t="e">
        <f>PLANTILLA!#REF!</f>
        <v>#REF!</v>
      </c>
      <c r="G14" s="66" t="e">
        <f>PLANTILLA!#REF!</f>
        <v>#REF!</v>
      </c>
      <c r="H14" s="66" t="e">
        <f>PLANTILLA!#REF!</f>
        <v>#REF!</v>
      </c>
      <c r="I14" s="66" t="e">
        <f>PLANTILLA!#REF!</f>
        <v>#REF!</v>
      </c>
      <c r="J14" s="66" t="e">
        <f>PLANTILLA!#REF!</f>
        <v>#REF!</v>
      </c>
      <c r="K14" s="66" t="e">
        <f>PLANTILLA!#REF!</f>
        <v>#REF!</v>
      </c>
      <c r="L14" s="66" t="e">
        <f>PLANTILLA!#REF!</f>
        <v>#REF!</v>
      </c>
      <c r="M14" s="66" t="e">
        <f>PLANTILLA!#REF!</f>
        <v>#REF!</v>
      </c>
      <c r="N14" s="68"/>
      <c r="O14" s="68"/>
      <c r="P14" s="157"/>
      <c r="Q14" s="157"/>
      <c r="R14" s="157"/>
      <c r="S14" s="158"/>
      <c r="W14" t="e">
        <f t="shared" ref="W14:W30" si="1">A14</f>
        <v>#REF!</v>
      </c>
      <c r="X14" t="e">
        <f t="shared" si="0"/>
        <v>#REF!</v>
      </c>
      <c r="Y14" t="e">
        <f t="shared" si="0"/>
        <v>#REF!</v>
      </c>
      <c r="Z14" t="e">
        <f t="shared" si="0"/>
        <v>#REF!</v>
      </c>
      <c r="AA14" s="68"/>
      <c r="AB14" s="68"/>
      <c r="AC14" s="157"/>
      <c r="AD14" s="157"/>
      <c r="AE14" s="157"/>
      <c r="AF14" s="158"/>
    </row>
    <row r="15" spans="1:34" x14ac:dyDescent="0.25">
      <c r="A15" t="str">
        <f>PLANTILLA!C6</f>
        <v>Antero Lombo</v>
      </c>
      <c r="B15">
        <f>PLANTILLA!D6</f>
        <v>31</v>
      </c>
      <c r="C15" s="135">
        <f ca="1">PLANTILLA!E6</f>
        <v>56</v>
      </c>
      <c r="D15">
        <f>PLANTILLA!F6</f>
        <v>0</v>
      </c>
      <c r="E15" s="68">
        <f>PLANTILLA!I6</f>
        <v>1.0375350005115249</v>
      </c>
      <c r="F15" s="66">
        <f>PLANTILLA!N6</f>
        <v>1.5</v>
      </c>
      <c r="G15" s="66">
        <f>PLANTILLA!V6</f>
        <v>0</v>
      </c>
      <c r="H15" s="66">
        <f>PLANTILLA!W6</f>
        <v>5</v>
      </c>
      <c r="I15" s="66">
        <f>PLANTILLA!X6</f>
        <v>5</v>
      </c>
      <c r="J15" s="66">
        <f>PLANTILLA!Y6</f>
        <v>4</v>
      </c>
      <c r="K15" s="66">
        <f>PLANTILLA!Z6</f>
        <v>5</v>
      </c>
      <c r="L15" s="66">
        <f>PLANTILLA!AA6</f>
        <v>2</v>
      </c>
      <c r="M15" s="66">
        <f>PLANTILLA!AB6</f>
        <v>4</v>
      </c>
      <c r="N15" s="68"/>
      <c r="O15" s="68"/>
      <c r="P15" s="157"/>
      <c r="Q15" s="157"/>
      <c r="R15" s="157"/>
      <c r="S15" s="158"/>
      <c r="W15" t="str">
        <f t="shared" si="1"/>
        <v>Antero Lombo</v>
      </c>
      <c r="X15">
        <f t="shared" si="0"/>
        <v>31</v>
      </c>
      <c r="Y15">
        <f t="shared" ca="1" si="0"/>
        <v>56</v>
      </c>
      <c r="Z15">
        <f t="shared" si="0"/>
        <v>0</v>
      </c>
      <c r="AA15" s="68"/>
      <c r="AB15" s="68"/>
      <c r="AC15" s="157"/>
      <c r="AD15" s="157"/>
      <c r="AE15" s="157"/>
      <c r="AF15" s="158"/>
    </row>
    <row r="16" spans="1:34" x14ac:dyDescent="0.25">
      <c r="A16" t="str">
        <f>PLANTILLA!C9</f>
        <v>Juan Carlos Morata</v>
      </c>
      <c r="B16">
        <f>PLANTILLA!D9</f>
        <v>18</v>
      </c>
      <c r="C16" s="135">
        <f ca="1">PLANTILLA!E9</f>
        <v>91</v>
      </c>
      <c r="D16" t="str">
        <f>PLANTILLA!F9</f>
        <v>CAB</v>
      </c>
      <c r="E16" s="68">
        <f>PLANTILLA!I9</f>
        <v>0.40137332755197491</v>
      </c>
      <c r="F16" s="66">
        <f>PLANTILLA!N9</f>
        <v>1.5</v>
      </c>
      <c r="G16" s="66">
        <f>PLANTILLA!V9</f>
        <v>0</v>
      </c>
      <c r="H16" s="66">
        <f>PLANTILLA!W9</f>
        <v>6</v>
      </c>
      <c r="I16" s="66">
        <f>PLANTILLA!X9</f>
        <v>2</v>
      </c>
      <c r="J16" s="66">
        <f>PLANTILLA!Y9</f>
        <v>2</v>
      </c>
      <c r="K16" s="66">
        <f>PLANTILLA!Z9</f>
        <v>4</v>
      </c>
      <c r="L16" s="66">
        <f>PLANTILLA!AA9</f>
        <v>1</v>
      </c>
      <c r="M16" s="66">
        <f>PLANTILLA!AB9</f>
        <v>4</v>
      </c>
      <c r="O16" s="68"/>
      <c r="P16" s="157"/>
      <c r="Q16" s="157"/>
      <c r="R16" s="157"/>
      <c r="S16" s="158"/>
      <c r="W16" t="str">
        <f t="shared" si="1"/>
        <v>Juan Carlos Morata</v>
      </c>
      <c r="X16">
        <f t="shared" si="0"/>
        <v>18</v>
      </c>
      <c r="Y16">
        <f t="shared" ca="1" si="0"/>
        <v>91</v>
      </c>
      <c r="Z16" t="str">
        <f t="shared" si="0"/>
        <v>CAB</v>
      </c>
      <c r="AA16" s="2"/>
      <c r="AB16" s="68"/>
      <c r="AC16" s="157"/>
      <c r="AD16" s="157"/>
      <c r="AE16" s="157"/>
      <c r="AF16" s="158"/>
    </row>
    <row r="17" spans="1:32" x14ac:dyDescent="0.25">
      <c r="A17" t="e">
        <f>PLANTILLA!#REF!</f>
        <v>#REF!</v>
      </c>
      <c r="B17" t="e">
        <f>PLANTILLA!#REF!</f>
        <v>#REF!</v>
      </c>
      <c r="C17" s="135" t="e">
        <f>PLANTILLA!#REF!</f>
        <v>#REF!</v>
      </c>
      <c r="D17" t="e">
        <f>PLANTILLA!#REF!</f>
        <v>#REF!</v>
      </c>
      <c r="E17" s="68" t="e">
        <f>PLANTILLA!#REF!</f>
        <v>#REF!</v>
      </c>
      <c r="F17" s="66" t="e">
        <f>PLANTILLA!#REF!</f>
        <v>#REF!</v>
      </c>
      <c r="G17" s="66" t="e">
        <f>PLANTILLA!#REF!</f>
        <v>#REF!</v>
      </c>
      <c r="H17" s="66" t="e">
        <f>PLANTILLA!#REF!</f>
        <v>#REF!</v>
      </c>
      <c r="I17" s="66" t="e">
        <f>PLANTILLA!#REF!</f>
        <v>#REF!</v>
      </c>
      <c r="J17" s="66" t="e">
        <f>PLANTILLA!#REF!</f>
        <v>#REF!</v>
      </c>
      <c r="K17" s="66" t="e">
        <f>PLANTILLA!#REF!</f>
        <v>#REF!</v>
      </c>
      <c r="L17" s="66" t="e">
        <f>PLANTILLA!#REF!</f>
        <v>#REF!</v>
      </c>
      <c r="M17" s="66" t="e">
        <f>PLANTILLA!#REF!</f>
        <v>#REF!</v>
      </c>
      <c r="N17" s="68"/>
      <c r="O17" s="68"/>
      <c r="P17" s="157"/>
      <c r="Q17" s="157"/>
      <c r="R17" s="157"/>
      <c r="S17" s="158"/>
      <c r="W17" t="e">
        <f t="shared" si="1"/>
        <v>#REF!</v>
      </c>
      <c r="X17" t="e">
        <f t="shared" si="0"/>
        <v>#REF!</v>
      </c>
      <c r="Y17" t="e">
        <f t="shared" si="0"/>
        <v>#REF!</v>
      </c>
      <c r="Z17" t="e">
        <f t="shared" si="0"/>
        <v>#REF!</v>
      </c>
      <c r="AA17" s="68"/>
      <c r="AB17" s="68"/>
      <c r="AC17" s="157"/>
      <c r="AD17" s="157"/>
      <c r="AE17" s="157"/>
      <c r="AF17" s="158"/>
    </row>
    <row r="18" spans="1:32" x14ac:dyDescent="0.25">
      <c r="A18" t="e">
        <f>PLANTILLA!#REF!</f>
        <v>#REF!</v>
      </c>
      <c r="B18" t="e">
        <f>PLANTILLA!#REF!</f>
        <v>#REF!</v>
      </c>
      <c r="C18" s="135" t="e">
        <f>PLANTILLA!#REF!</f>
        <v>#REF!</v>
      </c>
      <c r="D18" t="e">
        <f>PLANTILLA!#REF!</f>
        <v>#REF!</v>
      </c>
      <c r="E18" s="68" t="e">
        <f>PLANTILLA!#REF!</f>
        <v>#REF!</v>
      </c>
      <c r="F18" s="66" t="e">
        <f>PLANTILLA!#REF!</f>
        <v>#REF!</v>
      </c>
      <c r="G18" s="66" t="e">
        <f>PLANTILLA!#REF!</f>
        <v>#REF!</v>
      </c>
      <c r="H18" s="66" t="e">
        <f>PLANTILLA!#REF!</f>
        <v>#REF!</v>
      </c>
      <c r="I18" s="66" t="e">
        <f>PLANTILLA!#REF!</f>
        <v>#REF!</v>
      </c>
      <c r="J18" s="66" t="e">
        <f>PLANTILLA!#REF!</f>
        <v>#REF!</v>
      </c>
      <c r="K18" s="66" t="e">
        <f>PLANTILLA!#REF!</f>
        <v>#REF!</v>
      </c>
      <c r="L18" s="66" t="e">
        <f>PLANTILLA!#REF!</f>
        <v>#REF!</v>
      </c>
      <c r="M18" s="66" t="e">
        <f>PLANTILLA!#REF!</f>
        <v>#REF!</v>
      </c>
      <c r="N18" s="68">
        <f>1/4</f>
        <v>0.25</v>
      </c>
      <c r="O18" s="68" t="s">
        <v>190</v>
      </c>
      <c r="P18" s="157">
        <f>$N$18*P3</f>
        <v>8.8749999999999996E-2</v>
      </c>
      <c r="Q18" s="157">
        <f t="shared" ref="Q18:R18" si="2">$N$18*Q3</f>
        <v>0.18074999999999999</v>
      </c>
      <c r="R18" s="157">
        <f t="shared" si="2"/>
        <v>4.4499999999999998E-2</v>
      </c>
      <c r="S18" s="9"/>
      <c r="W18" t="e">
        <f t="shared" si="1"/>
        <v>#REF!</v>
      </c>
      <c r="X18" t="e">
        <f t="shared" si="0"/>
        <v>#REF!</v>
      </c>
      <c r="Y18" t="e">
        <f t="shared" si="0"/>
        <v>#REF!</v>
      </c>
      <c r="Z18" t="e">
        <f t="shared" si="0"/>
        <v>#REF!</v>
      </c>
      <c r="AA18" s="68">
        <f>N18</f>
        <v>0.25</v>
      </c>
      <c r="AB18" s="68" t="str">
        <f>O18</f>
        <v>DOf</v>
      </c>
      <c r="AC18" s="157">
        <f>P18</f>
        <v>8.8749999999999996E-2</v>
      </c>
      <c r="AD18" s="157">
        <f>Q18</f>
        <v>0.18074999999999999</v>
      </c>
      <c r="AE18" s="157">
        <f>R18</f>
        <v>4.4499999999999998E-2</v>
      </c>
      <c r="AF18" s="9"/>
    </row>
    <row r="19" spans="1:32" x14ac:dyDescent="0.25">
      <c r="A19" t="str">
        <f>PLANTILLA!C11</f>
        <v>Mauro Ascariz</v>
      </c>
      <c r="B19">
        <f>PLANTILLA!D11</f>
        <v>19</v>
      </c>
      <c r="C19" s="135">
        <f ca="1">PLANTILLA!E11</f>
        <v>84</v>
      </c>
      <c r="D19">
        <f>PLANTILLA!F11</f>
        <v>0</v>
      </c>
      <c r="E19" s="68">
        <f>PLANTILLA!I11</f>
        <v>0.40137332755197491</v>
      </c>
      <c r="F19" s="66">
        <f>PLANTILLA!N11</f>
        <v>1.5</v>
      </c>
      <c r="G19" s="66">
        <f>PLANTILLA!V11</f>
        <v>0</v>
      </c>
      <c r="H19" s="66">
        <f>PLANTILLA!W11</f>
        <v>3</v>
      </c>
      <c r="I19" s="66">
        <f>PLANTILLA!X11</f>
        <v>5</v>
      </c>
      <c r="J19" s="66">
        <f>PLANTILLA!Y11</f>
        <v>1</v>
      </c>
      <c r="K19" s="66">
        <f>PLANTILLA!Z11</f>
        <v>5</v>
      </c>
      <c r="L19" s="66">
        <f>PLANTILLA!AA11</f>
        <v>1</v>
      </c>
      <c r="M19" s="66">
        <f>PLANTILLA!AB11</f>
        <v>5</v>
      </c>
      <c r="N19" s="68">
        <f>1/5</f>
        <v>0.2</v>
      </c>
      <c r="O19" s="68" t="s">
        <v>13</v>
      </c>
      <c r="P19" s="157">
        <f>$N19*P$7</f>
        <v>2.7800000000000005E-2</v>
      </c>
      <c r="Q19" s="157">
        <f>$N19*Q$7</f>
        <v>8.5000000000000006E-2</v>
      </c>
      <c r="R19" s="157">
        <f>$N19*R$7</f>
        <v>2.7800000000000005E-2</v>
      </c>
      <c r="S19" s="9"/>
      <c r="W19" t="str">
        <f t="shared" si="1"/>
        <v>Mauro Ascariz</v>
      </c>
      <c r="X19">
        <f t="shared" si="0"/>
        <v>19</v>
      </c>
      <c r="Y19">
        <f t="shared" ca="1" si="0"/>
        <v>84</v>
      </c>
      <c r="Z19">
        <f t="shared" si="0"/>
        <v>0</v>
      </c>
      <c r="AA19" s="68">
        <f t="shared" ref="AA19:AA24" si="3">N19</f>
        <v>0.2</v>
      </c>
      <c r="AB19" s="68" t="str">
        <f>O19</f>
        <v>MED</v>
      </c>
      <c r="AC19" s="157">
        <f>P19</f>
        <v>2.7800000000000005E-2</v>
      </c>
      <c r="AD19" s="157">
        <f>Q19</f>
        <v>8.5000000000000006E-2</v>
      </c>
      <c r="AE19" s="157">
        <f>R19</f>
        <v>2.7800000000000005E-2</v>
      </c>
      <c r="AF19" s="9"/>
    </row>
    <row r="20" spans="1:32" x14ac:dyDescent="0.25">
      <c r="A20" t="e">
        <f>PLANTILLA!#REF!</f>
        <v>#REF!</v>
      </c>
      <c r="B20" t="e">
        <f>PLANTILLA!#REF!</f>
        <v>#REF!</v>
      </c>
      <c r="C20" s="135" t="e">
        <f>PLANTILLA!#REF!</f>
        <v>#REF!</v>
      </c>
      <c r="D20" t="e">
        <f>PLANTILLA!#REF!</f>
        <v>#REF!</v>
      </c>
      <c r="E20" s="68" t="e">
        <f>PLANTILLA!#REF!</f>
        <v>#REF!</v>
      </c>
      <c r="F20" s="66" t="e">
        <f>PLANTILLA!#REF!</f>
        <v>#REF!</v>
      </c>
      <c r="G20" s="66" t="e">
        <f>PLANTILLA!#REF!</f>
        <v>#REF!</v>
      </c>
      <c r="H20" s="66" t="e">
        <f>PLANTILLA!#REF!</f>
        <v>#REF!</v>
      </c>
      <c r="I20" s="66" t="e">
        <f>PLANTILLA!#REF!</f>
        <v>#REF!</v>
      </c>
      <c r="J20" s="66" t="e">
        <f>PLANTILLA!#REF!</f>
        <v>#REF!</v>
      </c>
      <c r="K20" s="66" t="e">
        <f>PLANTILLA!#REF!</f>
        <v>#REF!</v>
      </c>
      <c r="L20" s="66" t="e">
        <f>PLANTILLA!#REF!</f>
        <v>#REF!</v>
      </c>
      <c r="M20" s="66" t="e">
        <f>PLANTILLA!#REF!</f>
        <v>#REF!</v>
      </c>
      <c r="N20" s="68">
        <f>1/5</f>
        <v>0.2</v>
      </c>
      <c r="O20" s="68" t="s">
        <v>190</v>
      </c>
      <c r="P20" s="157">
        <f>N20*R4</f>
        <v>0.05</v>
      </c>
      <c r="Q20" s="157">
        <f>N20*Q3</f>
        <v>0.14460000000000001</v>
      </c>
      <c r="R20" s="157">
        <f>N20*P3</f>
        <v>7.0999999999999994E-2</v>
      </c>
      <c r="S20" s="9"/>
      <c r="W20" t="e">
        <f t="shared" si="1"/>
        <v>#REF!</v>
      </c>
      <c r="X20" t="e">
        <f t="shared" si="0"/>
        <v>#REF!</v>
      </c>
      <c r="Y20" t="e">
        <f t="shared" si="0"/>
        <v>#REF!</v>
      </c>
      <c r="Z20" t="e">
        <f t="shared" si="0"/>
        <v>#REF!</v>
      </c>
      <c r="AA20" s="68">
        <f t="shared" si="3"/>
        <v>0.2</v>
      </c>
      <c r="AB20" s="68" t="s">
        <v>55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PLANTILLA!C12</f>
        <v>Calogero Coluccio</v>
      </c>
      <c r="B21">
        <f>PLANTILLA!D12</f>
        <v>24</v>
      </c>
      <c r="C21" s="135">
        <f ca="1">PLANTILLA!E12</f>
        <v>19</v>
      </c>
      <c r="D21" t="str">
        <f>PLANTILLA!F12</f>
        <v>RAP</v>
      </c>
      <c r="E21" s="68">
        <f>PLANTILLA!I12</f>
        <v>0.63616167295954995</v>
      </c>
      <c r="F21" s="66">
        <f>PLANTILLA!N12</f>
        <v>1.5</v>
      </c>
      <c r="G21" s="66">
        <f>PLANTILLA!V12</f>
        <v>0</v>
      </c>
      <c r="H21" s="66">
        <f>PLANTILLA!W12</f>
        <v>5</v>
      </c>
      <c r="I21" s="66">
        <f>PLANTILLA!X12</f>
        <v>6</v>
      </c>
      <c r="J21" s="66">
        <f>PLANTILLA!Y12</f>
        <v>1</v>
      </c>
      <c r="K21" s="66">
        <f>PLANTILLA!Z12</f>
        <v>2</v>
      </c>
      <c r="L21" s="66">
        <f>PLANTILLA!AA12</f>
        <v>0</v>
      </c>
      <c r="M21" s="66">
        <f>PLANTILLA!AB12</f>
        <v>3</v>
      </c>
      <c r="N21" s="68">
        <f>1/4</f>
        <v>0.25</v>
      </c>
      <c r="O21" s="68" t="s">
        <v>52</v>
      </c>
      <c r="P21" s="157">
        <f>$N21*P$8</f>
        <v>2.325E-2</v>
      </c>
      <c r="Q21" s="157">
        <f t="shared" ref="Q21:R21" si="4">$N21*Q$8</f>
        <v>0.10625</v>
      </c>
      <c r="R21" s="157">
        <f t="shared" si="4"/>
        <v>4.6249999999999999E-2</v>
      </c>
      <c r="S21" s="9"/>
      <c r="W21" t="str">
        <f t="shared" si="1"/>
        <v>Calogero Coluccio</v>
      </c>
      <c r="X21">
        <f t="shared" si="0"/>
        <v>24</v>
      </c>
      <c r="Y21">
        <f t="shared" ca="1" si="0"/>
        <v>19</v>
      </c>
      <c r="Z21" t="str">
        <f t="shared" si="0"/>
        <v>RAP</v>
      </c>
      <c r="AA21" s="68">
        <f t="shared" si="3"/>
        <v>0.25</v>
      </c>
      <c r="AB21" s="68" t="s">
        <v>169</v>
      </c>
      <c r="AC21" s="157"/>
      <c r="AD21" s="157">
        <f>AA21*AD9</f>
        <v>8.4500000000000006E-2</v>
      </c>
      <c r="AE21" s="157">
        <f>AA21*AC9</f>
        <v>5.0999999999999997E-2</v>
      </c>
      <c r="AF21" s="9"/>
    </row>
    <row r="22" spans="1:32" x14ac:dyDescent="0.25">
      <c r="A22" t="str">
        <f>PLANTILLA!C13</f>
        <v>Julian Blanco</v>
      </c>
      <c r="B22">
        <f>PLANTILLA!D13</f>
        <v>24</v>
      </c>
      <c r="C22" s="135">
        <f ca="1">PLANTILLA!E13</f>
        <v>73</v>
      </c>
      <c r="D22" t="str">
        <f>PLANTILLA!F13</f>
        <v>TEC</v>
      </c>
      <c r="E22" s="68">
        <f>PLANTILLA!I13</f>
        <v>0.80274665510394982</v>
      </c>
      <c r="F22" s="66">
        <f>PLANTILLA!N13</f>
        <v>1.5</v>
      </c>
      <c r="G22" s="66">
        <f>PLANTILLA!V13</f>
        <v>0</v>
      </c>
      <c r="H22" s="66">
        <f>PLANTILLA!W13</f>
        <v>3</v>
      </c>
      <c r="I22" s="66">
        <f>PLANTILLA!X13</f>
        <v>6</v>
      </c>
      <c r="J22" s="66">
        <f>PLANTILLA!Y13</f>
        <v>2</v>
      </c>
      <c r="K22" s="66">
        <f>PLANTILLA!Z13</f>
        <v>3</v>
      </c>
      <c r="L22" s="66">
        <f>PLANTILLA!AA13</f>
        <v>2</v>
      </c>
      <c r="M22" s="66">
        <f>PLANTILLA!AB13</f>
        <v>4</v>
      </c>
      <c r="N22" s="68">
        <f>1/4</f>
        <v>0.25</v>
      </c>
      <c r="O22" s="68" t="s">
        <v>52</v>
      </c>
      <c r="P22" s="157">
        <f>N22*R8</f>
        <v>4.6249999999999999E-2</v>
      </c>
      <c r="Q22" s="157">
        <f>N22*Q8</f>
        <v>0.10625</v>
      </c>
      <c r="R22" s="157">
        <f>N22*P8</f>
        <v>2.325E-2</v>
      </c>
      <c r="S22" s="9"/>
      <c r="W22" t="str">
        <f t="shared" si="1"/>
        <v>Julian Blanco</v>
      </c>
      <c r="X22">
        <f t="shared" si="0"/>
        <v>24</v>
      </c>
      <c r="Y22">
        <f t="shared" ca="1" si="0"/>
        <v>73</v>
      </c>
      <c r="Z22" t="str">
        <f t="shared" si="0"/>
        <v>TEC</v>
      </c>
      <c r="AA22" s="68">
        <f t="shared" si="3"/>
        <v>0.25</v>
      </c>
      <c r="AB22" s="68" t="s">
        <v>52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PLANTILLA!C18</f>
        <v>Fernan de Caranza</v>
      </c>
      <c r="B23">
        <f>PLANTILLA!D18</f>
        <v>20</v>
      </c>
      <c r="C23" s="135">
        <f ca="1">PLANTILLA!E18</f>
        <v>54</v>
      </c>
      <c r="D23" t="str">
        <f>PLANTILLA!F18</f>
        <v>POT</v>
      </c>
      <c r="E23" s="68">
        <f>PLANTILLA!I18</f>
        <v>0.40137332755197491</v>
      </c>
      <c r="F23" s="66">
        <f>PLANTILLA!N18</f>
        <v>1.5</v>
      </c>
      <c r="G23" s="66">
        <f>PLANTILLA!V18</f>
        <v>0</v>
      </c>
      <c r="H23" s="66">
        <f>PLANTILLA!W18</f>
        <v>3</v>
      </c>
      <c r="I23" s="66">
        <f>PLANTILLA!X18</f>
        <v>5</v>
      </c>
      <c r="J23" s="66">
        <f>PLANTILLA!Y18</f>
        <v>5</v>
      </c>
      <c r="K23" s="66">
        <f>PLANTILLA!Z18</f>
        <v>4</v>
      </c>
      <c r="L23" s="66">
        <f>PLANTILLA!AA18</f>
        <v>2</v>
      </c>
      <c r="M23" s="66">
        <f>PLANTILLA!AB18</f>
        <v>3</v>
      </c>
      <c r="N23" s="68">
        <f>1/4</f>
        <v>0.25</v>
      </c>
      <c r="O23" s="68" t="s">
        <v>55</v>
      </c>
      <c r="P23" s="157"/>
      <c r="Q23" s="157">
        <f>$N23*Q$10</f>
        <v>6.3250000000000001E-2</v>
      </c>
      <c r="R23" s="157">
        <f>$N23*P10</f>
        <v>7.2499999999999995E-2</v>
      </c>
      <c r="S23" s="9"/>
      <c r="W23" t="str">
        <f t="shared" si="1"/>
        <v>Fernan de Caranza</v>
      </c>
      <c r="X23">
        <f t="shared" si="0"/>
        <v>20</v>
      </c>
      <c r="Y23">
        <f t="shared" ca="1" si="0"/>
        <v>54</v>
      </c>
      <c r="Z23" t="str">
        <f t="shared" si="0"/>
        <v>POT</v>
      </c>
      <c r="AA23" s="68">
        <f t="shared" si="3"/>
        <v>0.25</v>
      </c>
      <c r="AB23" s="68" t="s">
        <v>54</v>
      </c>
      <c r="AC23" s="157"/>
      <c r="AD23" s="157">
        <f>AA23*AD11</f>
        <v>5.1999999999999998E-2</v>
      </c>
      <c r="AE23" s="157">
        <f>AA23*AE11</f>
        <v>8.6749999999999994E-2</v>
      </c>
      <c r="AF23" s="9"/>
    </row>
    <row r="24" spans="1:32" x14ac:dyDescent="0.25">
      <c r="A24" t="str">
        <f>PLANTILLA!C20</f>
        <v>Hemmu Ramchi</v>
      </c>
      <c r="B24">
        <f>PLANTILLA!D20</f>
        <v>22</v>
      </c>
      <c r="C24" s="135">
        <f ca="1">PLANTILLA!E20</f>
        <v>105</v>
      </c>
      <c r="D24">
        <f>PLANTILLA!F20</f>
        <v>0</v>
      </c>
      <c r="E24" s="68">
        <f>PLANTILLA!I20</f>
        <v>0.63616167295954995</v>
      </c>
      <c r="F24" s="66">
        <f ca="1">PLANTILLA!N20</f>
        <v>1</v>
      </c>
      <c r="G24" s="66">
        <f>PLANTILLA!V20</f>
        <v>0</v>
      </c>
      <c r="H24" s="66">
        <f>PLANTILLA!W20</f>
        <v>3</v>
      </c>
      <c r="I24" s="66">
        <f>PLANTILLA!X20</f>
        <v>4</v>
      </c>
      <c r="J24" s="66">
        <f>PLANTILLA!Y20</f>
        <v>6</v>
      </c>
      <c r="K24" s="66">
        <f>PLANTILLA!Z20</f>
        <v>5</v>
      </c>
      <c r="L24" s="66">
        <f>PLANTILLA!AA20</f>
        <v>2</v>
      </c>
      <c r="M24" s="66">
        <f>PLANTILLA!AB20</f>
        <v>3</v>
      </c>
      <c r="N24" s="68">
        <f>1/4</f>
        <v>0.25</v>
      </c>
      <c r="O24" s="68" t="s">
        <v>55</v>
      </c>
      <c r="P24" s="157">
        <f>$N24*P$10</f>
        <v>7.2499999999999995E-2</v>
      </c>
      <c r="Q24" s="157">
        <f>$N24*Q$10</f>
        <v>6.3250000000000001E-2</v>
      </c>
      <c r="R24" s="157"/>
      <c r="S24" s="9"/>
      <c r="W24" t="str">
        <f t="shared" si="1"/>
        <v>Hemmu Ramchi</v>
      </c>
      <c r="X24">
        <f t="shared" si="0"/>
        <v>22</v>
      </c>
      <c r="Y24">
        <f t="shared" ca="1" si="0"/>
        <v>105</v>
      </c>
      <c r="Z24">
        <f t="shared" si="0"/>
        <v>0</v>
      </c>
      <c r="AA24" s="68">
        <f t="shared" si="3"/>
        <v>0.25</v>
      </c>
      <c r="AB24" s="68" t="s">
        <v>186</v>
      </c>
      <c r="AC24" s="157"/>
      <c r="AD24" s="157">
        <f>AA24*AD6</f>
        <v>9.7250000000000003E-2</v>
      </c>
      <c r="AE24" s="157">
        <f>AA24*AE6</f>
        <v>0.17274999999999999</v>
      </c>
      <c r="AF24" s="9"/>
    </row>
    <row r="25" spans="1:32" x14ac:dyDescent="0.25">
      <c r="A25" t="str">
        <f>PLANTILLA!C21</f>
        <v>Marc Costa</v>
      </c>
      <c r="B25">
        <f>PLANTILLA!D21</f>
        <v>19</v>
      </c>
      <c r="C25" s="135">
        <f ca="1">PLANTILLA!E21</f>
        <v>20</v>
      </c>
      <c r="D25">
        <f>PLANTILLA!F21</f>
        <v>0</v>
      </c>
      <c r="E25" s="68">
        <f>PLANTILLA!I21</f>
        <v>0.40137332755197491</v>
      </c>
      <c r="F25" s="66">
        <f>PLANTILLA!N21</f>
        <v>1.5</v>
      </c>
      <c r="G25" s="66">
        <f>PLANTILLA!V21</f>
        <v>0</v>
      </c>
      <c r="H25" s="66">
        <f>PLANTILLA!W21</f>
        <v>1</v>
      </c>
      <c r="I25" s="66">
        <f>PLANTILLA!X21</f>
        <v>2</v>
      </c>
      <c r="J25" s="66">
        <f>PLANTILLA!Y21</f>
        <v>5</v>
      </c>
      <c r="K25" s="66">
        <f>PLANTILLA!Z21</f>
        <v>3</v>
      </c>
      <c r="L25" s="66">
        <f>PLANTILLA!AA21</f>
        <v>6</v>
      </c>
      <c r="M25" s="66">
        <f>PLANTILLA!AB21</f>
        <v>5</v>
      </c>
      <c r="N25" s="68"/>
      <c r="O25" s="68"/>
      <c r="P25" s="157"/>
      <c r="Q25" s="157"/>
      <c r="R25" s="157"/>
      <c r="S25" s="9"/>
      <c r="W25" t="str">
        <f t="shared" si="1"/>
        <v>Marc Costa</v>
      </c>
      <c r="X25">
        <f t="shared" si="0"/>
        <v>19</v>
      </c>
      <c r="Y25">
        <f t="shared" ca="1" si="0"/>
        <v>20</v>
      </c>
      <c r="Z25">
        <f t="shared" si="0"/>
        <v>0</v>
      </c>
      <c r="AA25" s="68"/>
      <c r="AB25" s="68"/>
      <c r="AC25" s="157"/>
      <c r="AD25" s="157"/>
      <c r="AE25" s="157"/>
      <c r="AF25" s="9"/>
    </row>
    <row r="26" spans="1:32" x14ac:dyDescent="0.25">
      <c r="A26" t="str">
        <f>PLANTILLA!C22</f>
        <v>Albert Millau</v>
      </c>
      <c r="B26">
        <f>PLANTILLA!D22</f>
        <v>26</v>
      </c>
      <c r="C26" s="135">
        <f ca="1">PLANTILLA!E22</f>
        <v>1</v>
      </c>
      <c r="D26">
        <f>PLANTILLA!F22</f>
        <v>0</v>
      </c>
      <c r="E26" s="68">
        <f>PLANTILLA!I22</f>
        <v>0.80274665510394982</v>
      </c>
      <c r="F26" s="66">
        <f>PLANTILLA!N22</f>
        <v>1.5</v>
      </c>
      <c r="G26" s="66">
        <f>PLANTILLA!V22</f>
        <v>0</v>
      </c>
      <c r="H26" s="66">
        <f>PLANTILLA!W22</f>
        <v>2</v>
      </c>
      <c r="I26" s="66">
        <f>PLANTILLA!X22</f>
        <v>4</v>
      </c>
      <c r="J26" s="66">
        <f>PLANTILLA!Y22</f>
        <v>3</v>
      </c>
      <c r="K26" s="66">
        <f>PLANTILLA!Z22</f>
        <v>5</v>
      </c>
      <c r="L26" s="66">
        <f>PLANTILLA!AA22</f>
        <v>5</v>
      </c>
      <c r="M26" s="66">
        <f>PLANTILLA!AB22</f>
        <v>1</v>
      </c>
      <c r="N26" s="68"/>
      <c r="O26" s="68"/>
      <c r="P26" s="157"/>
      <c r="Q26" s="157"/>
      <c r="R26" s="157"/>
      <c r="S26" s="9"/>
      <c r="W26" t="str">
        <f t="shared" si="1"/>
        <v>Albert Millau</v>
      </c>
      <c r="X26">
        <f t="shared" si="0"/>
        <v>26</v>
      </c>
      <c r="Y26">
        <f t="shared" ca="1" si="0"/>
        <v>1</v>
      </c>
      <c r="Z26">
        <f t="shared" si="0"/>
        <v>0</v>
      </c>
      <c r="AA26" s="68"/>
      <c r="AB26" s="68"/>
      <c r="AC26" s="157"/>
      <c r="AD26" s="157"/>
      <c r="AE26" s="157"/>
      <c r="AF26" s="9"/>
    </row>
    <row r="27" spans="1:32" x14ac:dyDescent="0.25">
      <c r="A27" t="str">
        <f>PLANTILLA!C23</f>
        <v>Pablo Carbo</v>
      </c>
      <c r="B27">
        <f>PLANTILLA!D23</f>
        <v>34</v>
      </c>
      <c r="C27" s="135">
        <f ca="1">PLANTILLA!E23</f>
        <v>12</v>
      </c>
      <c r="D27">
        <f>PLANTILLA!F23</f>
        <v>0</v>
      </c>
      <c r="E27" s="68">
        <f>PLANTILLA!I23</f>
        <v>1.0375350005115249</v>
      </c>
      <c r="F27" s="66">
        <f>PLANTILLA!N23</f>
        <v>1.5</v>
      </c>
      <c r="G27" s="66">
        <f>PLANTILLA!V23</f>
        <v>0</v>
      </c>
      <c r="H27" s="66">
        <f>PLANTILLA!W23</f>
        <v>2</v>
      </c>
      <c r="I27" s="66">
        <f>PLANTILLA!X23</f>
        <v>3</v>
      </c>
      <c r="J27" s="66">
        <f>PLANTILLA!Y23</f>
        <v>3</v>
      </c>
      <c r="K27" s="66">
        <f>PLANTILLA!Z23</f>
        <v>2</v>
      </c>
      <c r="L27" s="66">
        <f>PLANTILLA!AA23</f>
        <v>6</v>
      </c>
      <c r="M27" s="66">
        <f>PLANTILLA!AB23</f>
        <v>3</v>
      </c>
      <c r="N27" s="68"/>
      <c r="O27" s="68"/>
      <c r="P27" s="157"/>
      <c r="Q27" s="157"/>
      <c r="R27" s="157"/>
      <c r="S27" s="9"/>
      <c r="W27" t="str">
        <f t="shared" si="1"/>
        <v>Pablo Carbo</v>
      </c>
      <c r="X27">
        <f t="shared" si="0"/>
        <v>34</v>
      </c>
      <c r="Y27">
        <f t="shared" ca="1" si="0"/>
        <v>12</v>
      </c>
      <c r="Z27">
        <f t="shared" si="0"/>
        <v>0</v>
      </c>
      <c r="AA27" s="68"/>
      <c r="AB27" s="68"/>
      <c r="AC27" s="157"/>
      <c r="AD27" s="157"/>
      <c r="AE27" s="157"/>
      <c r="AF27" s="9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P28" s="157"/>
      <c r="Q28" s="157"/>
      <c r="R28" s="157"/>
      <c r="W28" t="e">
        <f t="shared" si="1"/>
        <v>#REF!</v>
      </c>
      <c r="X28" t="e">
        <f t="shared" si="0"/>
        <v>#REF!</v>
      </c>
      <c r="Y28" t="e">
        <f t="shared" si="0"/>
        <v>#REF!</v>
      </c>
      <c r="Z28" t="e">
        <f t="shared" si="0"/>
        <v>#REF!</v>
      </c>
      <c r="AA28" s="68"/>
      <c r="AB28" s="2"/>
      <c r="AC28" s="157"/>
      <c r="AD28" s="157"/>
      <c r="AE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P29" s="157"/>
      <c r="Q29" s="157"/>
      <c r="R29" s="157"/>
      <c r="W29" t="e">
        <f t="shared" si="1"/>
        <v>#REF!</v>
      </c>
      <c r="X29" t="e">
        <f t="shared" ref="X29:X30" si="5">B29</f>
        <v>#REF!</v>
      </c>
      <c r="Y29" t="e">
        <f t="shared" ref="Y29:Y30" si="6">C29</f>
        <v>#REF!</v>
      </c>
      <c r="Z29" t="e">
        <f t="shared" ref="Z29:Z30" si="7">D29</f>
        <v>#REF!</v>
      </c>
      <c r="AA29" s="68"/>
      <c r="AB29" s="2"/>
    </row>
    <row r="30" spans="1:32" x14ac:dyDescent="0.25">
      <c r="A30" t="e">
        <f>PLANTILLA!#REF!</f>
        <v>#REF!</v>
      </c>
      <c r="B30" t="e">
        <f>PLANTILLA!#REF!</f>
        <v>#REF!</v>
      </c>
      <c r="C30" s="135" t="e">
        <f>PLANTILLA!#REF!</f>
        <v>#REF!</v>
      </c>
      <c r="D30" t="e">
        <f>PLANTILLA!#REF!</f>
        <v>#REF!</v>
      </c>
      <c r="E30" s="68" t="e">
        <f>PLANTILLA!#REF!</f>
        <v>#REF!</v>
      </c>
      <c r="F30" s="66" t="e">
        <f>PLANTILLA!#REF!</f>
        <v>#REF!</v>
      </c>
      <c r="G30" s="66" t="e">
        <f>PLANTILLA!#REF!</f>
        <v>#REF!</v>
      </c>
      <c r="H30" s="66" t="e">
        <f>PLANTILLA!#REF!</f>
        <v>#REF!</v>
      </c>
      <c r="I30" s="66" t="e">
        <f>PLANTILLA!#REF!</f>
        <v>#REF!</v>
      </c>
      <c r="J30" s="66" t="e">
        <f>PLANTILLA!#REF!</f>
        <v>#REF!</v>
      </c>
      <c r="K30" s="66" t="e">
        <f>PLANTILLA!#REF!</f>
        <v>#REF!</v>
      </c>
      <c r="L30" s="66" t="e">
        <f>PLANTILLA!#REF!</f>
        <v>#REF!</v>
      </c>
      <c r="M30" s="66" t="e">
        <f>PLANTILLA!#REF!</f>
        <v>#REF!</v>
      </c>
      <c r="P30" s="157"/>
      <c r="Q30" s="157"/>
      <c r="R30" s="157"/>
      <c r="W30" t="e">
        <f t="shared" si="1"/>
        <v>#REF!</v>
      </c>
      <c r="X30" t="e">
        <f t="shared" si="5"/>
        <v>#REF!</v>
      </c>
      <c r="Y30" t="e">
        <f t="shared" si="6"/>
        <v>#REF!</v>
      </c>
      <c r="Z30" t="e">
        <f t="shared" si="7"/>
        <v>#REF!</v>
      </c>
      <c r="AA30" s="68"/>
      <c r="AB30" s="2"/>
    </row>
    <row r="31" spans="1:32" x14ac:dyDescent="0.25">
      <c r="C31" s="135"/>
      <c r="E31" s="68"/>
      <c r="F31" s="66"/>
      <c r="G31" s="66"/>
      <c r="H31" s="66"/>
      <c r="I31" s="66"/>
      <c r="J31" s="66"/>
      <c r="K31" s="66"/>
      <c r="L31" s="66"/>
      <c r="M31" s="66"/>
      <c r="Y31" s="135"/>
      <c r="AA31" s="2"/>
      <c r="AB31" s="2"/>
    </row>
    <row r="32" spans="1:32" x14ac:dyDescent="0.25">
      <c r="C32" s="135"/>
      <c r="E32" s="68"/>
      <c r="F32" s="66"/>
      <c r="G32" s="66"/>
      <c r="H32" s="66"/>
      <c r="I32" s="66"/>
      <c r="J32" s="66"/>
      <c r="K32" s="66"/>
      <c r="L32" s="66"/>
      <c r="M32" s="66"/>
    </row>
    <row r="33" spans="3:13" x14ac:dyDescent="0.25">
      <c r="C33" s="135"/>
      <c r="E33" s="68"/>
      <c r="F33" s="66"/>
      <c r="G33" s="66"/>
      <c r="H33" s="66"/>
      <c r="I33" s="66"/>
      <c r="J33" s="66"/>
      <c r="K33" s="66"/>
      <c r="L33" s="66"/>
      <c r="M33" s="66"/>
    </row>
    <row r="34" spans="3:13" x14ac:dyDescent="0.25">
      <c r="C34" s="135"/>
      <c r="E34" s="68"/>
      <c r="F34" s="66"/>
      <c r="G34" s="66"/>
      <c r="H34" s="66"/>
      <c r="I34" s="66"/>
      <c r="J34" s="66"/>
      <c r="K34" s="66"/>
      <c r="L34" s="66"/>
      <c r="M34" s="66"/>
    </row>
  </sheetData>
  <mergeCells count="2">
    <mergeCell ref="W11:X11"/>
    <mergeCell ref="A11:B11"/>
  </mergeCells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conditionalFormatting sqref="AA14:AB18 AB20:AB27 AA19:AA30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E13:F34">
    <cfRule type="colorScale" priority="1902">
      <colorScale>
        <cfvo type="min"/>
        <cfvo type="max"/>
        <color rgb="FFFCFCFF"/>
        <color rgb="FFF8696B"/>
      </colorScale>
    </cfRule>
  </conditionalFormatting>
  <conditionalFormatting sqref="G13:M34">
    <cfRule type="colorScale" priority="1904">
      <colorScale>
        <cfvo type="min"/>
        <cfvo type="max"/>
        <color rgb="FFFFEF9C"/>
        <color rgb="FF63BE7B"/>
      </colorScale>
    </cfRule>
  </conditionalFormatting>
  <conditionalFormatting sqref="P13:R30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0">
    <cfRule type="dataBar" priority="1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AA19:AA30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P13:R30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0"/>
  <sheetViews>
    <sheetView workbookViewId="0">
      <selection activeCell="F18" sqref="F18"/>
    </sheetView>
  </sheetViews>
  <sheetFormatPr baseColWidth="10" defaultColWidth="10.7109375" defaultRowHeight="15.7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6.85546875" style="71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6" style="71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288"/>
      <c r="O1" s="2"/>
      <c r="P1" s="2"/>
    </row>
    <row r="2" spans="1:29" x14ac:dyDescent="0.25">
      <c r="N2" s="288"/>
      <c r="O2" s="2" t="s">
        <v>50</v>
      </c>
      <c r="P2" s="2"/>
      <c r="Q2" s="14">
        <v>0.27500000000000002</v>
      </c>
      <c r="Y2" s="288"/>
      <c r="Z2" s="2" t="s">
        <v>50</v>
      </c>
      <c r="AA2" s="2"/>
      <c r="AB2" s="14">
        <v>0.27500000000000002</v>
      </c>
    </row>
    <row r="3" spans="1:29" x14ac:dyDescent="0.25">
      <c r="N3" s="288"/>
      <c r="O3" s="2" t="s">
        <v>189</v>
      </c>
      <c r="P3" s="2"/>
      <c r="Q3" s="14">
        <v>0.44</v>
      </c>
      <c r="Y3" s="288"/>
      <c r="Z3" s="2" t="s">
        <v>189</v>
      </c>
      <c r="AA3" s="2"/>
      <c r="AB3" s="14">
        <v>0.44</v>
      </c>
    </row>
    <row r="4" spans="1:29" x14ac:dyDescent="0.25">
      <c r="N4" s="288"/>
      <c r="O4" s="2" t="s">
        <v>51</v>
      </c>
      <c r="P4" s="2"/>
      <c r="Q4" s="14">
        <v>4.3999999999999997E-2</v>
      </c>
      <c r="Y4" s="288"/>
      <c r="Z4" s="2" t="s">
        <v>193</v>
      </c>
      <c r="AA4" s="2"/>
      <c r="AB4" s="14">
        <v>0.21</v>
      </c>
    </row>
    <row r="5" spans="1:29" x14ac:dyDescent="0.25">
      <c r="N5" s="288"/>
      <c r="O5" s="2" t="s">
        <v>52</v>
      </c>
      <c r="P5" s="2"/>
      <c r="Q5" s="14">
        <v>1</v>
      </c>
      <c r="Y5" s="288"/>
      <c r="Z5" s="2" t="s">
        <v>52</v>
      </c>
      <c r="AA5" s="2"/>
      <c r="AB5" s="14">
        <v>1</v>
      </c>
    </row>
    <row r="6" spans="1:29" x14ac:dyDescent="0.25">
      <c r="N6" s="288"/>
      <c r="O6" s="2" t="s">
        <v>53</v>
      </c>
      <c r="P6" s="2"/>
      <c r="Q6" s="14">
        <v>0.94399999999999995</v>
      </c>
      <c r="Y6" s="288"/>
      <c r="Z6" s="2" t="s">
        <v>53</v>
      </c>
      <c r="AA6" s="2"/>
      <c r="AB6" s="14">
        <v>0.94399999999999995</v>
      </c>
    </row>
    <row r="7" spans="1:29" x14ac:dyDescent="0.25">
      <c r="N7" s="288"/>
      <c r="O7" s="2" t="s">
        <v>171</v>
      </c>
      <c r="P7" s="2"/>
      <c r="Q7" s="14">
        <v>0.72499999999999998</v>
      </c>
      <c r="Y7" s="288"/>
      <c r="Z7" s="2" t="s">
        <v>171</v>
      </c>
      <c r="AA7" s="2"/>
      <c r="AB7" s="14">
        <v>0.72499999999999998</v>
      </c>
    </row>
    <row r="8" spans="1:29" x14ac:dyDescent="0.25">
      <c r="N8" s="288"/>
      <c r="O8" s="2" t="s">
        <v>54</v>
      </c>
      <c r="P8" s="2"/>
      <c r="Q8" s="14">
        <v>0.45499999999999996</v>
      </c>
      <c r="Y8" s="288"/>
      <c r="Z8" s="2" t="s">
        <v>54</v>
      </c>
      <c r="AA8" s="2"/>
      <c r="AB8" s="14">
        <v>0.45499999999999996</v>
      </c>
    </row>
    <row r="9" spans="1:29" x14ac:dyDescent="0.25">
      <c r="N9" s="288"/>
      <c r="O9" s="2" t="s">
        <v>56</v>
      </c>
      <c r="P9" s="2"/>
      <c r="Q9" s="14">
        <v>0.45600000000000002</v>
      </c>
      <c r="Y9" s="288"/>
      <c r="Z9" s="2" t="s">
        <v>56</v>
      </c>
      <c r="AA9" s="2"/>
      <c r="AB9" s="14">
        <v>0.45600000000000002</v>
      </c>
    </row>
    <row r="10" spans="1:29" x14ac:dyDescent="0.25">
      <c r="A10" s="374" t="s">
        <v>187</v>
      </c>
      <c r="B10" s="374"/>
      <c r="N10" s="288"/>
      <c r="O10" s="2" t="s">
        <v>10</v>
      </c>
      <c r="P10" s="2"/>
      <c r="Q10" s="14">
        <v>0.25</v>
      </c>
      <c r="U10" s="280" t="s">
        <v>188</v>
      </c>
      <c r="V10" s="280"/>
      <c r="Y10" s="288"/>
      <c r="Z10" s="2" t="s">
        <v>10</v>
      </c>
      <c r="AA10" s="2"/>
      <c r="AB10" s="14">
        <v>0.25</v>
      </c>
    </row>
    <row r="11" spans="1:29" ht="15" x14ac:dyDescent="0.25">
      <c r="A11" s="153" t="s">
        <v>16</v>
      </c>
      <c r="B11" s="154" t="s">
        <v>17</v>
      </c>
      <c r="C11" s="154" t="s">
        <v>18</v>
      </c>
      <c r="D11" s="154" t="s">
        <v>19</v>
      </c>
      <c r="E11" s="154" t="s">
        <v>22</v>
      </c>
      <c r="F11" s="154" t="s">
        <v>27</v>
      </c>
      <c r="G11" s="154" t="s">
        <v>35</v>
      </c>
      <c r="H11" s="154" t="s">
        <v>36</v>
      </c>
      <c r="I11" s="154" t="s">
        <v>37</v>
      </c>
      <c r="J11" s="154" t="s">
        <v>38</v>
      </c>
      <c r="K11" s="154" t="s">
        <v>39</v>
      </c>
      <c r="L11" s="154" t="s">
        <v>40</v>
      </c>
      <c r="M11" s="154" t="s">
        <v>19</v>
      </c>
      <c r="N11" s="317" t="s">
        <v>93</v>
      </c>
      <c r="O11" s="155" t="s">
        <v>15</v>
      </c>
      <c r="P11" s="281" t="s">
        <v>192</v>
      </c>
      <c r="Q11" s="156" t="s">
        <v>164</v>
      </c>
      <c r="R11" s="156" t="s">
        <v>49</v>
      </c>
      <c r="U11" s="153" t="s">
        <v>16</v>
      </c>
      <c r="V11" s="154" t="s">
        <v>17</v>
      </c>
      <c r="W11" s="154" t="s">
        <v>18</v>
      </c>
      <c r="X11" s="154" t="s">
        <v>19</v>
      </c>
      <c r="Y11" s="317" t="s">
        <v>93</v>
      </c>
      <c r="Z11" s="155" t="s">
        <v>15</v>
      </c>
      <c r="AA11" s="281" t="s">
        <v>192</v>
      </c>
      <c r="AB11" s="156" t="s">
        <v>164</v>
      </c>
      <c r="AC11" s="156" t="s">
        <v>49</v>
      </c>
    </row>
    <row r="12" spans="1:29" x14ac:dyDescent="0.25">
      <c r="A12" t="str">
        <f>PLANTILLA!C6</f>
        <v>Antero Lombo</v>
      </c>
      <c r="B12">
        <f>PLANTILLA!D6</f>
        <v>31</v>
      </c>
      <c r="C12" s="135">
        <f ca="1">PLANTILLA!E6</f>
        <v>56</v>
      </c>
      <c r="D12">
        <f>PLANTILLA!F6</f>
        <v>0</v>
      </c>
      <c r="E12" s="68">
        <f>PLANTILLA!I6</f>
        <v>1.0375350005115249</v>
      </c>
      <c r="F12" s="66">
        <f>PLANTILLA!N6</f>
        <v>1.5</v>
      </c>
      <c r="G12" s="66">
        <f>PLANTILLA!V6</f>
        <v>0</v>
      </c>
      <c r="H12" s="66">
        <f>PLANTILLA!W6</f>
        <v>5</v>
      </c>
      <c r="I12" s="66">
        <f>PLANTILLA!X6</f>
        <v>5</v>
      </c>
      <c r="J12" s="66">
        <f>PLANTILLA!Y6</f>
        <v>4</v>
      </c>
      <c r="K12" s="66">
        <f>PLANTILLA!Z6</f>
        <v>5</v>
      </c>
      <c r="L12" s="66">
        <f>PLANTILLA!AA6</f>
        <v>2</v>
      </c>
      <c r="M12" s="66">
        <f>PLANTILLA!AB6</f>
        <v>4</v>
      </c>
      <c r="N12" s="288"/>
      <c r="O12" s="68"/>
      <c r="P12" s="68"/>
      <c r="Q12" s="158"/>
      <c r="R12" s="158">
        <f>SUM(Q12:Q27)</f>
        <v>0.45342948717948717</v>
      </c>
      <c r="U12" t="str">
        <f>A12</f>
        <v>Antero Lombo</v>
      </c>
      <c r="V12">
        <f t="shared" ref="V12:W12" si="0">B12</f>
        <v>31</v>
      </c>
      <c r="W12">
        <f t="shared" ca="1" si="0"/>
        <v>56</v>
      </c>
      <c r="Y12" s="288"/>
      <c r="Z12" s="68"/>
      <c r="AA12" s="68"/>
      <c r="AB12" s="158"/>
      <c r="AC12" s="158">
        <f>SUM(AB12:AB27)</f>
        <v>0.4103525641025641</v>
      </c>
    </row>
    <row r="13" spans="1:29" x14ac:dyDescent="0.25">
      <c r="A13" t="str">
        <f>PLANTILLA!C9</f>
        <v>Juan Carlos Morata</v>
      </c>
      <c r="B13">
        <f>PLANTILLA!D9</f>
        <v>18</v>
      </c>
      <c r="C13" s="135">
        <f ca="1">PLANTILLA!E9</f>
        <v>91</v>
      </c>
      <c r="D13" t="str">
        <f>PLANTILLA!F9</f>
        <v>CAB</v>
      </c>
      <c r="E13" s="68">
        <f>PLANTILLA!I9</f>
        <v>0.40137332755197491</v>
      </c>
      <c r="F13" s="66">
        <f>PLANTILLA!N9</f>
        <v>1.5</v>
      </c>
      <c r="G13" s="66">
        <f>PLANTILLA!V9</f>
        <v>0</v>
      </c>
      <c r="H13" s="66">
        <f>PLANTILLA!W9</f>
        <v>6</v>
      </c>
      <c r="I13" s="66">
        <f>PLANTILLA!X9</f>
        <v>2</v>
      </c>
      <c r="J13" s="66">
        <f>PLANTILLA!Y9</f>
        <v>2</v>
      </c>
      <c r="K13" s="66">
        <f>PLANTILLA!Z9</f>
        <v>4</v>
      </c>
      <c r="L13" s="66">
        <f>PLANTILLA!AA9</f>
        <v>1</v>
      </c>
      <c r="M13" s="66">
        <f>PLANTILLA!AB9</f>
        <v>4</v>
      </c>
      <c r="N13" s="318"/>
      <c r="O13" s="68"/>
      <c r="P13" s="68"/>
      <c r="Q13" s="158"/>
      <c r="R13" s="158"/>
      <c r="U13" t="str">
        <f t="shared" ref="U13:U27" si="1">A13</f>
        <v>Juan Carlos Morata</v>
      </c>
      <c r="V13">
        <f t="shared" ref="V13:V27" si="2">B13</f>
        <v>18</v>
      </c>
      <c r="W13">
        <f t="shared" ref="W13:W27" ca="1" si="3">C13</f>
        <v>91</v>
      </c>
      <c r="Y13" s="318"/>
      <c r="Z13" s="68"/>
      <c r="AA13" s="68"/>
      <c r="AB13" s="158"/>
      <c r="AC13" s="158"/>
    </row>
    <row r="14" spans="1:29" x14ac:dyDescent="0.25">
      <c r="A14" t="e">
        <f>PLANTILLA!#REF!</f>
        <v>#REF!</v>
      </c>
      <c r="B14" t="e">
        <f>PLANTILLA!#REF!</f>
        <v>#REF!</v>
      </c>
      <c r="C14" s="135" t="e">
        <f>PLANTILLA!#REF!</f>
        <v>#REF!</v>
      </c>
      <c r="D14" t="e">
        <f>PLANTILLA!#REF!</f>
        <v>#REF!</v>
      </c>
      <c r="E14" s="68" t="e">
        <f>PLANTILLA!#REF!</f>
        <v>#REF!</v>
      </c>
      <c r="F14" s="66" t="e">
        <f>PLANTILLA!#REF!</f>
        <v>#REF!</v>
      </c>
      <c r="G14" s="66" t="e">
        <f>PLANTILLA!#REF!</f>
        <v>#REF!</v>
      </c>
      <c r="H14" s="66" t="e">
        <f>PLANTILLA!#REF!</f>
        <v>#REF!</v>
      </c>
      <c r="I14" s="66" t="e">
        <f>PLANTILLA!#REF!</f>
        <v>#REF!</v>
      </c>
      <c r="J14" s="66" t="e">
        <f>PLANTILLA!#REF!</f>
        <v>#REF!</v>
      </c>
      <c r="K14" s="66" t="e">
        <f>PLANTILLA!#REF!</f>
        <v>#REF!</v>
      </c>
      <c r="L14" s="66" t="e">
        <f>PLANTILLA!#REF!</f>
        <v>#REF!</v>
      </c>
      <c r="M14" s="66" t="e">
        <f>PLANTILLA!#REF!</f>
        <v>#REF!</v>
      </c>
      <c r="N14" s="318"/>
      <c r="O14" s="68"/>
      <c r="P14" s="68"/>
      <c r="Q14" s="158"/>
      <c r="R14" s="158"/>
      <c r="U14" t="e">
        <f t="shared" si="1"/>
        <v>#REF!</v>
      </c>
      <c r="V14" t="e">
        <f t="shared" si="2"/>
        <v>#REF!</v>
      </c>
      <c r="W14" t="e">
        <f t="shared" si="3"/>
        <v>#REF!</v>
      </c>
      <c r="Y14" s="318"/>
      <c r="Z14" s="68"/>
      <c r="AA14" s="68"/>
      <c r="AB14" s="158"/>
      <c r="AC14" s="158"/>
    </row>
    <row r="15" spans="1:29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318">
        <f>1/8</f>
        <v>0.125</v>
      </c>
      <c r="O15" s="68" t="s">
        <v>189</v>
      </c>
      <c r="P15" s="282">
        <v>0.5</v>
      </c>
      <c r="Q15" s="158">
        <f>N15*P15*Q3</f>
        <v>2.75E-2</v>
      </c>
      <c r="R15" s="158"/>
      <c r="U15" t="e">
        <f t="shared" si="1"/>
        <v>#REF!</v>
      </c>
      <c r="V15" t="e">
        <f t="shared" si="2"/>
        <v>#REF!</v>
      </c>
      <c r="W15" t="e">
        <f t="shared" si="3"/>
        <v>#REF!</v>
      </c>
      <c r="X15" t="e">
        <f t="shared" ref="X15:X26" si="4">D15</f>
        <v>#REF!</v>
      </c>
      <c r="Y15" s="318">
        <f t="shared" ref="Y15:Y21" si="5">N15</f>
        <v>0.125</v>
      </c>
      <c r="Z15" s="68" t="s">
        <v>189</v>
      </c>
      <c r="AA15" s="282">
        <v>0.5</v>
      </c>
      <c r="AB15" s="158">
        <f>Y15*AA15*AB3</f>
        <v>2.75E-2</v>
      </c>
      <c r="AC15" s="158"/>
    </row>
    <row r="16" spans="1:29" x14ac:dyDescent="0.25">
      <c r="A16" t="str">
        <f>PLANTILLA!C11</f>
        <v>Mauro Ascariz</v>
      </c>
      <c r="B16">
        <f>PLANTILLA!D11</f>
        <v>19</v>
      </c>
      <c r="C16" s="135">
        <f ca="1">PLANTILLA!E11</f>
        <v>84</v>
      </c>
      <c r="D16">
        <f>PLANTILLA!F11</f>
        <v>0</v>
      </c>
      <c r="E16" s="68">
        <f>PLANTILLA!I11</f>
        <v>0.40137332755197491</v>
      </c>
      <c r="F16" s="66">
        <f>PLANTILLA!N11</f>
        <v>1.5</v>
      </c>
      <c r="G16" s="66">
        <f>PLANTILLA!V11</f>
        <v>0</v>
      </c>
      <c r="H16" s="66">
        <f>PLANTILLA!W11</f>
        <v>3</v>
      </c>
      <c r="I16" s="66">
        <f>PLANTILLA!X11</f>
        <v>5</v>
      </c>
      <c r="J16" s="66">
        <f>PLANTILLA!Y11</f>
        <v>1</v>
      </c>
      <c r="K16" s="66">
        <f>PLANTILLA!Z11</f>
        <v>5</v>
      </c>
      <c r="L16" s="66">
        <f>PLANTILLA!AA11</f>
        <v>1</v>
      </c>
      <c r="M16" s="66">
        <f>PLANTILLA!AB11</f>
        <v>5</v>
      </c>
      <c r="N16" s="318">
        <f>1/13</f>
        <v>7.6923076923076927E-2</v>
      </c>
      <c r="O16" s="68" t="s">
        <v>52</v>
      </c>
      <c r="P16" s="282">
        <v>1</v>
      </c>
      <c r="Q16" s="158">
        <f>N16*P16*Q5</f>
        <v>7.6923076923076927E-2</v>
      </c>
      <c r="R16" s="158"/>
      <c r="U16" t="str">
        <f t="shared" si="1"/>
        <v>Mauro Ascariz</v>
      </c>
      <c r="V16">
        <f t="shared" si="2"/>
        <v>19</v>
      </c>
      <c r="W16">
        <f t="shared" ca="1" si="3"/>
        <v>84</v>
      </c>
      <c r="X16">
        <f t="shared" si="4"/>
        <v>0</v>
      </c>
      <c r="Y16" s="318">
        <f t="shared" si="5"/>
        <v>7.6923076923076927E-2</v>
      </c>
      <c r="Z16" s="68" t="s">
        <v>52</v>
      </c>
      <c r="AA16" s="282">
        <v>1</v>
      </c>
      <c r="AB16" s="158">
        <f>Y16*AA16*AB5</f>
        <v>7.6923076923076927E-2</v>
      </c>
      <c r="AC16" s="158"/>
    </row>
    <row r="17" spans="1:29" x14ac:dyDescent="0.25">
      <c r="A17" t="e">
        <f>PLANTILLA!#REF!</f>
        <v>#REF!</v>
      </c>
      <c r="B17" t="e">
        <f>PLANTILLA!#REF!</f>
        <v>#REF!</v>
      </c>
      <c r="C17" s="135" t="e">
        <f>PLANTILLA!#REF!</f>
        <v>#REF!</v>
      </c>
      <c r="D17" t="e">
        <f>PLANTILLA!#REF!</f>
        <v>#REF!</v>
      </c>
      <c r="E17" s="68" t="e">
        <f>PLANTILLA!#REF!</f>
        <v>#REF!</v>
      </c>
      <c r="F17" s="66" t="e">
        <f>PLANTILLA!#REF!</f>
        <v>#REF!</v>
      </c>
      <c r="G17" s="66" t="e">
        <f>PLANTILLA!#REF!</f>
        <v>#REF!</v>
      </c>
      <c r="H17" s="66" t="e">
        <f>PLANTILLA!#REF!</f>
        <v>#REF!</v>
      </c>
      <c r="I17" s="66" t="e">
        <f>PLANTILLA!#REF!</f>
        <v>#REF!</v>
      </c>
      <c r="J17" s="66" t="e">
        <f>PLANTILLA!#REF!</f>
        <v>#REF!</v>
      </c>
      <c r="K17" s="66" t="e">
        <f>PLANTILLA!#REF!</f>
        <v>#REF!</v>
      </c>
      <c r="L17" s="66" t="e">
        <f>PLANTILLA!#REF!</f>
        <v>#REF!</v>
      </c>
      <c r="M17" s="66" t="e">
        <f>PLANTILLA!#REF!</f>
        <v>#REF!</v>
      </c>
      <c r="N17" s="318">
        <f>1/13</f>
        <v>7.6923076923076927E-2</v>
      </c>
      <c r="O17" s="68" t="s">
        <v>189</v>
      </c>
      <c r="P17" s="282">
        <v>1</v>
      </c>
      <c r="Q17" s="158">
        <f>N17*P17*Q3</f>
        <v>3.3846153846153845E-2</v>
      </c>
      <c r="R17" s="158"/>
      <c r="U17" t="e">
        <f t="shared" si="1"/>
        <v>#REF!</v>
      </c>
      <c r="V17" t="e">
        <f t="shared" si="2"/>
        <v>#REF!</v>
      </c>
      <c r="W17" t="e">
        <f t="shared" si="3"/>
        <v>#REF!</v>
      </c>
      <c r="X17" t="e">
        <f t="shared" si="4"/>
        <v>#REF!</v>
      </c>
      <c r="Y17" s="318">
        <f t="shared" si="5"/>
        <v>7.6923076923076927E-2</v>
      </c>
      <c r="Z17" s="68" t="s">
        <v>55</v>
      </c>
      <c r="AA17" s="282">
        <v>1</v>
      </c>
      <c r="AB17" s="158">
        <f>Y17*AA17*AB7</f>
        <v>5.5769230769230772E-2</v>
      </c>
      <c r="AC17" s="158"/>
    </row>
    <row r="18" spans="1:29" x14ac:dyDescent="0.25">
      <c r="A18" t="str">
        <f>PLANTILLA!C12</f>
        <v>Calogero Coluccio</v>
      </c>
      <c r="B18">
        <f>PLANTILLA!D12</f>
        <v>24</v>
      </c>
      <c r="C18" s="135">
        <f ca="1">PLANTILLA!E12</f>
        <v>19</v>
      </c>
      <c r="D18" t="str">
        <f>PLANTILLA!F12</f>
        <v>RAP</v>
      </c>
      <c r="E18" s="68">
        <f>PLANTILLA!I12</f>
        <v>0.63616167295954995</v>
      </c>
      <c r="F18" s="66">
        <f>PLANTILLA!N12</f>
        <v>1.5</v>
      </c>
      <c r="G18" s="66">
        <f>PLANTILLA!V12</f>
        <v>0</v>
      </c>
      <c r="H18" s="66">
        <f>PLANTILLA!W12</f>
        <v>5</v>
      </c>
      <c r="I18" s="66">
        <f>PLANTILLA!X12</f>
        <v>6</v>
      </c>
      <c r="J18" s="66">
        <f>PLANTILLA!Y12</f>
        <v>1</v>
      </c>
      <c r="K18" s="66">
        <f>PLANTILLA!Z12</f>
        <v>2</v>
      </c>
      <c r="L18" s="66">
        <f>PLANTILLA!AA12</f>
        <v>0</v>
      </c>
      <c r="M18" s="66">
        <f>PLANTILLA!AB12</f>
        <v>3</v>
      </c>
      <c r="N18" s="318">
        <f>1/13</f>
        <v>7.6923076923076927E-2</v>
      </c>
      <c r="O18" s="68" t="s">
        <v>52</v>
      </c>
      <c r="P18" s="282">
        <v>1</v>
      </c>
      <c r="Q18" s="158">
        <f>N18*P18*Q5</f>
        <v>7.6923076923076927E-2</v>
      </c>
      <c r="U18" t="str">
        <f t="shared" si="1"/>
        <v>Calogero Coluccio</v>
      </c>
      <c r="V18">
        <f t="shared" si="2"/>
        <v>24</v>
      </c>
      <c r="W18">
        <f t="shared" ca="1" si="3"/>
        <v>19</v>
      </c>
      <c r="Y18" s="318">
        <f t="shared" si="5"/>
        <v>7.6923076923076927E-2</v>
      </c>
      <c r="Z18" s="68" t="s">
        <v>52</v>
      </c>
      <c r="AA18" s="282">
        <v>1</v>
      </c>
      <c r="AB18" s="158">
        <f>Y18*AA18*AB5</f>
        <v>7.6923076923076927E-2</v>
      </c>
    </row>
    <row r="19" spans="1:29" x14ac:dyDescent="0.25">
      <c r="A19" t="str">
        <f>PLANTILLA!C13</f>
        <v>Julian Blanco</v>
      </c>
      <c r="B19">
        <f>PLANTILLA!D13</f>
        <v>24</v>
      </c>
      <c r="C19" s="135">
        <f ca="1">PLANTILLA!E13</f>
        <v>73</v>
      </c>
      <c r="D19" t="str">
        <f>PLANTILLA!F13</f>
        <v>TEC</v>
      </c>
      <c r="E19" s="68">
        <f>PLANTILLA!I13</f>
        <v>0.80274665510394982</v>
      </c>
      <c r="F19" s="66">
        <f>PLANTILLA!N13</f>
        <v>1.5</v>
      </c>
      <c r="G19" s="66">
        <f>PLANTILLA!V13</f>
        <v>0</v>
      </c>
      <c r="H19" s="66">
        <f>PLANTILLA!W13</f>
        <v>3</v>
      </c>
      <c r="I19" s="66">
        <f>PLANTILLA!X13</f>
        <v>6</v>
      </c>
      <c r="J19" s="66">
        <f>PLANTILLA!Y13</f>
        <v>2</v>
      </c>
      <c r="K19" s="66">
        <f>PLANTILLA!Z13</f>
        <v>3</v>
      </c>
      <c r="L19" s="66">
        <f>PLANTILLA!AA13</f>
        <v>2</v>
      </c>
      <c r="M19" s="66">
        <f>PLANTILLA!AB13</f>
        <v>4</v>
      </c>
      <c r="N19" s="318">
        <f>1/13</f>
        <v>7.6923076923076927E-2</v>
      </c>
      <c r="O19" s="68" t="s">
        <v>52</v>
      </c>
      <c r="P19" s="282">
        <v>1</v>
      </c>
      <c r="Q19" s="158">
        <f>N19*P19*Q5</f>
        <v>7.6923076923076927E-2</v>
      </c>
      <c r="U19" t="str">
        <f t="shared" si="1"/>
        <v>Julian Blanco</v>
      </c>
      <c r="V19">
        <f t="shared" si="2"/>
        <v>24</v>
      </c>
      <c r="W19">
        <f t="shared" ca="1" si="3"/>
        <v>73</v>
      </c>
      <c r="Y19" s="318">
        <f t="shared" si="5"/>
        <v>7.6923076923076927E-2</v>
      </c>
      <c r="Z19" s="68" t="s">
        <v>52</v>
      </c>
      <c r="AA19" s="282">
        <v>1</v>
      </c>
      <c r="AB19" s="158">
        <f>Y19*AA19*AB5</f>
        <v>7.6923076923076927E-2</v>
      </c>
    </row>
    <row r="20" spans="1:29" x14ac:dyDescent="0.25">
      <c r="A20" t="str">
        <f>PLANTILLA!C18</f>
        <v>Fernan de Caranza</v>
      </c>
      <c r="B20">
        <f>PLANTILLA!D18</f>
        <v>20</v>
      </c>
      <c r="C20" s="135">
        <f ca="1">PLANTILLA!E18</f>
        <v>54</v>
      </c>
      <c r="D20" t="str">
        <f>PLANTILLA!F18</f>
        <v>POT</v>
      </c>
      <c r="E20" s="68">
        <f>PLANTILLA!I18</f>
        <v>0.40137332755197491</v>
      </c>
      <c r="F20" s="66">
        <f>PLANTILLA!N18</f>
        <v>1.5</v>
      </c>
      <c r="G20" s="66">
        <f>PLANTILLA!V18</f>
        <v>0</v>
      </c>
      <c r="H20" s="66">
        <f>PLANTILLA!W18</f>
        <v>3</v>
      </c>
      <c r="I20" s="66">
        <f>PLANTILLA!X18</f>
        <v>5</v>
      </c>
      <c r="J20" s="66">
        <f>PLANTILLA!Y18</f>
        <v>5</v>
      </c>
      <c r="K20" s="66">
        <f>PLANTILLA!Z18</f>
        <v>4</v>
      </c>
      <c r="L20" s="66">
        <f>PLANTILLA!AA18</f>
        <v>2</v>
      </c>
      <c r="M20" s="66">
        <f>PLANTILLA!AB18</f>
        <v>3</v>
      </c>
      <c r="N20" s="318">
        <f>1/10</f>
        <v>0.1</v>
      </c>
      <c r="O20" s="68" t="s">
        <v>55</v>
      </c>
      <c r="P20" s="282">
        <v>0.5</v>
      </c>
      <c r="Q20" s="158">
        <f>N20*P20*Q7</f>
        <v>3.6249999999999998E-2</v>
      </c>
      <c r="U20" t="str">
        <f t="shared" si="1"/>
        <v>Fernan de Caranza</v>
      </c>
      <c r="V20">
        <f t="shared" si="2"/>
        <v>20</v>
      </c>
      <c r="W20">
        <f t="shared" ca="1" si="3"/>
        <v>54</v>
      </c>
      <c r="X20" t="str">
        <f t="shared" si="4"/>
        <v>POT</v>
      </c>
      <c r="Y20" s="318">
        <f t="shared" si="5"/>
        <v>0.1</v>
      </c>
      <c r="Z20" s="68" t="s">
        <v>54</v>
      </c>
      <c r="AA20" s="282">
        <v>0.5</v>
      </c>
      <c r="AB20" s="158">
        <f>Y20*AA20*AB8</f>
        <v>2.2749999999999999E-2</v>
      </c>
    </row>
    <row r="21" spans="1:29" x14ac:dyDescent="0.25">
      <c r="A21" t="str">
        <f>PLANTILLA!C20</f>
        <v>Hemmu Ramchi</v>
      </c>
      <c r="B21">
        <f>PLANTILLA!D20</f>
        <v>22</v>
      </c>
      <c r="C21" s="135">
        <f ca="1">PLANTILLA!E20</f>
        <v>105</v>
      </c>
      <c r="D21">
        <f>PLANTILLA!F20</f>
        <v>0</v>
      </c>
      <c r="E21" s="68">
        <f>PLANTILLA!I20</f>
        <v>0.63616167295954995</v>
      </c>
      <c r="F21" s="66">
        <f ca="1">PLANTILLA!N20</f>
        <v>1</v>
      </c>
      <c r="G21" s="66">
        <f>PLANTILLA!V20</f>
        <v>0</v>
      </c>
      <c r="H21" s="66">
        <f>PLANTILLA!W20</f>
        <v>3</v>
      </c>
      <c r="I21" s="66">
        <f>PLANTILLA!X20</f>
        <v>4</v>
      </c>
      <c r="J21" s="66">
        <f>PLANTILLA!Y20</f>
        <v>6</v>
      </c>
      <c r="K21" s="66">
        <f>PLANTILLA!Z20</f>
        <v>5</v>
      </c>
      <c r="L21" s="66">
        <f>PLANTILLA!AA20</f>
        <v>2</v>
      </c>
      <c r="M21" s="66">
        <f>PLANTILLA!AB20</f>
        <v>3</v>
      </c>
      <c r="N21" s="318">
        <f>1/10</f>
        <v>0.1</v>
      </c>
      <c r="O21" s="68" t="s">
        <v>55</v>
      </c>
      <c r="P21" s="282">
        <v>1</v>
      </c>
      <c r="Q21" s="158">
        <f>N21*P21*Q7</f>
        <v>7.2499999999999995E-2</v>
      </c>
      <c r="U21" t="str">
        <f t="shared" si="1"/>
        <v>Hemmu Ramchi</v>
      </c>
      <c r="V21">
        <f t="shared" si="2"/>
        <v>22</v>
      </c>
      <c r="W21">
        <f t="shared" ca="1" si="3"/>
        <v>105</v>
      </c>
      <c r="X21">
        <f t="shared" si="4"/>
        <v>0</v>
      </c>
      <c r="Y21" s="318">
        <f t="shared" si="5"/>
        <v>0.1</v>
      </c>
      <c r="Z21" s="68" t="s">
        <v>193</v>
      </c>
      <c r="AA21" s="282">
        <v>1</v>
      </c>
      <c r="AB21" s="158">
        <f>Y21*AA21*AB4</f>
        <v>2.1000000000000001E-2</v>
      </c>
    </row>
    <row r="22" spans="1:29" x14ac:dyDescent="0.25">
      <c r="A22" t="str">
        <f>PLANTILLA!C21</f>
        <v>Marc Costa</v>
      </c>
      <c r="B22">
        <f>PLANTILLA!D21</f>
        <v>19</v>
      </c>
      <c r="C22" s="135">
        <f ca="1">PLANTILLA!E21</f>
        <v>20</v>
      </c>
      <c r="D22">
        <f>PLANTILLA!F21</f>
        <v>0</v>
      </c>
      <c r="E22" s="68">
        <f>PLANTILLA!I21</f>
        <v>0.40137332755197491</v>
      </c>
      <c r="F22" s="66">
        <f>PLANTILLA!N21</f>
        <v>1.5</v>
      </c>
      <c r="G22" s="66">
        <f>PLANTILLA!V21</f>
        <v>0</v>
      </c>
      <c r="H22" s="66">
        <f>PLANTILLA!W21</f>
        <v>1</v>
      </c>
      <c r="I22" s="66">
        <f>PLANTILLA!X21</f>
        <v>2</v>
      </c>
      <c r="J22" s="66">
        <f>PLANTILLA!Y21</f>
        <v>5</v>
      </c>
      <c r="K22" s="66">
        <f>PLANTILLA!Z21</f>
        <v>3</v>
      </c>
      <c r="L22" s="66">
        <f>PLANTILLA!AA21</f>
        <v>6</v>
      </c>
      <c r="M22" s="66">
        <f>PLANTILLA!AB21</f>
        <v>5</v>
      </c>
      <c r="N22" s="318"/>
      <c r="O22" s="68"/>
      <c r="P22" s="68"/>
      <c r="Q22" s="158"/>
      <c r="U22" t="str">
        <f t="shared" si="1"/>
        <v>Marc Costa</v>
      </c>
      <c r="V22">
        <f t="shared" si="2"/>
        <v>19</v>
      </c>
      <c r="W22">
        <f t="shared" ca="1" si="3"/>
        <v>20</v>
      </c>
      <c r="Y22" s="318"/>
      <c r="Z22" s="68"/>
      <c r="AA22" s="68"/>
      <c r="AB22" s="158"/>
    </row>
    <row r="23" spans="1:29" x14ac:dyDescent="0.25">
      <c r="A23" t="str">
        <f>PLANTILLA!C22</f>
        <v>Albert Millau</v>
      </c>
      <c r="B23">
        <f>PLANTILLA!D22</f>
        <v>26</v>
      </c>
      <c r="C23" s="135">
        <f ca="1">PLANTILLA!E22</f>
        <v>1</v>
      </c>
      <c r="D23">
        <f>PLANTILLA!F22</f>
        <v>0</v>
      </c>
      <c r="E23" s="68">
        <f>PLANTILLA!I22</f>
        <v>0.80274665510394982</v>
      </c>
      <c r="F23" s="66">
        <f>PLANTILLA!N22</f>
        <v>1.5</v>
      </c>
      <c r="G23" s="66">
        <f>PLANTILLA!V22</f>
        <v>0</v>
      </c>
      <c r="H23" s="66">
        <f>PLANTILLA!W22</f>
        <v>2</v>
      </c>
      <c r="I23" s="66">
        <f>PLANTILLA!X22</f>
        <v>4</v>
      </c>
      <c r="J23" s="66">
        <f>PLANTILLA!Y22</f>
        <v>3</v>
      </c>
      <c r="K23" s="66">
        <f>PLANTILLA!Z22</f>
        <v>5</v>
      </c>
      <c r="L23" s="66">
        <f>PLANTILLA!AA22</f>
        <v>5</v>
      </c>
      <c r="M23" s="66">
        <f>PLANTILLA!AB22</f>
        <v>1</v>
      </c>
      <c r="N23" s="318">
        <f>1/13</f>
        <v>7.6923076923076927E-2</v>
      </c>
      <c r="O23" s="68" t="s">
        <v>10</v>
      </c>
      <c r="P23" s="282">
        <v>1</v>
      </c>
      <c r="Q23" s="158">
        <f>N23*P23*Q10</f>
        <v>1.9230769230769232E-2</v>
      </c>
      <c r="U23" t="str">
        <f t="shared" si="1"/>
        <v>Albert Millau</v>
      </c>
      <c r="V23">
        <f t="shared" si="2"/>
        <v>26</v>
      </c>
      <c r="W23">
        <f t="shared" ca="1" si="3"/>
        <v>1</v>
      </c>
      <c r="X23">
        <f t="shared" si="4"/>
        <v>0</v>
      </c>
      <c r="Y23" s="318">
        <f>N23</f>
        <v>7.6923076923076927E-2</v>
      </c>
      <c r="Z23" s="68" t="s">
        <v>10</v>
      </c>
      <c r="AA23" s="282">
        <v>1</v>
      </c>
      <c r="AB23" s="158">
        <f>Y23*AA23*AB10</f>
        <v>1.9230769230769232E-2</v>
      </c>
    </row>
    <row r="24" spans="1:29" x14ac:dyDescent="0.25">
      <c r="A24" t="str">
        <f>PLANTILLA!C23</f>
        <v>Pablo Carbo</v>
      </c>
      <c r="B24">
        <f>PLANTILLA!D23</f>
        <v>34</v>
      </c>
      <c r="C24" s="135">
        <f ca="1">PLANTILLA!E23</f>
        <v>12</v>
      </c>
      <c r="D24">
        <f>PLANTILLA!F23</f>
        <v>0</v>
      </c>
      <c r="E24" s="68">
        <f>PLANTILLA!I23</f>
        <v>1.0375350005115249</v>
      </c>
      <c r="F24" s="66">
        <f>PLANTILLA!N23</f>
        <v>1.5</v>
      </c>
      <c r="G24" s="66">
        <f>PLANTILLA!V23</f>
        <v>0</v>
      </c>
      <c r="H24" s="66">
        <f>PLANTILLA!W23</f>
        <v>2</v>
      </c>
      <c r="I24" s="66">
        <f>PLANTILLA!X23</f>
        <v>3</v>
      </c>
      <c r="J24" s="66">
        <f>PLANTILLA!Y23</f>
        <v>3</v>
      </c>
      <c r="K24" s="66">
        <f>PLANTILLA!Z23</f>
        <v>2</v>
      </c>
      <c r="L24" s="66">
        <f>PLANTILLA!AA23</f>
        <v>6</v>
      </c>
      <c r="M24" s="66">
        <f>PLANTILLA!AB23</f>
        <v>3</v>
      </c>
      <c r="N24" s="318">
        <f>1/7.5</f>
        <v>0.13333333333333333</v>
      </c>
      <c r="O24" s="2" t="s">
        <v>10</v>
      </c>
      <c r="P24" s="282">
        <v>0.5</v>
      </c>
      <c r="Q24" s="158">
        <f>N24*P24*Q10</f>
        <v>1.6666666666666666E-2</v>
      </c>
      <c r="U24" t="str">
        <f t="shared" si="1"/>
        <v>Pablo Carbo</v>
      </c>
      <c r="V24">
        <f t="shared" si="2"/>
        <v>34</v>
      </c>
      <c r="W24">
        <f t="shared" ca="1" si="3"/>
        <v>12</v>
      </c>
      <c r="X24">
        <f t="shared" si="4"/>
        <v>0</v>
      </c>
      <c r="Y24" s="318">
        <f>N24</f>
        <v>0.13333333333333333</v>
      </c>
      <c r="Z24" s="2" t="s">
        <v>10</v>
      </c>
      <c r="AA24" s="282">
        <v>0.5</v>
      </c>
      <c r="AB24" s="158">
        <f>Y24*AA24*AB10</f>
        <v>1.6666666666666666E-2</v>
      </c>
    </row>
    <row r="25" spans="1:29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318"/>
      <c r="O25" s="68"/>
      <c r="P25" s="68"/>
      <c r="Q25" s="158"/>
      <c r="U25" t="e">
        <f t="shared" si="1"/>
        <v>#REF!</v>
      </c>
      <c r="V25" t="e">
        <f t="shared" si="2"/>
        <v>#REF!</v>
      </c>
      <c r="W25" t="e">
        <f t="shared" si="3"/>
        <v>#REF!</v>
      </c>
      <c r="Y25" s="318"/>
      <c r="Z25" s="68"/>
      <c r="AA25" s="68"/>
      <c r="AB25" s="158"/>
    </row>
    <row r="26" spans="1:29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318">
        <f>1/7.5</f>
        <v>0.13333333333333333</v>
      </c>
      <c r="O26" s="68" t="s">
        <v>10</v>
      </c>
      <c r="P26" s="282">
        <v>0.5</v>
      </c>
      <c r="Q26" s="158">
        <f>N26*P26*Q10</f>
        <v>1.6666666666666666E-2</v>
      </c>
      <c r="U26" t="e">
        <f t="shared" si="1"/>
        <v>#REF!</v>
      </c>
      <c r="V26" t="e">
        <f t="shared" si="2"/>
        <v>#REF!</v>
      </c>
      <c r="W26" t="e">
        <f t="shared" si="3"/>
        <v>#REF!</v>
      </c>
      <c r="X26" t="e">
        <f t="shared" si="4"/>
        <v>#REF!</v>
      </c>
      <c r="Y26" s="318">
        <f>N26</f>
        <v>0.13333333333333333</v>
      </c>
      <c r="Z26" s="68" t="s">
        <v>10</v>
      </c>
      <c r="AA26" s="282">
        <v>0.5</v>
      </c>
      <c r="AB26" s="158">
        <f>Y26*AA26*AB10</f>
        <v>1.6666666666666666E-2</v>
      </c>
    </row>
    <row r="27" spans="1:29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U27" t="e">
        <f t="shared" si="1"/>
        <v>#REF!</v>
      </c>
      <c r="V27" t="e">
        <f t="shared" si="2"/>
        <v>#REF!</v>
      </c>
      <c r="W27" t="e">
        <f t="shared" si="3"/>
        <v>#REF!</v>
      </c>
    </row>
    <row r="28" spans="1:29" x14ac:dyDescent="0.25">
      <c r="C28" s="135"/>
      <c r="E28" s="68"/>
      <c r="F28" s="66"/>
      <c r="G28" s="66"/>
      <c r="H28" s="66"/>
      <c r="I28" s="66"/>
      <c r="J28" s="66"/>
      <c r="K28" s="66"/>
      <c r="L28" s="66"/>
      <c r="M28" s="66"/>
    </row>
    <row r="29" spans="1:29" x14ac:dyDescent="0.25">
      <c r="C29" s="135"/>
      <c r="E29" s="68"/>
      <c r="F29" s="66"/>
      <c r="G29" s="66"/>
      <c r="H29" s="66"/>
      <c r="I29" s="66"/>
      <c r="J29" s="66"/>
      <c r="K29" s="66"/>
      <c r="L29" s="66"/>
      <c r="M29" s="66"/>
    </row>
    <row r="30" spans="1:29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</row>
  </sheetData>
  <mergeCells count="1">
    <mergeCell ref="A10:B10"/>
  </mergeCells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N25:O26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Q12:Q26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Z25:Z26">
    <cfRule type="dataBar" priority="1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AB12:AB26">
    <cfRule type="dataBar" priority="1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conditionalFormatting sqref="E12:F30">
    <cfRule type="colorScale" priority="1932">
      <colorScale>
        <cfvo type="min"/>
        <cfvo type="max"/>
        <color rgb="FFFCFCFF"/>
        <color rgb="FFF8696B"/>
      </colorScale>
    </cfRule>
  </conditionalFormatting>
  <conditionalFormatting sqref="G12:M30">
    <cfRule type="colorScale" priority="193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N25:O26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Q12:Q26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Z25:Z26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Q15" sqref="Q1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62</v>
      </c>
      <c r="P2" s="2"/>
      <c r="Q2" s="14">
        <v>0</v>
      </c>
      <c r="R2" s="14">
        <v>0</v>
      </c>
      <c r="S2" s="14">
        <v>0.59899999999999998</v>
      </c>
      <c r="X2" s="2"/>
      <c r="Y2" s="2" t="s">
        <v>62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193</v>
      </c>
      <c r="P3" s="2"/>
      <c r="Q3" s="14">
        <v>0.73</v>
      </c>
      <c r="R3" s="14">
        <v>0</v>
      </c>
      <c r="S3" s="14">
        <v>0</v>
      </c>
      <c r="X3" s="2"/>
      <c r="Y3" s="2" t="s">
        <v>193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0.70199999999999996</v>
      </c>
      <c r="R4" s="14">
        <v>0</v>
      </c>
      <c r="S4" s="14">
        <v>0</v>
      </c>
      <c r="X4" s="2"/>
      <c r="Y4" s="2" t="s">
        <v>55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172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172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10</v>
      </c>
      <c r="P7" s="2"/>
      <c r="Q7" s="14">
        <v>0</v>
      </c>
      <c r="R7" s="14">
        <v>0</v>
      </c>
      <c r="S7" s="14">
        <v>0.20100000000000001</v>
      </c>
      <c r="X7" s="2"/>
      <c r="Y7" s="2" t="s">
        <v>10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194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194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192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192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56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>
        <f>1/3</f>
        <v>0.33333333333333331</v>
      </c>
      <c r="O10" s="68"/>
      <c r="P10" s="282">
        <v>0.5</v>
      </c>
      <c r="Q10" s="157"/>
      <c r="R10" s="157"/>
      <c r="S10" s="157"/>
      <c r="T10" s="158">
        <f>SUM(Q10:Q29)</f>
        <v>0.40150000000000002</v>
      </c>
      <c r="U10" s="158">
        <f t="shared" ref="U10:V10" si="0">SUM(R10:R29)</f>
        <v>0</v>
      </c>
      <c r="V10" s="158">
        <f t="shared" si="0"/>
        <v>0.40150000000000002</v>
      </c>
      <c r="X10" s="212">
        <f>N10</f>
        <v>0.33333333333333331</v>
      </c>
      <c r="Y10" s="68"/>
      <c r="Z10" s="282">
        <v>0.5</v>
      </c>
      <c r="AA10" s="157"/>
      <c r="AB10" s="157"/>
      <c r="AC10" s="157"/>
      <c r="AD10" s="158">
        <f>SUM(AA10:AA29)</f>
        <v>0.10050000000000001</v>
      </c>
      <c r="AE10" s="158">
        <f t="shared" ref="AE10" si="1">SUM(AB10:AB29)</f>
        <v>0</v>
      </c>
      <c r="AF10" s="158">
        <f t="shared" ref="AF10" si="2">SUM(AC10:AC29)</f>
        <v>0.79916666666666658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91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e">
        <f>PLANTILLA!#REF!</f>
        <v>#REF!</v>
      </c>
      <c r="B13" t="e">
        <f>PLANTILLA!#REF!</f>
        <v>#REF!</v>
      </c>
      <c r="C13" s="135" t="e">
        <f>PLANTILLA!#REF!</f>
        <v>#REF!</v>
      </c>
      <c r="D13" t="e">
        <f>PLANTILLA!#REF!</f>
        <v>#REF!</v>
      </c>
      <c r="E13" s="68" t="e">
        <f>PLANTILLA!#REF!</f>
        <v>#REF!</v>
      </c>
      <c r="F13" s="66" t="e">
        <f>PLANTILLA!#REF!</f>
        <v>#REF!</v>
      </c>
      <c r="G13" s="66" t="e">
        <f>PLANTILLA!#REF!</f>
        <v>#REF!</v>
      </c>
      <c r="H13" s="66" t="e">
        <f>PLANTILLA!#REF!</f>
        <v>#REF!</v>
      </c>
      <c r="I13" s="66" t="e">
        <f>PLANTILLA!#REF!</f>
        <v>#REF!</v>
      </c>
      <c r="J13" s="66" t="e">
        <f>PLANTILLA!#REF!</f>
        <v>#REF!</v>
      </c>
      <c r="K13" s="66" t="e">
        <f>PLANTILLA!#REF!</f>
        <v>#REF!</v>
      </c>
      <c r="L13" s="66" t="e">
        <f>PLANTILLA!#REF!</f>
        <v>#REF!</v>
      </c>
      <c r="M13" s="66" t="e">
        <f>PLANTILLA!#REF!</f>
        <v>#REF!</v>
      </c>
      <c r="N13" s="68">
        <f>1/2</f>
        <v>0.5</v>
      </c>
      <c r="O13" s="68" t="s">
        <v>189</v>
      </c>
      <c r="P13" s="282">
        <v>0.5</v>
      </c>
      <c r="Q13" s="157"/>
      <c r="R13" s="157"/>
      <c r="S13" s="157"/>
      <c r="T13" s="158"/>
      <c r="X13" s="212">
        <f t="shared" ref="X13:X24" si="3">N13</f>
        <v>0.5</v>
      </c>
      <c r="Y13" s="68" t="s">
        <v>189</v>
      </c>
      <c r="Z13" s="282">
        <v>0.5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PLANTILLA!C11</f>
        <v>Mauro Ascariz</v>
      </c>
      <c r="B14">
        <f>PLANTILLA!D11</f>
        <v>19</v>
      </c>
      <c r="C14" s="135">
        <f ca="1">PLANTILLA!E11</f>
        <v>84</v>
      </c>
      <c r="D14">
        <f>PLANTILLA!F11</f>
        <v>0</v>
      </c>
      <c r="E14" s="68">
        <f>PLANTILLA!I11</f>
        <v>0.40137332755197491</v>
      </c>
      <c r="F14" s="66">
        <f>PLANTILLA!N11</f>
        <v>1.5</v>
      </c>
      <c r="G14" s="66">
        <f>PLANTILLA!V11</f>
        <v>0</v>
      </c>
      <c r="H14" s="66">
        <f>PLANTILLA!W11</f>
        <v>3</v>
      </c>
      <c r="I14" s="66">
        <f>PLANTILLA!X11</f>
        <v>5</v>
      </c>
      <c r="J14" s="66">
        <f>PLANTILLA!Y11</f>
        <v>1</v>
      </c>
      <c r="K14" s="66">
        <f>PLANTILLA!Z11</f>
        <v>5</v>
      </c>
      <c r="L14" s="66">
        <f>PLANTILLA!AA11</f>
        <v>1</v>
      </c>
      <c r="M14" s="66">
        <f>PLANTILLA!AB11</f>
        <v>5</v>
      </c>
      <c r="N14" s="68"/>
      <c r="O14" s="68" t="s">
        <v>52</v>
      </c>
      <c r="P14" s="282"/>
      <c r="Q14" s="157"/>
      <c r="R14" s="157"/>
      <c r="S14" s="157"/>
      <c r="T14" s="157"/>
      <c r="X14" s="212"/>
      <c r="Y14" s="68" t="s">
        <v>52</v>
      </c>
      <c r="Z14" s="282"/>
      <c r="AA14" s="157"/>
      <c r="AB14" s="157"/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68"/>
      <c r="O15" s="68" t="s">
        <v>189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PLANTILLA!C12</f>
        <v>Calogero Coluccio</v>
      </c>
      <c r="B16">
        <f>PLANTILLA!D12</f>
        <v>24</v>
      </c>
      <c r="C16" s="135">
        <f ca="1">PLANTILLA!E12</f>
        <v>19</v>
      </c>
      <c r="D16" t="str">
        <f>PLANTILLA!F12</f>
        <v>RAP</v>
      </c>
      <c r="E16" s="68">
        <f>PLANTILLA!I12</f>
        <v>0.63616167295954995</v>
      </c>
      <c r="F16" s="66">
        <f>PLANTILLA!N12</f>
        <v>1.5</v>
      </c>
      <c r="G16" s="66">
        <f>PLANTILLA!V12</f>
        <v>0</v>
      </c>
      <c r="H16" s="66">
        <f>PLANTILLA!W12</f>
        <v>5</v>
      </c>
      <c r="I16" s="66">
        <f>PLANTILLA!X12</f>
        <v>6</v>
      </c>
      <c r="J16" s="66">
        <f>PLANTILLA!Y12</f>
        <v>1</v>
      </c>
      <c r="K16" s="66">
        <f>PLANTILLA!Z12</f>
        <v>2</v>
      </c>
      <c r="L16" s="66">
        <f>PLANTILLA!AA12</f>
        <v>0</v>
      </c>
      <c r="M16" s="66">
        <f>PLANTILLA!AB12</f>
        <v>3</v>
      </c>
      <c r="N16" s="68">
        <f>1/3</f>
        <v>0.33333333333333331</v>
      </c>
      <c r="O16" s="68" t="s">
        <v>52</v>
      </c>
      <c r="P16" s="282">
        <v>1</v>
      </c>
      <c r="Q16" s="157"/>
      <c r="R16" s="157"/>
      <c r="S16" s="157"/>
      <c r="X16" s="212">
        <f t="shared" si="3"/>
        <v>0.33333333333333331</v>
      </c>
      <c r="Y16" s="68" t="s">
        <v>172</v>
      </c>
      <c r="Z16" s="282">
        <v>1</v>
      </c>
      <c r="AA16" s="157"/>
      <c r="AB16" s="157"/>
      <c r="AC16" s="157">
        <f>X16*Z16*AC6</f>
        <v>0.22233333333333333</v>
      </c>
      <c r="AD16" s="157"/>
      <c r="AE16" s="157"/>
      <c r="AF16" s="157"/>
    </row>
    <row r="17" spans="1:32" x14ac:dyDescent="0.25">
      <c r="A17" t="str">
        <f>PLANTILLA!C13</f>
        <v>Julian Blanco</v>
      </c>
      <c r="B17">
        <f>PLANTILLA!D13</f>
        <v>24</v>
      </c>
      <c r="C17" s="135">
        <f ca="1">PLANTILLA!E13</f>
        <v>73</v>
      </c>
      <c r="D17" t="str">
        <f>PLANTILLA!F13</f>
        <v>TEC</v>
      </c>
      <c r="E17" s="68">
        <f>PLANTILLA!I13</f>
        <v>0.80274665510394982</v>
      </c>
      <c r="F17" s="66">
        <f>PLANTILLA!N13</f>
        <v>1.5</v>
      </c>
      <c r="G17" s="66">
        <f>PLANTILLA!V13</f>
        <v>0</v>
      </c>
      <c r="H17" s="66">
        <f>PLANTILLA!W13</f>
        <v>3</v>
      </c>
      <c r="I17" s="66">
        <f>PLANTILLA!X13</f>
        <v>6</v>
      </c>
      <c r="J17" s="66">
        <f>PLANTILLA!Y13</f>
        <v>2</v>
      </c>
      <c r="K17" s="66">
        <f>PLANTILLA!Z13</f>
        <v>3</v>
      </c>
      <c r="L17" s="66">
        <f>PLANTILLA!AA13</f>
        <v>2</v>
      </c>
      <c r="M17" s="66">
        <f>PLANTILLA!AB13</f>
        <v>4</v>
      </c>
      <c r="N17" s="68"/>
      <c r="O17" s="68" t="s">
        <v>52</v>
      </c>
      <c r="P17" s="282"/>
      <c r="Q17" s="157"/>
      <c r="R17" s="157"/>
      <c r="S17" s="157"/>
      <c r="X17" s="212"/>
      <c r="Y17" s="68" t="s">
        <v>52</v>
      </c>
      <c r="Z17" s="282"/>
      <c r="AA17" s="157"/>
      <c r="AB17" s="157"/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54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68">
        <f>1/3</f>
        <v>0.33333333333333331</v>
      </c>
      <c r="O18" s="68" t="s">
        <v>55</v>
      </c>
      <c r="P18" s="282">
        <v>1</v>
      </c>
      <c r="Q18" s="157"/>
      <c r="R18" s="157"/>
      <c r="S18" s="157">
        <f>N18*P18*Q4</f>
        <v>0.23399999999999999</v>
      </c>
      <c r="X18" s="212">
        <f t="shared" si="3"/>
        <v>0.33333333333333331</v>
      </c>
      <c r="Y18" s="68" t="s">
        <v>54</v>
      </c>
      <c r="Z18" s="282">
        <v>1</v>
      </c>
      <c r="AA18" s="157"/>
      <c r="AB18" s="157"/>
      <c r="AC18" s="157">
        <f>X18*Z18*AC5</f>
        <v>0.28433333333333333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105</v>
      </c>
      <c r="D19">
        <f>PLANTILLA!F20</f>
        <v>0</v>
      </c>
      <c r="E19" s="68">
        <f>PLANTILLA!I20</f>
        <v>0.63616167295954995</v>
      </c>
      <c r="F19" s="66">
        <f ca="1">PLANTILLA!N20</f>
        <v>1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68">
        <f>1/3</f>
        <v>0.33333333333333331</v>
      </c>
      <c r="O19" s="68" t="s">
        <v>55</v>
      </c>
      <c r="P19" s="282">
        <v>1</v>
      </c>
      <c r="Q19" s="157">
        <f>N19*P19*Q4</f>
        <v>0.23399999999999999</v>
      </c>
      <c r="R19" s="157"/>
      <c r="S19" s="157"/>
      <c r="X19" s="212">
        <f t="shared" si="3"/>
        <v>0.33333333333333331</v>
      </c>
      <c r="Y19" s="68" t="s">
        <v>193</v>
      </c>
      <c r="Z19" s="282">
        <v>1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20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68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26</v>
      </c>
      <c r="C21" s="135">
        <f ca="1">PLANTILLA!E22</f>
        <v>1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68">
        <f>1/3</f>
        <v>0.33333333333333331</v>
      </c>
      <c r="O21" s="68" t="s">
        <v>10</v>
      </c>
      <c r="P21" s="282">
        <v>1</v>
      </c>
      <c r="Q21" s="157">
        <f>S21</f>
        <v>6.7000000000000004E-2</v>
      </c>
      <c r="R21" s="157"/>
      <c r="S21" s="157">
        <f>N21*P21*S7</f>
        <v>6.7000000000000004E-2</v>
      </c>
      <c r="X21" s="212">
        <f t="shared" si="3"/>
        <v>0.33333333333333331</v>
      </c>
      <c r="Y21" s="68" t="s">
        <v>185</v>
      </c>
      <c r="Z21" s="282">
        <v>1</v>
      </c>
      <c r="AA21" s="157"/>
      <c r="AB21" s="157"/>
      <c r="AC21" s="157">
        <f>X21*Z21*AC8</f>
        <v>0.19199999999999998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12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68">
        <f>1/2</f>
        <v>0.5</v>
      </c>
      <c r="O22" s="2" t="s">
        <v>10</v>
      </c>
      <c r="P22" s="282">
        <v>0.5</v>
      </c>
      <c r="Q22" s="157">
        <f>N22*P22*S7</f>
        <v>5.0250000000000003E-2</v>
      </c>
      <c r="R22" s="157"/>
      <c r="S22" s="157">
        <f>Q22</f>
        <v>5.0250000000000003E-2</v>
      </c>
      <c r="X22" s="212">
        <f t="shared" si="3"/>
        <v>0.5</v>
      </c>
      <c r="Y22" s="2" t="s">
        <v>10</v>
      </c>
      <c r="Z22" s="282">
        <v>0.5</v>
      </c>
      <c r="AA22" s="157">
        <f>X22*Z22*AC7</f>
        <v>5.0250000000000003E-2</v>
      </c>
      <c r="AB22" s="157"/>
      <c r="AC22" s="157">
        <f>AA22</f>
        <v>5.0250000000000003E-2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68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68">
        <f>1/2</f>
        <v>0.5</v>
      </c>
      <c r="O24" s="68" t="s">
        <v>10</v>
      </c>
      <c r="P24" s="282">
        <v>0.5</v>
      </c>
      <c r="Q24" s="157">
        <f>N24*P24*S7</f>
        <v>5.0250000000000003E-2</v>
      </c>
      <c r="R24" s="157"/>
      <c r="S24" s="157">
        <f>Q24</f>
        <v>5.0250000000000003E-2</v>
      </c>
      <c r="X24" s="212">
        <f t="shared" si="3"/>
        <v>0.5</v>
      </c>
      <c r="Y24" s="68" t="s">
        <v>10</v>
      </c>
      <c r="Z24" s="282">
        <v>0.5</v>
      </c>
      <c r="AA24" s="157">
        <f>X24*Z24*AC7</f>
        <v>5.0250000000000003E-2</v>
      </c>
      <c r="AB24" s="157"/>
      <c r="AC24" s="157">
        <f>AA24</f>
        <v>5.0250000000000003E-2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62</v>
      </c>
      <c r="P2" s="2"/>
      <c r="Q2" s="14">
        <v>0</v>
      </c>
      <c r="R2" s="14">
        <v>0</v>
      </c>
      <c r="S2" s="14">
        <v>0.59899999999999998</v>
      </c>
      <c r="X2" s="2"/>
      <c r="Y2" s="2" t="s">
        <v>62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193</v>
      </c>
      <c r="P3" s="2"/>
      <c r="Q3" s="14">
        <v>0.73</v>
      </c>
      <c r="R3" s="14">
        <v>0</v>
      </c>
      <c r="S3" s="14">
        <v>0</v>
      </c>
      <c r="X3" s="2"/>
      <c r="Y3" s="2" t="s">
        <v>193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0.70199999999999996</v>
      </c>
      <c r="R4" s="14">
        <v>0</v>
      </c>
      <c r="S4" s="14">
        <v>0</v>
      </c>
      <c r="X4" s="2"/>
      <c r="Y4" s="2" t="s">
        <v>55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172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172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10</v>
      </c>
      <c r="P7" s="2"/>
      <c r="Q7" s="14">
        <v>0</v>
      </c>
      <c r="R7" s="14">
        <v>0</v>
      </c>
      <c r="S7" s="14">
        <v>0.20100000000000001</v>
      </c>
      <c r="X7" s="2"/>
      <c r="Y7" s="2" t="s">
        <v>10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194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194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192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192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56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>
        <f>1/3</f>
        <v>0.33333333333333331</v>
      </c>
      <c r="O10" s="68"/>
      <c r="P10" s="282">
        <v>0.64</v>
      </c>
      <c r="Q10" s="157"/>
      <c r="R10" s="157"/>
      <c r="S10" s="157"/>
      <c r="T10" s="158">
        <f>SUM(Q10:Q29)</f>
        <v>0.32127999999999995</v>
      </c>
      <c r="U10" s="158">
        <f t="shared" ref="U10:V10" si="0">SUM(R10:R29)</f>
        <v>0</v>
      </c>
      <c r="V10" s="158">
        <f t="shared" si="0"/>
        <v>0.32127999999999995</v>
      </c>
      <c r="X10" s="212">
        <f>N10</f>
        <v>0.33333333333333331</v>
      </c>
      <c r="Y10" s="68"/>
      <c r="Z10" s="282">
        <v>0.64</v>
      </c>
      <c r="AA10" s="157"/>
      <c r="AB10" s="157"/>
      <c r="AC10" s="157"/>
      <c r="AD10" s="158">
        <f>SUM(AA10:AA29)</f>
        <v>0.12864</v>
      </c>
      <c r="AE10" s="158">
        <f t="shared" ref="AE10:AF10" si="1">SUM(AB10:AB29)</f>
        <v>0</v>
      </c>
      <c r="AF10" s="158">
        <f t="shared" si="1"/>
        <v>0.57578666666666667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91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e">
        <f>PLANTILLA!#REF!</f>
        <v>#REF!</v>
      </c>
      <c r="B13" t="e">
        <f>PLANTILLA!#REF!</f>
        <v>#REF!</v>
      </c>
      <c r="C13" s="135" t="e">
        <f>PLANTILLA!#REF!</f>
        <v>#REF!</v>
      </c>
      <c r="D13" t="e">
        <f>PLANTILLA!#REF!</f>
        <v>#REF!</v>
      </c>
      <c r="E13" s="68" t="e">
        <f>PLANTILLA!#REF!</f>
        <v>#REF!</v>
      </c>
      <c r="F13" s="66" t="e">
        <f>PLANTILLA!#REF!</f>
        <v>#REF!</v>
      </c>
      <c r="G13" s="66" t="e">
        <f>PLANTILLA!#REF!</f>
        <v>#REF!</v>
      </c>
      <c r="H13" s="66" t="e">
        <f>PLANTILLA!#REF!</f>
        <v>#REF!</v>
      </c>
      <c r="I13" s="66" t="e">
        <f>PLANTILLA!#REF!</f>
        <v>#REF!</v>
      </c>
      <c r="J13" s="66" t="e">
        <f>PLANTILLA!#REF!</f>
        <v>#REF!</v>
      </c>
      <c r="K13" s="66" t="e">
        <f>PLANTILLA!#REF!</f>
        <v>#REF!</v>
      </c>
      <c r="L13" s="66" t="e">
        <f>PLANTILLA!#REF!</f>
        <v>#REF!</v>
      </c>
      <c r="M13" s="66" t="e">
        <f>PLANTILLA!#REF!</f>
        <v>#REF!</v>
      </c>
      <c r="N13" s="68">
        <f>1/2</f>
        <v>0.5</v>
      </c>
      <c r="O13" s="68" t="s">
        <v>189</v>
      </c>
      <c r="P13" s="282">
        <v>0.64</v>
      </c>
      <c r="Q13" s="157"/>
      <c r="R13" s="157"/>
      <c r="S13" s="157"/>
      <c r="T13" s="158"/>
      <c r="X13" s="212">
        <f t="shared" ref="X13:X24" si="2">N13</f>
        <v>0.5</v>
      </c>
      <c r="Y13" s="68" t="s">
        <v>189</v>
      </c>
      <c r="Z13" s="282">
        <v>0.64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PLANTILLA!C11</f>
        <v>Mauro Ascariz</v>
      </c>
      <c r="B14">
        <f>PLANTILLA!D11</f>
        <v>19</v>
      </c>
      <c r="C14" s="135">
        <f ca="1">PLANTILLA!E11</f>
        <v>84</v>
      </c>
      <c r="D14">
        <f>PLANTILLA!F11</f>
        <v>0</v>
      </c>
      <c r="E14" s="68">
        <f>PLANTILLA!I11</f>
        <v>0.40137332755197491</v>
      </c>
      <c r="F14" s="66">
        <f>PLANTILLA!N11</f>
        <v>1.5</v>
      </c>
      <c r="G14" s="66">
        <f>PLANTILLA!V11</f>
        <v>0</v>
      </c>
      <c r="H14" s="66">
        <f>PLANTILLA!W11</f>
        <v>3</v>
      </c>
      <c r="I14" s="66">
        <f>PLANTILLA!X11</f>
        <v>5</v>
      </c>
      <c r="J14" s="66">
        <f>PLANTILLA!Y11</f>
        <v>1</v>
      </c>
      <c r="K14" s="66">
        <f>PLANTILLA!Z11</f>
        <v>5</v>
      </c>
      <c r="L14" s="66">
        <f>PLANTILLA!AA11</f>
        <v>1</v>
      </c>
      <c r="M14" s="66">
        <f>PLANTILLA!AB11</f>
        <v>5</v>
      </c>
      <c r="N14" s="68"/>
      <c r="O14" s="68" t="s">
        <v>52</v>
      </c>
      <c r="P14" s="282"/>
      <c r="Q14" s="157"/>
      <c r="R14" s="157"/>
      <c r="S14" s="157"/>
      <c r="T14" s="157"/>
      <c r="X14" s="212"/>
      <c r="Y14" s="68" t="s">
        <v>52</v>
      </c>
      <c r="Z14" s="282"/>
      <c r="AA14" s="157"/>
      <c r="AB14" s="157"/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68"/>
      <c r="O15" s="68" t="s">
        <v>189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PLANTILLA!C12</f>
        <v>Calogero Coluccio</v>
      </c>
      <c r="B16">
        <f>PLANTILLA!D12</f>
        <v>24</v>
      </c>
      <c r="C16" s="135">
        <f ca="1">PLANTILLA!E12</f>
        <v>19</v>
      </c>
      <c r="D16" t="str">
        <f>PLANTILLA!F12</f>
        <v>RAP</v>
      </c>
      <c r="E16" s="68">
        <f>PLANTILLA!I12</f>
        <v>0.63616167295954995</v>
      </c>
      <c r="F16" s="66">
        <f>PLANTILLA!N12</f>
        <v>1.5</v>
      </c>
      <c r="G16" s="66">
        <f>PLANTILLA!V12</f>
        <v>0</v>
      </c>
      <c r="H16" s="66">
        <f>PLANTILLA!W12</f>
        <v>5</v>
      </c>
      <c r="I16" s="66">
        <f>PLANTILLA!X12</f>
        <v>6</v>
      </c>
      <c r="J16" s="66">
        <f>PLANTILLA!Y12</f>
        <v>1</v>
      </c>
      <c r="K16" s="66">
        <f>PLANTILLA!Z12</f>
        <v>2</v>
      </c>
      <c r="L16" s="66">
        <f>PLANTILLA!AA12</f>
        <v>0</v>
      </c>
      <c r="M16" s="66">
        <f>PLANTILLA!AB12</f>
        <v>3</v>
      </c>
      <c r="N16" s="68">
        <f>1/3</f>
        <v>0.33333333333333331</v>
      </c>
      <c r="O16" s="68" t="s">
        <v>52</v>
      </c>
      <c r="P16" s="282">
        <v>0.64</v>
      </c>
      <c r="Q16" s="157"/>
      <c r="R16" s="157"/>
      <c r="S16" s="157"/>
      <c r="X16" s="212">
        <f t="shared" si="2"/>
        <v>0.33333333333333331</v>
      </c>
      <c r="Y16" s="68" t="s">
        <v>172</v>
      </c>
      <c r="Z16" s="282">
        <v>0.64</v>
      </c>
      <c r="AA16" s="157"/>
      <c r="AB16" s="157"/>
      <c r="AC16" s="157">
        <f>X16*Z16*AC6</f>
        <v>0.14229333333333333</v>
      </c>
      <c r="AD16" s="157"/>
      <c r="AE16" s="157"/>
      <c r="AF16" s="157"/>
    </row>
    <row r="17" spans="1:32" x14ac:dyDescent="0.25">
      <c r="A17" t="str">
        <f>PLANTILLA!C13</f>
        <v>Julian Blanco</v>
      </c>
      <c r="B17">
        <f>PLANTILLA!D13</f>
        <v>24</v>
      </c>
      <c r="C17" s="135">
        <f ca="1">PLANTILLA!E13</f>
        <v>73</v>
      </c>
      <c r="D17" t="str">
        <f>PLANTILLA!F13</f>
        <v>TEC</v>
      </c>
      <c r="E17" s="68">
        <f>PLANTILLA!I13</f>
        <v>0.80274665510394982</v>
      </c>
      <c r="F17" s="66">
        <f>PLANTILLA!N13</f>
        <v>1.5</v>
      </c>
      <c r="G17" s="66">
        <f>PLANTILLA!V13</f>
        <v>0</v>
      </c>
      <c r="H17" s="66">
        <f>PLANTILLA!W13</f>
        <v>3</v>
      </c>
      <c r="I17" s="66">
        <f>PLANTILLA!X13</f>
        <v>6</v>
      </c>
      <c r="J17" s="66">
        <f>PLANTILLA!Y13</f>
        <v>2</v>
      </c>
      <c r="K17" s="66">
        <f>PLANTILLA!Z13</f>
        <v>3</v>
      </c>
      <c r="L17" s="66">
        <f>PLANTILLA!AA13</f>
        <v>2</v>
      </c>
      <c r="M17" s="66">
        <f>PLANTILLA!AB13</f>
        <v>4</v>
      </c>
      <c r="N17" s="68"/>
      <c r="O17" s="68" t="s">
        <v>52</v>
      </c>
      <c r="P17" s="282"/>
      <c r="Q17" s="157"/>
      <c r="R17" s="157"/>
      <c r="S17" s="157"/>
      <c r="X17" s="212"/>
      <c r="Y17" s="68" t="s">
        <v>52</v>
      </c>
      <c r="Z17" s="282"/>
      <c r="AA17" s="157"/>
      <c r="AB17" s="157"/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54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68">
        <f>1/3</f>
        <v>0.33333333333333331</v>
      </c>
      <c r="O18" s="68" t="s">
        <v>55</v>
      </c>
      <c r="P18" s="282">
        <v>0.64</v>
      </c>
      <c r="Q18" s="157"/>
      <c r="R18" s="157"/>
      <c r="S18" s="157">
        <f>N18*P18*Q4</f>
        <v>0.14975999999999998</v>
      </c>
      <c r="X18" s="212">
        <f t="shared" si="2"/>
        <v>0.33333333333333331</v>
      </c>
      <c r="Y18" s="68" t="s">
        <v>54</v>
      </c>
      <c r="Z18" s="282">
        <v>0.64</v>
      </c>
      <c r="AA18" s="157"/>
      <c r="AB18" s="157"/>
      <c r="AC18" s="157">
        <f>X18*Z18*AC5</f>
        <v>0.18197333333333332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105</v>
      </c>
      <c r="D19">
        <f>PLANTILLA!F20</f>
        <v>0</v>
      </c>
      <c r="E19" s="68">
        <f>PLANTILLA!I20</f>
        <v>0.63616167295954995</v>
      </c>
      <c r="F19" s="66">
        <f ca="1">PLANTILLA!N20</f>
        <v>1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68">
        <f>1/3</f>
        <v>0.33333333333333331</v>
      </c>
      <c r="O19" s="68" t="s">
        <v>55</v>
      </c>
      <c r="P19" s="282">
        <v>0.64</v>
      </c>
      <c r="Q19" s="157">
        <f>N19*P19*Q4</f>
        <v>0.14975999999999998</v>
      </c>
      <c r="R19" s="157"/>
      <c r="S19" s="157"/>
      <c r="X19" s="212">
        <f t="shared" si="2"/>
        <v>0.33333333333333331</v>
      </c>
      <c r="Y19" s="68" t="s">
        <v>193</v>
      </c>
      <c r="Z19" s="282">
        <v>0.64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20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68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26</v>
      </c>
      <c r="C21" s="135">
        <f ca="1">PLANTILLA!E22</f>
        <v>1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68">
        <f>1/3</f>
        <v>0.33333333333333331</v>
      </c>
      <c r="O21" s="68" t="s">
        <v>10</v>
      </c>
      <c r="P21" s="282">
        <v>0.64</v>
      </c>
      <c r="Q21" s="157">
        <f>S21</f>
        <v>4.2880000000000001E-2</v>
      </c>
      <c r="R21" s="157"/>
      <c r="S21" s="157">
        <f>N21*P21*S7</f>
        <v>4.2880000000000001E-2</v>
      </c>
      <c r="X21" s="212">
        <f t="shared" si="2"/>
        <v>0.33333333333333331</v>
      </c>
      <c r="Y21" s="68" t="s">
        <v>185</v>
      </c>
      <c r="Z21" s="282">
        <v>0.64</v>
      </c>
      <c r="AA21" s="157"/>
      <c r="AB21" s="157"/>
      <c r="AC21" s="157">
        <f>X21*Z21*AC8</f>
        <v>0.12287999999999999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12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68">
        <f>1/2</f>
        <v>0.5</v>
      </c>
      <c r="O22" s="2" t="s">
        <v>10</v>
      </c>
      <c r="P22" s="282">
        <v>0.64</v>
      </c>
      <c r="Q22" s="157">
        <f>N22*P22*S7</f>
        <v>6.4320000000000002E-2</v>
      </c>
      <c r="R22" s="157"/>
      <c r="S22" s="157">
        <f>Q22</f>
        <v>6.4320000000000002E-2</v>
      </c>
      <c r="X22" s="212">
        <f t="shared" si="2"/>
        <v>0.5</v>
      </c>
      <c r="Y22" s="2" t="s">
        <v>10</v>
      </c>
      <c r="Z22" s="282">
        <v>0.64</v>
      </c>
      <c r="AA22" s="157">
        <f>X22*Z22*AC7</f>
        <v>6.4320000000000002E-2</v>
      </c>
      <c r="AB22" s="157"/>
      <c r="AC22" s="157">
        <f>AA22</f>
        <v>6.4320000000000002E-2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68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68">
        <f>1/2</f>
        <v>0.5</v>
      </c>
      <c r="O24" s="68" t="s">
        <v>10</v>
      </c>
      <c r="P24" s="282">
        <v>0.64</v>
      </c>
      <c r="Q24" s="157">
        <f>N24*P24*S7</f>
        <v>6.4320000000000002E-2</v>
      </c>
      <c r="R24" s="157"/>
      <c r="S24" s="157">
        <f>Q24</f>
        <v>6.4320000000000002E-2</v>
      </c>
      <c r="X24" s="212">
        <f t="shared" si="2"/>
        <v>0.5</v>
      </c>
      <c r="Y24" s="68" t="s">
        <v>10</v>
      </c>
      <c r="Z24" s="282">
        <v>0.64</v>
      </c>
      <c r="AA24" s="157">
        <f>X24*Z24*AC7</f>
        <v>6.4320000000000002E-2</v>
      </c>
      <c r="AB24" s="157"/>
      <c r="AC24" s="157">
        <f>AA24</f>
        <v>6.4320000000000002E-2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52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52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193</v>
      </c>
      <c r="P3" s="2"/>
      <c r="Q3" s="14">
        <v>0</v>
      </c>
      <c r="R3" s="14">
        <v>0</v>
      </c>
      <c r="S3" s="14">
        <v>0</v>
      </c>
      <c r="X3" s="2"/>
      <c r="Y3" s="2" t="s">
        <v>193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55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172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172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10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10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194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194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192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192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56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/>
      <c r="O10" s="68"/>
      <c r="P10" s="282"/>
      <c r="Q10" s="157"/>
      <c r="R10" s="157"/>
      <c r="S10" s="157"/>
      <c r="T10" s="158">
        <f>SUM(Q10:Q29)</f>
        <v>0.40804166666666652</v>
      </c>
      <c r="U10" s="158">
        <f t="shared" ref="U10:V10" si="0">SUM(R10:R29)</f>
        <v>0.80658333333333332</v>
      </c>
      <c r="V10" s="158">
        <f t="shared" si="0"/>
        <v>0.44270833333333326</v>
      </c>
      <c r="X10" s="212"/>
      <c r="Y10" s="68"/>
      <c r="Z10" s="282"/>
      <c r="AA10" s="157"/>
      <c r="AB10" s="157"/>
      <c r="AC10" s="157"/>
      <c r="AD10" s="158">
        <f>SUM(AA10:AA29)</f>
        <v>0.31270833333333325</v>
      </c>
      <c r="AE10" s="158">
        <f t="shared" ref="AE10:AF10" si="1">SUM(AB10:AB29)</f>
        <v>0.70791666666666664</v>
      </c>
      <c r="AF10" s="158">
        <f t="shared" si="1"/>
        <v>0.45504166666666668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91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e">
        <f>PLANTILLA!#REF!</f>
        <v>#REF!</v>
      </c>
      <c r="B13" t="e">
        <f>PLANTILLA!#REF!</f>
        <v>#REF!</v>
      </c>
      <c r="C13" s="135" t="e">
        <f>PLANTILLA!#REF!</f>
        <v>#REF!</v>
      </c>
      <c r="D13" t="e">
        <f>PLANTILLA!#REF!</f>
        <v>#REF!</v>
      </c>
      <c r="E13" s="68" t="e">
        <f>PLANTILLA!#REF!</f>
        <v>#REF!</v>
      </c>
      <c r="F13" s="66" t="e">
        <f>PLANTILLA!#REF!</f>
        <v>#REF!</v>
      </c>
      <c r="G13" s="66" t="e">
        <f>PLANTILLA!#REF!</f>
        <v>#REF!</v>
      </c>
      <c r="H13" s="66" t="e">
        <f>PLANTILLA!#REF!</f>
        <v>#REF!</v>
      </c>
      <c r="I13" s="66" t="e">
        <f>PLANTILLA!#REF!</f>
        <v>#REF!</v>
      </c>
      <c r="J13" s="66" t="e">
        <f>PLANTILLA!#REF!</f>
        <v>#REF!</v>
      </c>
      <c r="K13" s="66" t="e">
        <f>PLANTILLA!#REF!</f>
        <v>#REF!</v>
      </c>
      <c r="L13" s="66" t="e">
        <f>PLANTILLA!#REF!</f>
        <v>#REF!</v>
      </c>
      <c r="M13" s="66" t="e">
        <f>PLANTILLA!#REF!</f>
        <v>#REF!</v>
      </c>
      <c r="N13" s="212">
        <f>1/3</f>
        <v>0.33333333333333331</v>
      </c>
      <c r="O13" s="68" t="s">
        <v>189</v>
      </c>
      <c r="P13" s="282">
        <v>1</v>
      </c>
      <c r="Q13" s="157"/>
      <c r="R13" s="157"/>
      <c r="S13" s="157"/>
      <c r="T13" s="158"/>
      <c r="X13" s="212">
        <f t="shared" ref="X13:X24" si="2">N13</f>
        <v>0.33333333333333331</v>
      </c>
      <c r="Y13" s="68" t="s">
        <v>189</v>
      </c>
      <c r="Z13" s="282">
        <v>1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PLANTILLA!C11</f>
        <v>Mauro Ascariz</v>
      </c>
      <c r="B14">
        <f>PLANTILLA!D11</f>
        <v>19</v>
      </c>
      <c r="C14" s="135">
        <f ca="1">PLANTILLA!E11</f>
        <v>84</v>
      </c>
      <c r="D14">
        <f>PLANTILLA!F11</f>
        <v>0</v>
      </c>
      <c r="E14" s="68">
        <f>PLANTILLA!I11</f>
        <v>0.40137332755197491</v>
      </c>
      <c r="F14" s="66">
        <f>PLANTILLA!N11</f>
        <v>1.5</v>
      </c>
      <c r="G14" s="66">
        <f>PLANTILLA!V11</f>
        <v>0</v>
      </c>
      <c r="H14" s="66">
        <f>PLANTILLA!W11</f>
        <v>3</v>
      </c>
      <c r="I14" s="66">
        <f>PLANTILLA!X11</f>
        <v>5</v>
      </c>
      <c r="J14" s="66">
        <f>PLANTILLA!Y11</f>
        <v>1</v>
      </c>
      <c r="K14" s="66">
        <f>PLANTILLA!Z11</f>
        <v>5</v>
      </c>
      <c r="L14" s="66">
        <f>PLANTILLA!AA11</f>
        <v>1</v>
      </c>
      <c r="M14" s="66">
        <f>PLANTILLA!AB11</f>
        <v>5</v>
      </c>
      <c r="N14" s="212">
        <f>1/4</f>
        <v>0.25</v>
      </c>
      <c r="O14" s="68" t="s">
        <v>52</v>
      </c>
      <c r="P14" s="282">
        <v>1</v>
      </c>
      <c r="Q14" s="157">
        <f>N14*P14*((Q2+S2)/2)</f>
        <v>5.3374999999999992E-2</v>
      </c>
      <c r="R14" s="157">
        <f>N14*P14*R2</f>
        <v>8.9249999999999996E-2</v>
      </c>
      <c r="S14" s="157">
        <f>Q14</f>
        <v>5.3374999999999992E-2</v>
      </c>
      <c r="T14" s="157"/>
      <c r="X14" s="212">
        <f t="shared" si="2"/>
        <v>0.25</v>
      </c>
      <c r="Y14" s="68" t="s">
        <v>52</v>
      </c>
      <c r="Z14" s="282">
        <v>1</v>
      </c>
      <c r="AA14" s="157">
        <f>Q14</f>
        <v>5.3374999999999992E-2</v>
      </c>
      <c r="AB14" s="157">
        <f t="shared" ref="AB14:AC14" si="3">R14</f>
        <v>8.9249999999999996E-2</v>
      </c>
      <c r="AC14" s="157">
        <f t="shared" si="3"/>
        <v>5.3374999999999992E-2</v>
      </c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212">
        <f>1/3</f>
        <v>0.33333333333333331</v>
      </c>
      <c r="O15" s="68" t="s">
        <v>189</v>
      </c>
      <c r="P15" s="282">
        <v>1</v>
      </c>
      <c r="Q15" s="157"/>
      <c r="R15" s="157"/>
      <c r="S15" s="157"/>
      <c r="X15" s="212">
        <f t="shared" si="2"/>
        <v>0.33333333333333331</v>
      </c>
      <c r="Y15" s="68" t="s">
        <v>55</v>
      </c>
      <c r="Z15" s="282">
        <v>1</v>
      </c>
      <c r="AA15" s="157">
        <f>X15*Z15*AA4</f>
        <v>6.933333333333333E-2</v>
      </c>
      <c r="AB15" s="157">
        <f>X15*Z15*AB4</f>
        <v>5.7333333333333326E-2</v>
      </c>
      <c r="AC15" s="157"/>
      <c r="AD15" s="157"/>
      <c r="AE15" s="157"/>
      <c r="AF15" s="157"/>
    </row>
    <row r="16" spans="1:32" x14ac:dyDescent="0.25">
      <c r="A16" t="str">
        <f>PLANTILLA!C12</f>
        <v>Calogero Coluccio</v>
      </c>
      <c r="B16">
        <f>PLANTILLA!D12</f>
        <v>24</v>
      </c>
      <c r="C16" s="135">
        <f ca="1">PLANTILLA!E12</f>
        <v>19</v>
      </c>
      <c r="D16" t="str">
        <f>PLANTILLA!F12</f>
        <v>RAP</v>
      </c>
      <c r="E16" s="68">
        <f>PLANTILLA!I12</f>
        <v>0.63616167295954995</v>
      </c>
      <c r="F16" s="66">
        <f>PLANTILLA!N12</f>
        <v>1.5</v>
      </c>
      <c r="G16" s="66">
        <f>PLANTILLA!V12</f>
        <v>0</v>
      </c>
      <c r="H16" s="66">
        <f>PLANTILLA!W12</f>
        <v>5</v>
      </c>
      <c r="I16" s="66">
        <f>PLANTILLA!X12</f>
        <v>6</v>
      </c>
      <c r="J16" s="66">
        <f>PLANTILLA!Y12</f>
        <v>1</v>
      </c>
      <c r="K16" s="66">
        <f>PLANTILLA!Z12</f>
        <v>2</v>
      </c>
      <c r="L16" s="66">
        <f>PLANTILLA!AA12</f>
        <v>0</v>
      </c>
      <c r="M16" s="66">
        <f>PLANTILLA!AB12</f>
        <v>3</v>
      </c>
      <c r="N16" s="212">
        <f>1/3</f>
        <v>0.33333333333333331</v>
      </c>
      <c r="O16" s="68" t="s">
        <v>52</v>
      </c>
      <c r="P16" s="282">
        <v>1</v>
      </c>
      <c r="Q16" s="157">
        <f>N16*P16*S2</f>
        <v>4.7666666666666663E-2</v>
      </c>
      <c r="R16" s="157">
        <f>N16*P16*R2</f>
        <v>0.11899999999999999</v>
      </c>
      <c r="S16" s="157">
        <f>N16*P16*Q2</f>
        <v>9.4666666666666649E-2</v>
      </c>
      <c r="X16" s="212">
        <f t="shared" si="2"/>
        <v>0.33333333333333331</v>
      </c>
      <c r="Y16" s="68" t="s">
        <v>172</v>
      </c>
      <c r="Z16" s="282">
        <v>1</v>
      </c>
      <c r="AA16" s="157"/>
      <c r="AB16" s="157">
        <f>X16*Z16*AB6</f>
        <v>8.4666666666666668E-2</v>
      </c>
      <c r="AC16" s="157">
        <f>X16*Z16*AC6</f>
        <v>0.10233333333333333</v>
      </c>
      <c r="AD16" s="157"/>
      <c r="AE16" s="157"/>
      <c r="AF16" s="157"/>
    </row>
    <row r="17" spans="1:32" x14ac:dyDescent="0.25">
      <c r="A17" t="str">
        <f>PLANTILLA!C13</f>
        <v>Julian Blanco</v>
      </c>
      <c r="B17">
        <f>PLANTILLA!D13</f>
        <v>24</v>
      </c>
      <c r="C17" s="135">
        <f ca="1">PLANTILLA!E13</f>
        <v>73</v>
      </c>
      <c r="D17" t="str">
        <f>PLANTILLA!F13</f>
        <v>TEC</v>
      </c>
      <c r="E17" s="68">
        <f>PLANTILLA!I13</f>
        <v>0.80274665510394982</v>
      </c>
      <c r="F17" s="66">
        <f>PLANTILLA!N13</f>
        <v>1.5</v>
      </c>
      <c r="G17" s="66">
        <f>PLANTILLA!V13</f>
        <v>0</v>
      </c>
      <c r="H17" s="66">
        <f>PLANTILLA!W13</f>
        <v>3</v>
      </c>
      <c r="I17" s="66">
        <f>PLANTILLA!X13</f>
        <v>6</v>
      </c>
      <c r="J17" s="66">
        <f>PLANTILLA!Y13</f>
        <v>2</v>
      </c>
      <c r="K17" s="66">
        <f>PLANTILLA!Z13</f>
        <v>3</v>
      </c>
      <c r="L17" s="66">
        <f>PLANTILLA!AA13</f>
        <v>2</v>
      </c>
      <c r="M17" s="66">
        <f>PLANTILLA!AB13</f>
        <v>4</v>
      </c>
      <c r="N17" s="212">
        <f>1/3</f>
        <v>0.33333333333333331</v>
      </c>
      <c r="O17" s="68" t="s">
        <v>52</v>
      </c>
      <c r="P17" s="282">
        <v>1</v>
      </c>
      <c r="Q17" s="157">
        <f>N17*P17*Q2</f>
        <v>9.4666666666666649E-2</v>
      </c>
      <c r="R17" s="157">
        <f>N17*P17*R2</f>
        <v>0.11899999999999999</v>
      </c>
      <c r="S17" s="157">
        <f>N17*P17*S2</f>
        <v>4.7666666666666663E-2</v>
      </c>
      <c r="X17" s="212">
        <f t="shared" si="2"/>
        <v>0.33333333333333331</v>
      </c>
      <c r="Y17" s="68" t="s">
        <v>52</v>
      </c>
      <c r="Z17" s="282">
        <v>1</v>
      </c>
      <c r="AA17" s="157">
        <f>Q17</f>
        <v>9.4666666666666649E-2</v>
      </c>
      <c r="AB17" s="157">
        <f t="shared" ref="AB17:AC17" si="4">R17</f>
        <v>0.11899999999999999</v>
      </c>
      <c r="AC17" s="157">
        <f t="shared" si="4"/>
        <v>4.7666666666666663E-2</v>
      </c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54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212">
        <f>1/3</f>
        <v>0.33333333333333331</v>
      </c>
      <c r="O18" s="68" t="s">
        <v>55</v>
      </c>
      <c r="P18" s="282">
        <v>1</v>
      </c>
      <c r="Q18" s="157">
        <f>N18*P18*Q4</f>
        <v>6.933333333333333E-2</v>
      </c>
      <c r="R18" s="157">
        <f>N18*P18*R4</f>
        <v>5.7333333333333326E-2</v>
      </c>
      <c r="S18" s="157"/>
      <c r="X18" s="212">
        <f t="shared" si="2"/>
        <v>0.33333333333333331</v>
      </c>
      <c r="Y18" s="68" t="s">
        <v>54</v>
      </c>
      <c r="Z18" s="282">
        <v>1</v>
      </c>
      <c r="AA18" s="157"/>
      <c r="AB18" s="157">
        <f>X18*Z18*AB5</f>
        <v>5.0999999999999997E-2</v>
      </c>
      <c r="AC18" s="157">
        <f>X18*Z18*AC5</f>
        <v>9.1333333333333336E-2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105</v>
      </c>
      <c r="D19">
        <f>PLANTILLA!F20</f>
        <v>0</v>
      </c>
      <c r="E19" s="68">
        <f>PLANTILLA!I20</f>
        <v>0.63616167295954995</v>
      </c>
      <c r="F19" s="66">
        <f ca="1">PLANTILLA!N20</f>
        <v>1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212">
        <f>1/2</f>
        <v>0.5</v>
      </c>
      <c r="O19" s="68" t="s">
        <v>55</v>
      </c>
      <c r="P19" s="282">
        <v>1</v>
      </c>
      <c r="Q19" s="157"/>
      <c r="R19" s="157">
        <f>N19*P19*R4</f>
        <v>8.5999999999999993E-2</v>
      </c>
      <c r="S19" s="157">
        <f>N19*P19*Q4</f>
        <v>0.104</v>
      </c>
      <c r="X19" s="212">
        <f t="shared" si="2"/>
        <v>0.5</v>
      </c>
      <c r="Y19" s="68" t="s">
        <v>193</v>
      </c>
      <c r="Z19" s="282">
        <v>1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20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212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26</v>
      </c>
      <c r="C21" s="135">
        <f ca="1">PLANTILLA!E22</f>
        <v>1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212">
        <f>1/3</f>
        <v>0.33333333333333331</v>
      </c>
      <c r="O21" s="68" t="s">
        <v>10</v>
      </c>
      <c r="P21" s="282">
        <v>1</v>
      </c>
      <c r="Q21" s="157">
        <f>$N$21*$P$21*Q7</f>
        <v>4.7666666666666663E-2</v>
      </c>
      <c r="R21" s="157">
        <f t="shared" ref="R21:S21" si="5">$N$21*$P$21*R7</f>
        <v>0.112</v>
      </c>
      <c r="S21" s="157">
        <f t="shared" si="5"/>
        <v>4.7666666666666663E-2</v>
      </c>
      <c r="X21" s="212">
        <f t="shared" si="2"/>
        <v>0.33333333333333331</v>
      </c>
      <c r="Y21" s="68" t="s">
        <v>185</v>
      </c>
      <c r="Z21" s="282">
        <v>1</v>
      </c>
      <c r="AA21" s="157"/>
      <c r="AB21" s="157">
        <f>X21*Z21*AB8</f>
        <v>8.2666666666666666E-2</v>
      </c>
      <c r="AC21" s="157">
        <f>X21*Z21*AC8</f>
        <v>6.5000000000000002E-2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12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212">
        <f>1/3</f>
        <v>0.33333333333333331</v>
      </c>
      <c r="O22" s="2" t="s">
        <v>10</v>
      </c>
      <c r="P22" s="282">
        <v>1</v>
      </c>
      <c r="Q22" s="157">
        <f>$N$22*$P$22*Q7</f>
        <v>4.7666666666666663E-2</v>
      </c>
      <c r="R22" s="157">
        <f t="shared" ref="R22:S22" si="6">$N$22*$P$22*R7</f>
        <v>0.112</v>
      </c>
      <c r="S22" s="157">
        <f t="shared" si="6"/>
        <v>4.7666666666666663E-2</v>
      </c>
      <c r="X22" s="212">
        <f t="shared" si="2"/>
        <v>0.33333333333333331</v>
      </c>
      <c r="Y22" s="2" t="s">
        <v>10</v>
      </c>
      <c r="Z22" s="282">
        <v>1</v>
      </c>
      <c r="AA22" s="157">
        <f>Q22</f>
        <v>4.7666666666666663E-2</v>
      </c>
      <c r="AB22" s="157">
        <f t="shared" ref="AB22:AC22" si="7">R22</f>
        <v>0.112</v>
      </c>
      <c r="AC22" s="157">
        <f t="shared" si="7"/>
        <v>4.7666666666666663E-2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212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212">
        <f>1/3</f>
        <v>0.33333333333333331</v>
      </c>
      <c r="O24" s="68" t="s">
        <v>10</v>
      </c>
      <c r="P24" s="282">
        <v>1</v>
      </c>
      <c r="Q24" s="157">
        <f>$N$24*$P$24*Q7</f>
        <v>4.7666666666666663E-2</v>
      </c>
      <c r="R24" s="157">
        <f t="shared" ref="R24:S24" si="8">$N$24*$P$24*R7</f>
        <v>0.112</v>
      </c>
      <c r="S24" s="157">
        <f t="shared" si="8"/>
        <v>4.7666666666666663E-2</v>
      </c>
      <c r="X24" s="212">
        <f t="shared" si="2"/>
        <v>0.33333333333333331</v>
      </c>
      <c r="Y24" s="68" t="s">
        <v>10</v>
      </c>
      <c r="Z24" s="282">
        <v>1</v>
      </c>
      <c r="AA24" s="157">
        <f t="shared" ref="AA24" si="9">Q24</f>
        <v>4.7666666666666663E-2</v>
      </c>
      <c r="AB24" s="157">
        <f t="shared" ref="AB24" si="10">R24</f>
        <v>0.112</v>
      </c>
      <c r="AC24" s="157">
        <f t="shared" ref="AC24" si="11">S24</f>
        <v>4.7666666666666663E-2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52</v>
      </c>
      <c r="P2" s="2"/>
      <c r="Q2" s="14">
        <v>0</v>
      </c>
      <c r="R2" s="14">
        <v>0.21</v>
      </c>
      <c r="S2" s="14">
        <v>0</v>
      </c>
      <c r="X2" s="2"/>
      <c r="Y2" s="2" t="s">
        <v>52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193</v>
      </c>
      <c r="P3" s="2"/>
      <c r="Q3" s="14">
        <v>0</v>
      </c>
      <c r="R3" s="14">
        <v>0</v>
      </c>
      <c r="S3" s="14">
        <v>0</v>
      </c>
      <c r="X3" s="2"/>
      <c r="Y3" s="2" t="s">
        <v>193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55</v>
      </c>
      <c r="P4" s="2"/>
      <c r="Q4" s="14">
        <v>0</v>
      </c>
      <c r="R4" s="14">
        <v>0</v>
      </c>
      <c r="S4" s="14">
        <v>0</v>
      </c>
      <c r="X4" s="2"/>
      <c r="Y4" s="2" t="s">
        <v>55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</v>
      </c>
      <c r="X5" s="2"/>
      <c r="Y5" s="2" t="s">
        <v>54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172</v>
      </c>
      <c r="P6" s="2"/>
      <c r="Q6" s="14">
        <v>0</v>
      </c>
      <c r="R6" s="14">
        <v>0</v>
      </c>
      <c r="S6" s="14">
        <v>0</v>
      </c>
      <c r="X6" s="2"/>
      <c r="Y6" s="2" t="s">
        <v>172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10</v>
      </c>
      <c r="P7" s="2"/>
      <c r="Q7" s="14">
        <v>0.27600000000000002</v>
      </c>
      <c r="R7" s="14">
        <v>1</v>
      </c>
      <c r="S7" s="14">
        <v>0</v>
      </c>
      <c r="X7" s="2"/>
      <c r="Y7" s="2" t="s">
        <v>10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194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194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192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192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56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/>
      <c r="O10" s="68"/>
      <c r="P10" s="282"/>
      <c r="Q10" s="157"/>
      <c r="R10" s="157"/>
      <c r="S10" s="157"/>
      <c r="T10" s="158">
        <f>SUM(Q10:Q29)</f>
        <v>6.9000000000000006E-2</v>
      </c>
      <c r="U10" s="158">
        <f t="shared" ref="U10:V10" si="4">SUM(R10:R29)</f>
        <v>0.68199999999999994</v>
      </c>
      <c r="V10" s="158">
        <f t="shared" si="4"/>
        <v>6.9000000000000006E-2</v>
      </c>
      <c r="X10" s="212"/>
      <c r="Y10" s="68"/>
      <c r="Z10" s="282"/>
      <c r="AA10" s="157"/>
      <c r="AB10" s="157"/>
      <c r="AC10" s="157"/>
      <c r="AD10" s="158">
        <f>SUM(AA10:AA29)</f>
        <v>6.9000000000000006E-2</v>
      </c>
      <c r="AE10" s="158">
        <f t="shared" ref="AE10:AF10" si="5">SUM(AB10:AB29)</f>
        <v>0.53733333333333333</v>
      </c>
      <c r="AF10" s="158">
        <f t="shared" si="5"/>
        <v>0.12416666666666665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91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e">
        <f>PLANTILLA!#REF!</f>
        <v>#REF!</v>
      </c>
      <c r="B13" t="e">
        <f>PLANTILLA!#REF!</f>
        <v>#REF!</v>
      </c>
      <c r="C13" s="135" t="e">
        <f>PLANTILLA!#REF!</f>
        <v>#REF!</v>
      </c>
      <c r="D13" t="e">
        <f>PLANTILLA!#REF!</f>
        <v>#REF!</v>
      </c>
      <c r="E13" s="68" t="e">
        <f>PLANTILLA!#REF!</f>
        <v>#REF!</v>
      </c>
      <c r="F13" s="66" t="e">
        <f>PLANTILLA!#REF!</f>
        <v>#REF!</v>
      </c>
      <c r="G13" s="66" t="e">
        <f>PLANTILLA!#REF!</f>
        <v>#REF!</v>
      </c>
      <c r="H13" s="66" t="e">
        <f>PLANTILLA!#REF!</f>
        <v>#REF!</v>
      </c>
      <c r="I13" s="66" t="e">
        <f>PLANTILLA!#REF!</f>
        <v>#REF!</v>
      </c>
      <c r="J13" s="66" t="e">
        <f>PLANTILLA!#REF!</f>
        <v>#REF!</v>
      </c>
      <c r="K13" s="66" t="e">
        <f>PLANTILLA!#REF!</f>
        <v>#REF!</v>
      </c>
      <c r="L13" s="66" t="e">
        <f>PLANTILLA!#REF!</f>
        <v>#REF!</v>
      </c>
      <c r="M13" s="66" t="e">
        <f>PLANTILLA!#REF!</f>
        <v>#REF!</v>
      </c>
      <c r="N13" s="212"/>
      <c r="O13" s="68" t="s">
        <v>189</v>
      </c>
      <c r="P13" s="282"/>
      <c r="Q13" s="157"/>
      <c r="R13" s="157"/>
      <c r="S13" s="157"/>
      <c r="T13" s="158"/>
      <c r="X13" s="212"/>
      <c r="Y13" s="68" t="s">
        <v>189</v>
      </c>
      <c r="Z13" s="282"/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PLANTILLA!C11</f>
        <v>Mauro Ascariz</v>
      </c>
      <c r="B14">
        <f>PLANTILLA!D11</f>
        <v>19</v>
      </c>
      <c r="C14" s="135">
        <f ca="1">PLANTILLA!E11</f>
        <v>84</v>
      </c>
      <c r="D14">
        <f>PLANTILLA!F11</f>
        <v>0</v>
      </c>
      <c r="E14" s="68">
        <f>PLANTILLA!I11</f>
        <v>0.40137332755197491</v>
      </c>
      <c r="F14" s="66">
        <f>PLANTILLA!N11</f>
        <v>1.5</v>
      </c>
      <c r="G14" s="66">
        <f>PLANTILLA!V11</f>
        <v>0</v>
      </c>
      <c r="H14" s="66">
        <f>PLANTILLA!W11</f>
        <v>3</v>
      </c>
      <c r="I14" s="66">
        <f>PLANTILLA!X11</f>
        <v>5</v>
      </c>
      <c r="J14" s="66">
        <f>PLANTILLA!Y11</f>
        <v>1</v>
      </c>
      <c r="K14" s="66">
        <f>PLANTILLA!Z11</f>
        <v>5</v>
      </c>
      <c r="L14" s="66">
        <f>PLANTILLA!AA11</f>
        <v>1</v>
      </c>
      <c r="M14" s="66">
        <f>PLANTILLA!AB11</f>
        <v>5</v>
      </c>
      <c r="N14" s="212">
        <f>1/5</f>
        <v>0.2</v>
      </c>
      <c r="O14" s="68" t="s">
        <v>52</v>
      </c>
      <c r="P14" s="282">
        <v>1</v>
      </c>
      <c r="Q14" s="157"/>
      <c r="R14" s="157">
        <f>N14*P14*R2</f>
        <v>4.2000000000000003E-2</v>
      </c>
      <c r="S14" s="157"/>
      <c r="T14" s="157"/>
      <c r="X14" s="212">
        <f>N14</f>
        <v>0.2</v>
      </c>
      <c r="Y14" s="68" t="s">
        <v>52</v>
      </c>
      <c r="Z14" s="282">
        <v>1</v>
      </c>
      <c r="AA14" s="157"/>
      <c r="AB14" s="157">
        <f t="shared" ref="AB14" si="6">R14</f>
        <v>4.2000000000000003E-2</v>
      </c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212"/>
      <c r="O15" s="68" t="s">
        <v>189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PLANTILLA!C12</f>
        <v>Calogero Coluccio</v>
      </c>
      <c r="B16">
        <f>PLANTILLA!D12</f>
        <v>24</v>
      </c>
      <c r="C16" s="135">
        <f ca="1">PLANTILLA!E12</f>
        <v>19</v>
      </c>
      <c r="D16" t="str">
        <f>PLANTILLA!F12</f>
        <v>RAP</v>
      </c>
      <c r="E16" s="68">
        <f>PLANTILLA!I12</f>
        <v>0.63616167295954995</v>
      </c>
      <c r="F16" s="66">
        <f>PLANTILLA!N12</f>
        <v>1.5</v>
      </c>
      <c r="G16" s="66">
        <f>PLANTILLA!V12</f>
        <v>0</v>
      </c>
      <c r="H16" s="66">
        <f>PLANTILLA!W12</f>
        <v>5</v>
      </c>
      <c r="I16" s="66">
        <f>PLANTILLA!X12</f>
        <v>6</v>
      </c>
      <c r="J16" s="66">
        <f>PLANTILLA!Y12</f>
        <v>1</v>
      </c>
      <c r="K16" s="66">
        <f>PLANTILLA!Z12</f>
        <v>2</v>
      </c>
      <c r="L16" s="66">
        <f>PLANTILLA!AA12</f>
        <v>0</v>
      </c>
      <c r="M16" s="66">
        <f>PLANTILLA!AB12</f>
        <v>3</v>
      </c>
      <c r="N16" s="212">
        <f>1/3</f>
        <v>0.33333333333333331</v>
      </c>
      <c r="O16" s="68" t="s">
        <v>52</v>
      </c>
      <c r="P16" s="282">
        <v>1</v>
      </c>
      <c r="Q16" s="157"/>
      <c r="R16" s="157">
        <f>N16*P16*R2</f>
        <v>6.9999999999999993E-2</v>
      </c>
      <c r="S16" s="157"/>
      <c r="X16" s="212">
        <f t="shared" ref="X16:X24" si="7">N16</f>
        <v>0.33333333333333331</v>
      </c>
      <c r="Y16" s="68" t="s">
        <v>172</v>
      </c>
      <c r="Z16" s="282">
        <v>1</v>
      </c>
      <c r="AA16" s="157"/>
      <c r="AB16" s="157"/>
      <c r="AC16" s="157"/>
      <c r="AD16" s="157"/>
      <c r="AE16" s="157"/>
      <c r="AF16" s="157"/>
    </row>
    <row r="17" spans="1:32" x14ac:dyDescent="0.25">
      <c r="A17" t="str">
        <f>PLANTILLA!C13</f>
        <v>Julian Blanco</v>
      </c>
      <c r="B17">
        <f>PLANTILLA!D13</f>
        <v>24</v>
      </c>
      <c r="C17" s="135">
        <f ca="1">PLANTILLA!E13</f>
        <v>73</v>
      </c>
      <c r="D17" t="str">
        <f>PLANTILLA!F13</f>
        <v>TEC</v>
      </c>
      <c r="E17" s="68">
        <f>PLANTILLA!I13</f>
        <v>0.80274665510394982</v>
      </c>
      <c r="F17" s="66">
        <f>PLANTILLA!N13</f>
        <v>1.5</v>
      </c>
      <c r="G17" s="66">
        <f>PLANTILLA!V13</f>
        <v>0</v>
      </c>
      <c r="H17" s="66">
        <f>PLANTILLA!W13</f>
        <v>3</v>
      </c>
      <c r="I17" s="66">
        <f>PLANTILLA!X13</f>
        <v>6</v>
      </c>
      <c r="J17" s="66">
        <f>PLANTILLA!Y13</f>
        <v>2</v>
      </c>
      <c r="K17" s="66">
        <f>PLANTILLA!Z13</f>
        <v>3</v>
      </c>
      <c r="L17" s="66">
        <f>PLANTILLA!AA13</f>
        <v>2</v>
      </c>
      <c r="M17" s="66">
        <f>PLANTILLA!AB13</f>
        <v>4</v>
      </c>
      <c r="N17" s="212">
        <f>1/3</f>
        <v>0.33333333333333331</v>
      </c>
      <c r="O17" s="68" t="s">
        <v>52</v>
      </c>
      <c r="P17" s="282">
        <v>1</v>
      </c>
      <c r="Q17" s="157"/>
      <c r="R17" s="157">
        <f>N17*P17*R2</f>
        <v>6.9999999999999993E-2</v>
      </c>
      <c r="S17" s="157"/>
      <c r="X17" s="212">
        <f t="shared" si="7"/>
        <v>0.33333333333333331</v>
      </c>
      <c r="Y17" s="68" t="s">
        <v>52</v>
      </c>
      <c r="Z17" s="282">
        <v>1</v>
      </c>
      <c r="AA17" s="157"/>
      <c r="AB17" s="157">
        <f t="shared" ref="AB17" si="8">R17</f>
        <v>6.9999999999999993E-2</v>
      </c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54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212"/>
      <c r="O18" s="68" t="s">
        <v>55</v>
      </c>
      <c r="P18" s="282"/>
      <c r="Q18" s="157"/>
      <c r="R18" s="157"/>
      <c r="S18" s="157"/>
      <c r="X18" s="212"/>
      <c r="Y18" s="68" t="s">
        <v>54</v>
      </c>
      <c r="Z18" s="282"/>
      <c r="AA18" s="157"/>
      <c r="AB18" s="157"/>
      <c r="AC18" s="157"/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105</v>
      </c>
      <c r="D19">
        <f>PLANTILLA!F20</f>
        <v>0</v>
      </c>
      <c r="E19" s="68">
        <f>PLANTILLA!I20</f>
        <v>0.63616167295954995</v>
      </c>
      <c r="F19" s="66">
        <f ca="1">PLANTILLA!N20</f>
        <v>1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212"/>
      <c r="O19" s="68" t="s">
        <v>55</v>
      </c>
      <c r="P19" s="282"/>
      <c r="Q19" s="157"/>
      <c r="R19" s="157"/>
      <c r="S19" s="157"/>
      <c r="X19" s="212"/>
      <c r="Y19" s="68" t="s">
        <v>193</v>
      </c>
      <c r="Z19" s="282"/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20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212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26</v>
      </c>
      <c r="C21" s="135">
        <f ca="1">PLANTILLA!E22</f>
        <v>1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212">
        <f>1/6</f>
        <v>0.16666666666666666</v>
      </c>
      <c r="O21" s="68" t="s">
        <v>10</v>
      </c>
      <c r="P21" s="282">
        <v>1</v>
      </c>
      <c r="Q21" s="157"/>
      <c r="R21" s="157">
        <f t="shared" ref="R21" si="9">$N$21*$P$21*R7</f>
        <v>0.16666666666666666</v>
      </c>
      <c r="S21" s="157">
        <f>N21*P21*Q7</f>
        <v>4.5999999999999999E-2</v>
      </c>
      <c r="X21" s="212">
        <f t="shared" si="7"/>
        <v>0.16666666666666666</v>
      </c>
      <c r="Y21" s="68" t="s">
        <v>185</v>
      </c>
      <c r="Z21" s="282">
        <v>1</v>
      </c>
      <c r="AA21" s="157"/>
      <c r="AB21" s="157">
        <f>X21*Z21*AB8</f>
        <v>9.1999999999999998E-2</v>
      </c>
      <c r="AC21" s="157">
        <f>X21*Z21*AC8</f>
        <v>0.10116666666666665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12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212">
        <f>1/6</f>
        <v>0.16666666666666666</v>
      </c>
      <c r="O22" s="2" t="s">
        <v>10</v>
      </c>
      <c r="P22" s="282">
        <v>1</v>
      </c>
      <c r="Q22" s="157">
        <f>N22*P22*Q7/2</f>
        <v>2.3E-2</v>
      </c>
      <c r="R22" s="157">
        <f t="shared" ref="R22" si="10">$N$22*$P$22*R7</f>
        <v>0.16666666666666666</v>
      </c>
      <c r="S22" s="157">
        <f>Q22</f>
        <v>2.3E-2</v>
      </c>
      <c r="X22" s="212">
        <f t="shared" si="7"/>
        <v>0.16666666666666666</v>
      </c>
      <c r="Y22" s="2" t="s">
        <v>10</v>
      </c>
      <c r="Z22" s="282">
        <v>1</v>
      </c>
      <c r="AA22" s="157">
        <f>Q22</f>
        <v>2.3E-2</v>
      </c>
      <c r="AB22" s="157">
        <f t="shared" ref="AB22:AC22" si="11">R22</f>
        <v>0.16666666666666666</v>
      </c>
      <c r="AC22" s="157">
        <f t="shared" si="11"/>
        <v>2.3E-2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212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212">
        <f>1/6</f>
        <v>0.16666666666666666</v>
      </c>
      <c r="O24" s="68" t="s">
        <v>10</v>
      </c>
      <c r="P24" s="282">
        <v>1</v>
      </c>
      <c r="Q24" s="157">
        <f>N24*P24*Q7</f>
        <v>4.5999999999999999E-2</v>
      </c>
      <c r="R24" s="157">
        <f t="shared" ref="R24" si="12">$N$24*$P$24*R7</f>
        <v>0.16666666666666666</v>
      </c>
      <c r="S24" s="157"/>
      <c r="X24" s="212">
        <f t="shared" si="7"/>
        <v>0.16666666666666666</v>
      </c>
      <c r="Y24" s="68" t="s">
        <v>10</v>
      </c>
      <c r="Z24" s="282">
        <v>1</v>
      </c>
      <c r="AA24" s="157">
        <f t="shared" ref="AA24:AB24" si="13">Q24</f>
        <v>4.5999999999999999E-2</v>
      </c>
      <c r="AB24" s="157">
        <f t="shared" si="13"/>
        <v>0.16666666666666666</v>
      </c>
      <c r="AC24" s="157"/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2"/>
  <sheetViews>
    <sheetView tabSelected="1" zoomScale="110" workbookViewId="0">
      <pane xSplit="6" ySplit="3" topLeftCell="G4" activePane="bottomRight" state="frozen"/>
      <selection pane="topRight"/>
      <selection pane="bottomLeft"/>
      <selection pane="bottomRight" activeCell="F11" sqref="F11"/>
    </sheetView>
  </sheetViews>
  <sheetFormatPr baseColWidth="10" defaultColWidth="10.7109375" defaultRowHeight="15" x14ac:dyDescent="0.25"/>
  <cols>
    <col min="1" max="1" width="4.7109375" style="18" customWidth="1"/>
    <col min="2" max="2" width="5" style="2" customWidth="1"/>
    <col min="3" max="3" width="24.28515625" bestFit="1" customWidth="1"/>
    <col min="4" max="4" width="5.5703125" customWidth="1"/>
    <col min="5" max="5" width="5" customWidth="1"/>
    <col min="6" max="6" width="4.5703125" customWidth="1"/>
    <col min="7" max="7" width="3.7109375" style="2" customWidth="1"/>
    <col min="8" max="8" width="4.42578125" customWidth="1"/>
    <col min="9" max="9" width="4.5703125" customWidth="1"/>
    <col min="10" max="11" width="4.7109375" customWidth="1"/>
    <col min="12" max="12" width="4.28515625" customWidth="1"/>
    <col min="13" max="13" width="5" customWidth="1"/>
    <col min="14" max="14" width="4.5703125" customWidth="1"/>
    <col min="15" max="15" width="4.140625" customWidth="1"/>
    <col min="16" max="17" width="6.28515625" customWidth="1"/>
    <col min="18" max="18" width="12.140625" bestFit="1" customWidth="1"/>
    <col min="19" max="20" width="10.5703125" bestFit="1" customWidth="1"/>
    <col min="21" max="21" width="7.5703125" customWidth="1"/>
    <col min="22" max="22" width="5.5703125" bestFit="1" customWidth="1"/>
    <col min="23" max="23" width="4.5703125" bestFit="1" customWidth="1"/>
    <col min="24" max="24" width="5.5703125" bestFit="1" customWidth="1"/>
    <col min="25" max="27" width="4.5703125" bestFit="1" customWidth="1"/>
    <col min="28" max="28" width="5.5703125" bestFit="1" customWidth="1"/>
    <col min="29" max="29" width="9.5703125" bestFit="1" customWidth="1"/>
    <col min="30" max="31" width="4.42578125" customWidth="1"/>
    <col min="32" max="33" width="5.140625" bestFit="1" customWidth="1"/>
    <col min="34" max="35" width="3.42578125" customWidth="1"/>
    <col min="36" max="36" width="5.28515625" customWidth="1"/>
    <col min="37" max="37" width="9.42578125" bestFit="1" customWidth="1"/>
    <col min="38" max="38" width="10.5703125" bestFit="1" customWidth="1"/>
    <col min="39" max="40" width="11.5703125" customWidth="1"/>
    <col min="1000" max="1001" width="8.7109375" customWidth="1"/>
  </cols>
  <sheetData>
    <row r="1" spans="1:38" x14ac:dyDescent="0.25">
      <c r="A1" s="19"/>
      <c r="B1" s="19"/>
      <c r="C1" s="21">
        <f ca="1">TODAY()</f>
        <v>44680</v>
      </c>
      <c r="D1" s="369">
        <v>43637</v>
      </c>
      <c r="E1" s="369"/>
      <c r="F1" s="369"/>
      <c r="G1" s="22"/>
      <c r="H1" s="23"/>
      <c r="I1" s="23"/>
      <c r="J1" s="22"/>
      <c r="K1" s="23"/>
      <c r="L1" s="22"/>
      <c r="M1" s="22"/>
      <c r="N1" s="22"/>
      <c r="O1" s="24"/>
      <c r="P1" s="22"/>
      <c r="Q1" s="22"/>
      <c r="R1" s="23"/>
      <c r="S1" s="23"/>
      <c r="T1" s="23"/>
      <c r="U1" s="23"/>
      <c r="V1" s="25"/>
      <c r="W1" s="23"/>
      <c r="X1" s="23"/>
      <c r="Y1" s="23"/>
      <c r="Z1" s="23"/>
      <c r="AA1" s="23"/>
      <c r="AB1" s="23"/>
      <c r="AC1" s="25"/>
      <c r="AD1" s="20"/>
      <c r="AE1" s="20"/>
      <c r="AF1" s="25"/>
      <c r="AG1" s="23"/>
      <c r="AH1" s="23"/>
      <c r="AI1" s="23"/>
      <c r="AJ1" s="23"/>
      <c r="AK1" s="22"/>
      <c r="AL1" s="20"/>
    </row>
    <row r="2" spans="1:38" x14ac:dyDescent="0.25">
      <c r="B2" s="19"/>
      <c r="C2" s="26"/>
      <c r="D2" s="24"/>
      <c r="E2" s="24"/>
      <c r="F2" s="18"/>
      <c r="G2" s="18"/>
      <c r="H2" s="27">
        <f>AVERAGE(H4:H23)</f>
        <v>3.7</v>
      </c>
      <c r="I2" s="24"/>
      <c r="J2" s="24"/>
      <c r="K2" s="18"/>
      <c r="L2" s="27">
        <f>AVERAGE(L4:L23)</f>
        <v>5.625</v>
      </c>
      <c r="M2" s="24"/>
      <c r="N2" s="24"/>
      <c r="O2" s="27">
        <f>AVERAGE(O4:O23)</f>
        <v>4.75</v>
      </c>
      <c r="P2" s="28">
        <f>AVERAGE(P4:P23)</f>
        <v>0.81585073188751722</v>
      </c>
      <c r="Q2" s="28">
        <f>AVERAGE(Q4:Q23)</f>
        <v>0.89291330754738285</v>
      </c>
      <c r="R2" s="29">
        <f>AVERAGE(R4:R23)</f>
        <v>1463.5</v>
      </c>
      <c r="S2" s="29">
        <f>AVERAGE(S4:S23)</f>
        <v>89</v>
      </c>
      <c r="T2" s="29">
        <f>AVERAGE(T4:T23)</f>
        <v>581.5</v>
      </c>
      <c r="U2" s="30"/>
      <c r="V2" s="30"/>
      <c r="W2" s="30"/>
      <c r="X2" s="30"/>
      <c r="Y2" s="30"/>
      <c r="Z2" s="30"/>
      <c r="AA2" s="30"/>
      <c r="AB2" s="30"/>
      <c r="AC2" s="31">
        <f>AVERAGE(AC4:AC23)</f>
        <v>364.7</v>
      </c>
      <c r="AD2" s="18"/>
      <c r="AE2" s="18"/>
      <c r="AF2" s="30"/>
      <c r="AG2" s="30"/>
      <c r="AH2" s="18"/>
      <c r="AI2" s="18"/>
      <c r="AJ2" s="18"/>
      <c r="AK2" s="24"/>
      <c r="AL2" s="18"/>
    </row>
    <row r="3" spans="1:38" x14ac:dyDescent="0.25">
      <c r="A3" s="32" t="s">
        <v>197</v>
      </c>
      <c r="B3" s="32" t="s">
        <v>15</v>
      </c>
      <c r="C3" s="33" t="s">
        <v>16</v>
      </c>
      <c r="D3" s="32" t="s">
        <v>17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22</v>
      </c>
      <c r="J3" s="34" t="s">
        <v>23</v>
      </c>
      <c r="K3" s="34" t="s">
        <v>24</v>
      </c>
      <c r="L3" s="32" t="s">
        <v>25</v>
      </c>
      <c r="M3" s="32" t="s">
        <v>26</v>
      </c>
      <c r="N3" s="32" t="s">
        <v>27</v>
      </c>
      <c r="O3" s="32" t="s">
        <v>28</v>
      </c>
      <c r="P3" s="35" t="s">
        <v>29</v>
      </c>
      <c r="Q3" s="35" t="s">
        <v>30</v>
      </c>
      <c r="R3" s="32" t="s">
        <v>31</v>
      </c>
      <c r="S3" s="32" t="s">
        <v>32</v>
      </c>
      <c r="T3" s="32" t="s">
        <v>33</v>
      </c>
      <c r="U3" s="32" t="s">
        <v>34</v>
      </c>
      <c r="V3" s="32" t="s">
        <v>35</v>
      </c>
      <c r="W3" s="32" t="s">
        <v>36</v>
      </c>
      <c r="X3" s="32" t="s">
        <v>37</v>
      </c>
      <c r="Y3" s="32" t="s">
        <v>38</v>
      </c>
      <c r="Z3" s="32" t="s">
        <v>39</v>
      </c>
      <c r="AA3" s="32" t="s">
        <v>40</v>
      </c>
      <c r="AB3" s="32" t="s">
        <v>19</v>
      </c>
      <c r="AC3" s="32" t="s">
        <v>41</v>
      </c>
      <c r="AD3" s="36" t="s">
        <v>42</v>
      </c>
      <c r="AE3" s="36" t="s">
        <v>43</v>
      </c>
      <c r="AF3" s="36" t="s">
        <v>44</v>
      </c>
      <c r="AG3" s="36" t="s">
        <v>45</v>
      </c>
      <c r="AH3" s="32" t="s">
        <v>46</v>
      </c>
      <c r="AI3" s="32" t="s">
        <v>47</v>
      </c>
      <c r="AJ3" s="32" t="s">
        <v>48</v>
      </c>
      <c r="AK3" s="32" t="s">
        <v>294</v>
      </c>
      <c r="AL3" s="39" t="s">
        <v>57</v>
      </c>
    </row>
    <row r="4" spans="1:38" x14ac:dyDescent="0.25">
      <c r="A4" s="40" t="s">
        <v>58</v>
      </c>
      <c r="B4" s="294" t="s">
        <v>9</v>
      </c>
      <c r="C4" s="363" t="s">
        <v>263</v>
      </c>
      <c r="D4" s="42">
        <v>22</v>
      </c>
      <c r="E4" s="43">
        <f ca="1">$C$1-43606-112-112-112-112-112-112-112-112-59-112</f>
        <v>7</v>
      </c>
      <c r="F4" s="44"/>
      <c r="G4" s="353">
        <v>3</v>
      </c>
      <c r="H4" s="46">
        <v>2</v>
      </c>
      <c r="I4" s="47">
        <f t="shared" ref="I4:I23" si="0">LOG(H4+1)*4/3</f>
        <v>0.63616167295954995</v>
      </c>
      <c r="J4" s="48">
        <f t="shared" ref="J4:J23" si="1">(G4)*(G4)*(H4)</f>
        <v>18</v>
      </c>
      <c r="K4" s="48">
        <f t="shared" ref="K4:K23" si="2">(G4+1)*(G4+1)*H4</f>
        <v>32</v>
      </c>
      <c r="L4" s="210">
        <v>6</v>
      </c>
      <c r="M4" s="49">
        <f t="shared" ref="M4:M23" si="3">L4*10+19</f>
        <v>79</v>
      </c>
      <c r="N4" s="50">
        <v>1.5</v>
      </c>
      <c r="O4" s="49">
        <v>5</v>
      </c>
      <c r="P4" s="51">
        <f t="shared" ref="P4:P23" si="4">(O4/7)^0.5</f>
        <v>0.84515425472851657</v>
      </c>
      <c r="Q4" s="51">
        <f t="shared" ref="Q4:Q23" si="5">IF(O4=7,1,((O4+0.99)/7)^0.5)</f>
        <v>0.92504826128926143</v>
      </c>
      <c r="R4" s="199">
        <v>5320</v>
      </c>
      <c r="S4" s="179">
        <f t="shared" ref="S4:S23" si="6">R4-AL4</f>
        <v>460</v>
      </c>
      <c r="T4" s="52">
        <v>1510</v>
      </c>
      <c r="U4" s="53">
        <f t="shared" ref="U4:U24" si="7">R4/T4</f>
        <v>3.5231788079470197</v>
      </c>
      <c r="V4" s="168">
        <v>7</v>
      </c>
      <c r="W4" s="168">
        <v>1</v>
      </c>
      <c r="X4" s="168">
        <v>0</v>
      </c>
      <c r="Y4" s="168">
        <v>0</v>
      </c>
      <c r="Z4" s="168">
        <v>0</v>
      </c>
      <c r="AA4" s="168">
        <v>0</v>
      </c>
      <c r="AB4" s="168">
        <v>5</v>
      </c>
      <c r="AC4" s="31">
        <v>175</v>
      </c>
      <c r="AD4" s="54">
        <f t="shared" ref="AD4:AD9" si="8">(X4+N4+I4)*(O4/7)^0.5</f>
        <v>1.8053861266897495</v>
      </c>
      <c r="AE4" s="54">
        <f t="shared" ref="AE4:AE9" si="9">(X4+N4+I4)*(IF(O4=7,(O4/7)^0.5,((O4+1)/7)^0.5))</f>
        <v>1.9777014131897108</v>
      </c>
      <c r="AF4" s="270">
        <f t="shared" ref="AF4:AF9" si="10">(((W4+N4+I4)+(Z4+N4+I4)*2)/8)*(O4/7)^0.5</f>
        <v>0.7826640793497206</v>
      </c>
      <c r="AG4" s="270">
        <f t="shared" ref="AG4:AG9" si="11">((AB4+I4+N4)*0.7+(AA4+I4+N4)*0.3)*(O4/7)^0.5</f>
        <v>4.7634260182395565</v>
      </c>
      <c r="AH4" s="49"/>
      <c r="AI4" s="49"/>
      <c r="AJ4" s="51">
        <f t="shared" ref="AJ4:AJ23" si="12">IF(AH4=4,IF(AI4=0,0.137+0.0697,0.137+0.02),IF(AH4=3,IF(AI4=0,0.0958+0.0697,0.0958+0.02),IF(AH4=2,IF(AI4=0,0.0415+0.0697,0.0415+0.02),IF(AH4=1,IF(AI4=0,0.0294+0.0697,0.0294+0.02),IF(AH4=0,IF(AI4=0,0.0063+0.0697,0.0063+0.02))))))</f>
        <v>7.5999999999999998E-2</v>
      </c>
      <c r="AK4" s="58"/>
      <c r="AL4" s="199">
        <v>4860</v>
      </c>
    </row>
    <row r="5" spans="1:38" x14ac:dyDescent="0.25">
      <c r="A5" s="200" t="s">
        <v>291</v>
      </c>
      <c r="B5" s="295" t="s">
        <v>9</v>
      </c>
      <c r="C5" s="364" t="s">
        <v>292</v>
      </c>
      <c r="D5" s="169">
        <v>20</v>
      </c>
      <c r="E5" s="170">
        <f ca="1">$C$1-44498-39-21-112</f>
        <v>10</v>
      </c>
      <c r="F5" s="171"/>
      <c r="G5" s="354">
        <v>1</v>
      </c>
      <c r="H5" s="172">
        <v>0</v>
      </c>
      <c r="I5" s="47">
        <f t="shared" ref="I5" si="13">LOG(H5+1)*4/3</f>
        <v>0</v>
      </c>
      <c r="J5" s="48">
        <f t="shared" ref="J5" si="14">(G5)*(G5)*(H5)</f>
        <v>0</v>
      </c>
      <c r="K5" s="48">
        <f t="shared" ref="K5" si="15">(G5+1)*(G5+1)*H5</f>
        <v>0</v>
      </c>
      <c r="L5" s="210">
        <v>6</v>
      </c>
      <c r="M5" s="49">
        <f t="shared" ref="M5" si="16">L5*10+19</f>
        <v>79</v>
      </c>
      <c r="N5" s="176">
        <f ca="1">IF((TODAY()-AK5)&gt;335,1,((TODAY()-AK5)^0.64)/(336^0.64))</f>
        <v>0.21305928511808678</v>
      </c>
      <c r="O5" s="49">
        <v>4</v>
      </c>
      <c r="P5" s="51">
        <f t="shared" ref="P5" si="17">(O5/7)^0.5</f>
        <v>0.7559289460184544</v>
      </c>
      <c r="Q5" s="51">
        <f t="shared" ref="Q5" si="18">IF(O5=7,1,((O5+0.99)/7)^0.5)</f>
        <v>0.84430867747355465</v>
      </c>
      <c r="R5" s="214">
        <v>4900</v>
      </c>
      <c r="S5" s="179">
        <f t="shared" si="6"/>
        <v>600</v>
      </c>
      <c r="T5" s="178">
        <v>1450</v>
      </c>
      <c r="U5" s="53">
        <f t="shared" si="7"/>
        <v>3.3793103448275863</v>
      </c>
      <c r="V5" s="168">
        <v>7</v>
      </c>
      <c r="W5" s="168">
        <v>2</v>
      </c>
      <c r="X5" s="168">
        <v>0</v>
      </c>
      <c r="Y5" s="168">
        <v>0</v>
      </c>
      <c r="Z5" s="168">
        <v>0</v>
      </c>
      <c r="AA5" s="168">
        <v>1</v>
      </c>
      <c r="AB5" s="168">
        <v>1</v>
      </c>
      <c r="AC5" s="181">
        <v>190</v>
      </c>
      <c r="AD5" s="54">
        <f t="shared" ref="AD5" ca="1" si="19">(X5+N5+I5)*(O5/7)^0.5</f>
        <v>0.16105768083876071</v>
      </c>
      <c r="AE5" s="54">
        <f t="shared" ref="AE5" ca="1" si="20">(X5+N5+I5)*(IF(O5=7,(O5/7)^0.5,((O5+1)/7)^0.5))</f>
        <v>0.18006796132696715</v>
      </c>
      <c r="AF5" s="270">
        <f t="shared" ref="AF5" ca="1" si="21">(((W5+N5+I5)+(Z5+N5+I5)*2)/8)*(O5/7)^0.5</f>
        <v>0.24937886681914886</v>
      </c>
      <c r="AG5" s="270">
        <f t="shared" ref="AG5" ca="1" si="22">((AB5+I5+N5)*0.7+(AA5+I5+N5)*0.3)*(O5/7)^0.5</f>
        <v>0.9169866268572151</v>
      </c>
      <c r="AH5" s="49">
        <v>4</v>
      </c>
      <c r="AI5" s="49">
        <v>2</v>
      </c>
      <c r="AJ5" s="51">
        <f t="shared" ref="AJ5" si="23">IF(AH5=4,IF(AI5=0,0.137+0.0697,0.137+0.02),IF(AH5=3,IF(AI5=0,0.0958+0.0697,0.0958+0.02),IF(AH5=2,IF(AI5=0,0.0415+0.0697,0.0415+0.02),IF(AH5=1,IF(AI5=0,0.0294+0.0697,0.0294+0.02),IF(AH5=0,IF(AI5=0,0.0063+0.0697,0.0063+0.02))))))</f>
        <v>0.157</v>
      </c>
      <c r="AK5" s="58">
        <v>44650</v>
      </c>
      <c r="AL5" s="214">
        <v>4300</v>
      </c>
    </row>
    <row r="6" spans="1:38" x14ac:dyDescent="0.25">
      <c r="A6" s="40" t="s">
        <v>77</v>
      </c>
      <c r="B6" s="294" t="s">
        <v>62</v>
      </c>
      <c r="C6" s="293" t="s">
        <v>270</v>
      </c>
      <c r="D6" s="42">
        <v>31</v>
      </c>
      <c r="E6" s="43">
        <f ca="1">$C$1-43885-112-112-112-112-112-112-67</f>
        <v>56</v>
      </c>
      <c r="F6" s="44"/>
      <c r="G6" s="353">
        <v>1</v>
      </c>
      <c r="H6" s="46">
        <v>5</v>
      </c>
      <c r="I6" s="47">
        <f t="shared" ref="I6:I10" si="24">LOG(H6+1)*4/3</f>
        <v>1.0375350005115249</v>
      </c>
      <c r="J6" s="48">
        <f t="shared" ref="J6:J10" si="25">(G6)*(G6)*(H6)</f>
        <v>5</v>
      </c>
      <c r="K6" s="48">
        <f t="shared" ref="K6:K10" si="26">(G6+1)*(G6+1)*H6</f>
        <v>20</v>
      </c>
      <c r="L6" s="210">
        <v>5.9</v>
      </c>
      <c r="M6" s="49">
        <f t="shared" ref="M6:M10" si="27">L6*10+19</f>
        <v>78</v>
      </c>
      <c r="N6" s="50">
        <v>1.5</v>
      </c>
      <c r="O6" s="49">
        <v>4</v>
      </c>
      <c r="P6" s="51">
        <f t="shared" ref="P6:P10" si="28">(O6/7)^0.5</f>
        <v>0.7559289460184544</v>
      </c>
      <c r="Q6" s="51">
        <f t="shared" ref="Q6:Q10" si="29">IF(O6=7,1,((O6+0.99)/7)^0.5)</f>
        <v>0.84430867747355465</v>
      </c>
      <c r="R6" s="199">
        <v>950</v>
      </c>
      <c r="S6" s="179">
        <f t="shared" si="6"/>
        <v>0</v>
      </c>
      <c r="T6" s="52">
        <v>320</v>
      </c>
      <c r="U6" s="53">
        <f t="shared" ref="U6:U10" si="30">R6/T6</f>
        <v>2.96875</v>
      </c>
      <c r="V6" s="168">
        <v>0</v>
      </c>
      <c r="W6" s="168">
        <v>5</v>
      </c>
      <c r="X6" s="168">
        <v>5</v>
      </c>
      <c r="Y6" s="168">
        <v>4</v>
      </c>
      <c r="Z6" s="168">
        <v>5</v>
      </c>
      <c r="AA6" s="168">
        <v>2</v>
      </c>
      <c r="AB6" s="168">
        <v>4</v>
      </c>
      <c r="AC6" s="31">
        <v>475</v>
      </c>
      <c r="AD6" s="54">
        <f t="shared" si="8"/>
        <v>5.6978408885138876</v>
      </c>
      <c r="AE6" s="54">
        <f t="shared" si="9"/>
        <v>6.370379775847427</v>
      </c>
      <c r="AF6" s="270">
        <f t="shared" si="10"/>
        <v>2.1366903331927078</v>
      </c>
      <c r="AG6" s="270">
        <f t="shared" si="11"/>
        <v>4.4883545748843607</v>
      </c>
      <c r="AH6" s="49"/>
      <c r="AI6" s="49"/>
      <c r="AJ6" s="51">
        <f t="shared" ref="AJ6:AJ10" si="31">IF(AH6=4,IF(AI6=0,0.137+0.0697,0.137+0.02),IF(AH6=3,IF(AI6=0,0.0958+0.0697,0.0958+0.02),IF(AH6=2,IF(AI6=0,0.0415+0.0697,0.0415+0.02),IF(AH6=1,IF(AI6=0,0.0294+0.0697,0.0294+0.02),IF(AH6=0,IF(AI6=0,0.0063+0.0697,0.0063+0.02))))))</f>
        <v>7.5999999999999998E-2</v>
      </c>
      <c r="AK6" s="58"/>
      <c r="AL6" s="199">
        <v>950</v>
      </c>
    </row>
    <row r="7" spans="1:38" x14ac:dyDescent="0.25">
      <c r="A7" s="200" t="s">
        <v>245</v>
      </c>
      <c r="B7" s="295" t="s">
        <v>62</v>
      </c>
      <c r="C7" s="293" t="s">
        <v>268</v>
      </c>
      <c r="D7" s="169">
        <v>27</v>
      </c>
      <c r="E7" s="170">
        <f ca="1">$C$1-44498-39-22-112</f>
        <v>9</v>
      </c>
      <c r="F7" s="171"/>
      <c r="G7" s="354">
        <v>0</v>
      </c>
      <c r="H7" s="172">
        <v>3</v>
      </c>
      <c r="I7" s="173">
        <f>LOG(H7+1)*4/3</f>
        <v>0.80274665510394982</v>
      </c>
      <c r="J7" s="174">
        <f>(G7)*(G7)*(H7)</f>
        <v>0</v>
      </c>
      <c r="K7" s="174">
        <f t="shared" si="26"/>
        <v>3</v>
      </c>
      <c r="L7" s="211">
        <v>5.5</v>
      </c>
      <c r="M7" s="175">
        <f>L7*10+19</f>
        <v>74</v>
      </c>
      <c r="N7" s="176">
        <v>1.5</v>
      </c>
      <c r="O7" s="175">
        <v>6</v>
      </c>
      <c r="P7" s="177">
        <f>(O7/7)^0.5</f>
        <v>0.92582009977255142</v>
      </c>
      <c r="Q7" s="177">
        <f>IF(O7=7,1,((O7+0.99)/7)^0.5)</f>
        <v>0.99928545900129484</v>
      </c>
      <c r="R7" s="178">
        <v>1250</v>
      </c>
      <c r="S7" s="179">
        <f t="shared" si="6"/>
        <v>40</v>
      </c>
      <c r="T7" s="178">
        <v>390</v>
      </c>
      <c r="U7" s="180">
        <f>R7/T7</f>
        <v>3.2051282051282053</v>
      </c>
      <c r="V7" s="168">
        <v>0</v>
      </c>
      <c r="W7" s="168">
        <v>6</v>
      </c>
      <c r="X7" s="168">
        <v>3</v>
      </c>
      <c r="Y7" s="168">
        <v>4</v>
      </c>
      <c r="Z7" s="168">
        <v>3</v>
      </c>
      <c r="AA7" s="168">
        <v>0</v>
      </c>
      <c r="AB7" s="168">
        <v>4</v>
      </c>
      <c r="AC7" s="181">
        <v>364</v>
      </c>
      <c r="AD7" s="54">
        <f t="shared" si="8"/>
        <v>4.9093894372969018</v>
      </c>
      <c r="AE7" s="54">
        <f t="shared" si="9"/>
        <v>5.3027466551039497</v>
      </c>
      <c r="AF7" s="270">
        <f t="shared" si="10"/>
        <v>2.1882035764010452</v>
      </c>
      <c r="AG7" s="270">
        <f t="shared" si="11"/>
        <v>4.7242254173423914</v>
      </c>
      <c r="AH7" s="175"/>
      <c r="AI7" s="175"/>
      <c r="AJ7" s="177">
        <f t="shared" si="31"/>
        <v>7.5999999999999998E-2</v>
      </c>
      <c r="AK7" s="182"/>
      <c r="AL7" s="178">
        <v>1210</v>
      </c>
    </row>
    <row r="8" spans="1:38" x14ac:dyDescent="0.25">
      <c r="A8" s="200" t="s">
        <v>242</v>
      </c>
      <c r="B8" s="295" t="s">
        <v>63</v>
      </c>
      <c r="C8" s="293" t="s">
        <v>269</v>
      </c>
      <c r="D8" s="169">
        <v>30</v>
      </c>
      <c r="E8" s="170">
        <f ca="1">$C$1-43606-784-112-114</f>
        <v>64</v>
      </c>
      <c r="F8" s="171" t="s">
        <v>60</v>
      </c>
      <c r="G8" s="354">
        <v>0</v>
      </c>
      <c r="H8" s="172">
        <v>4</v>
      </c>
      <c r="I8" s="173">
        <f>LOG(H8+1)*4/3</f>
        <v>0.93196000578135851</v>
      </c>
      <c r="J8" s="174">
        <f>(G8)*(G8)*(H8)</f>
        <v>0</v>
      </c>
      <c r="K8" s="174">
        <f>(G8+1)*(G8+1)*H8</f>
        <v>4</v>
      </c>
      <c r="L8" s="211">
        <v>6</v>
      </c>
      <c r="M8" s="175">
        <f>L8*10+19</f>
        <v>79</v>
      </c>
      <c r="N8" s="176">
        <v>1.5</v>
      </c>
      <c r="O8" s="175">
        <v>6</v>
      </c>
      <c r="P8" s="51">
        <f>(O8/7)^0.5</f>
        <v>0.92582009977255142</v>
      </c>
      <c r="Q8" s="51">
        <f>IF(O8=7,1,((O8+0.99)/7)^0.5)</f>
        <v>0.99928545900129484</v>
      </c>
      <c r="R8" s="178">
        <v>300</v>
      </c>
      <c r="S8" s="179">
        <f t="shared" si="6"/>
        <v>0</v>
      </c>
      <c r="T8" s="178">
        <v>280</v>
      </c>
      <c r="U8" s="53">
        <f>R8/T8</f>
        <v>1.0714285714285714</v>
      </c>
      <c r="V8" s="168">
        <v>0</v>
      </c>
      <c r="W8" s="168">
        <v>5</v>
      </c>
      <c r="X8" s="168">
        <v>4</v>
      </c>
      <c r="Y8" s="168">
        <v>2</v>
      </c>
      <c r="Z8" s="168">
        <v>1</v>
      </c>
      <c r="AA8" s="168">
        <v>0</v>
      </c>
      <c r="AB8" s="168">
        <v>6</v>
      </c>
      <c r="AC8" s="181">
        <v>291</v>
      </c>
      <c r="AD8" s="54">
        <f>(X8+N8+I8)*(O8/7)^0.5</f>
        <v>5.9548378542855582</v>
      </c>
      <c r="AE8" s="54">
        <f>(X8+N8+I8)*(IF(O8=7,(O8/7)^0.5,((O8+1)/7)^0.5))</f>
        <v>6.4319600057813586</v>
      </c>
      <c r="AF8" s="270">
        <f>(((W8+N8+I8)+(Z8+N8+I8)*2)/8)*(O8/7)^0.5</f>
        <v>1.6544266329992394</v>
      </c>
      <c r="AG8" s="270">
        <f>((AB8+I8+N8)*0.7+(AA8+I8+N8)*0.3)*(O8/7)^0.5</f>
        <v>6.1400018742400686</v>
      </c>
      <c r="AH8" s="175"/>
      <c r="AI8" s="175"/>
      <c r="AJ8" s="51">
        <f>IF(AH8=4,IF(AI8=0,0.137+0.0697,0.137+0.02),IF(AH8=3,IF(AI8=0,0.0958+0.0697,0.0958+0.02),IF(AH8=2,IF(AI8=0,0.0415+0.0697,0.0415+0.02),IF(AH8=1,IF(AI8=0,0.0294+0.0697,0.0294+0.02),IF(AH8=0,IF(AI8=0,0.0063+0.0697,0.0063+0.02))))))</f>
        <v>7.5999999999999998E-2</v>
      </c>
      <c r="AK8" s="182"/>
      <c r="AL8" s="178">
        <v>300</v>
      </c>
    </row>
    <row r="9" spans="1:38" x14ac:dyDescent="0.25">
      <c r="A9" s="200" t="s">
        <v>170</v>
      </c>
      <c r="B9" s="295" t="s">
        <v>63</v>
      </c>
      <c r="C9" s="293" t="s">
        <v>259</v>
      </c>
      <c r="D9" s="169">
        <v>18</v>
      </c>
      <c r="E9" s="170">
        <f ca="1">$C$1-44172-112-112-112-81</f>
        <v>91</v>
      </c>
      <c r="F9" s="171" t="s">
        <v>61</v>
      </c>
      <c r="G9" s="354">
        <v>2</v>
      </c>
      <c r="H9" s="172">
        <v>1</v>
      </c>
      <c r="I9" s="173">
        <f t="shared" si="24"/>
        <v>0.40137332755197491</v>
      </c>
      <c r="J9" s="174">
        <f t="shared" si="25"/>
        <v>4</v>
      </c>
      <c r="K9" s="174">
        <f t="shared" si="26"/>
        <v>9</v>
      </c>
      <c r="L9" s="211">
        <v>5.7</v>
      </c>
      <c r="M9" s="175">
        <f t="shared" si="27"/>
        <v>76</v>
      </c>
      <c r="N9" s="176">
        <v>1.5</v>
      </c>
      <c r="O9" s="175">
        <v>2</v>
      </c>
      <c r="P9" s="177">
        <f t="shared" si="28"/>
        <v>0.53452248382484879</v>
      </c>
      <c r="Q9" s="177">
        <f t="shared" si="29"/>
        <v>0.65356167049702141</v>
      </c>
      <c r="R9" s="214">
        <v>650</v>
      </c>
      <c r="S9" s="179">
        <f t="shared" si="6"/>
        <v>-40</v>
      </c>
      <c r="T9" s="178">
        <v>390</v>
      </c>
      <c r="U9" s="180">
        <f t="shared" si="30"/>
        <v>1.6666666666666667</v>
      </c>
      <c r="V9" s="168">
        <v>0</v>
      </c>
      <c r="W9" s="168">
        <v>6</v>
      </c>
      <c r="X9" s="168">
        <v>2</v>
      </c>
      <c r="Y9" s="168">
        <v>2</v>
      </c>
      <c r="Z9" s="168">
        <v>4</v>
      </c>
      <c r="AA9" s="168">
        <v>1</v>
      </c>
      <c r="AB9" s="168">
        <v>4</v>
      </c>
      <c r="AC9" s="181">
        <v>343</v>
      </c>
      <c r="AD9" s="54">
        <f t="shared" si="8"/>
        <v>2.0853717613710971</v>
      </c>
      <c r="AE9" s="54">
        <f t="shared" si="9"/>
        <v>2.5540483696840952</v>
      </c>
      <c r="AF9" s="271">
        <f t="shared" si="10"/>
        <v>1.3165368943390101</v>
      </c>
      <c r="AG9" s="270">
        <f t="shared" si="11"/>
        <v>2.6733464935784306</v>
      </c>
      <c r="AH9" s="175"/>
      <c r="AI9" s="175"/>
      <c r="AJ9" s="177">
        <f t="shared" si="31"/>
        <v>7.5999999999999998E-2</v>
      </c>
      <c r="AK9" s="182"/>
      <c r="AL9" s="214">
        <v>690</v>
      </c>
    </row>
    <row r="10" spans="1:38" x14ac:dyDescent="0.25">
      <c r="A10" s="200" t="s">
        <v>64</v>
      </c>
      <c r="B10" s="295" t="s">
        <v>63</v>
      </c>
      <c r="C10" s="361" t="s">
        <v>293</v>
      </c>
      <c r="D10" s="169">
        <v>32</v>
      </c>
      <c r="E10" s="170">
        <f ca="1">$C$1-44498-39-23-112</f>
        <v>8</v>
      </c>
      <c r="F10" s="171"/>
      <c r="G10" s="354">
        <v>4</v>
      </c>
      <c r="H10" s="172">
        <v>4</v>
      </c>
      <c r="I10" s="173">
        <f t="shared" si="24"/>
        <v>0.93196000578135851</v>
      </c>
      <c r="J10" s="174">
        <f t="shared" si="25"/>
        <v>64</v>
      </c>
      <c r="K10" s="174">
        <f t="shared" si="26"/>
        <v>100</v>
      </c>
      <c r="L10" s="211">
        <v>5.2</v>
      </c>
      <c r="M10" s="175">
        <f t="shared" si="27"/>
        <v>71</v>
      </c>
      <c r="N10" s="176">
        <f ca="1">IF((TODAY()-AK10)&gt;335,1,((TODAY()-AK10)^0.64)/(336^0.64))</f>
        <v>7.6060585239192346E-2</v>
      </c>
      <c r="O10" s="175">
        <v>3</v>
      </c>
      <c r="P10" s="177">
        <f t="shared" si="28"/>
        <v>0.65465367070797709</v>
      </c>
      <c r="Q10" s="177">
        <f t="shared" si="29"/>
        <v>0.75498344352707503</v>
      </c>
      <c r="R10" s="178">
        <v>1680</v>
      </c>
      <c r="S10" s="179">
        <f t="shared" si="6"/>
        <v>460</v>
      </c>
      <c r="T10" s="178">
        <v>910</v>
      </c>
      <c r="U10" s="180">
        <f t="shared" si="30"/>
        <v>1.8461538461538463</v>
      </c>
      <c r="V10" s="168">
        <v>0</v>
      </c>
      <c r="W10" s="168">
        <v>6</v>
      </c>
      <c r="X10" s="168">
        <v>8</v>
      </c>
      <c r="Y10" s="168">
        <v>2</v>
      </c>
      <c r="Z10" s="168">
        <v>2</v>
      </c>
      <c r="AA10" s="168">
        <v>1</v>
      </c>
      <c r="AB10" s="168">
        <v>3</v>
      </c>
      <c r="AC10" s="181">
        <v>490</v>
      </c>
      <c r="AD10" s="54">
        <f t="shared" ref="AD10:AD17" ca="1" si="32">(X10+N10+I10)*(O10/7)^0.5</f>
        <v>5.897133745724644</v>
      </c>
      <c r="AE10" s="54">
        <f t="shared" ref="AE10:AE17" ca="1" si="33">(X10+N10+I10)*(IF(O10=7,(O10/7)^0.5,((O10+1)/7)^0.5))</f>
        <v>6.8094235110826986</v>
      </c>
      <c r="AF10" s="270">
        <f t="shared" ref="AF10:AF17" ca="1" si="34">(((W10+N10+I10)+(Z10+N10+I10)*2)/8)*(O10/7)^0.5</f>
        <v>1.0657812309077821</v>
      </c>
      <c r="AG10" s="270">
        <f t="shared" ref="AG10:AG17" ca="1" si="35">((AB10+I10+N10)*0.7+(AA10+I10+N10)*0.3)*(O10/7)^0.5</f>
        <v>2.2310731897599729</v>
      </c>
      <c r="AH10" s="175">
        <v>2</v>
      </c>
      <c r="AI10" s="175">
        <v>1</v>
      </c>
      <c r="AJ10" s="51">
        <f t="shared" si="31"/>
        <v>6.1499999999999999E-2</v>
      </c>
      <c r="AK10" s="182">
        <v>44674</v>
      </c>
      <c r="AL10" s="178">
        <v>1220</v>
      </c>
    </row>
    <row r="11" spans="1:38" x14ac:dyDescent="0.25">
      <c r="A11" s="59" t="s">
        <v>64</v>
      </c>
      <c r="B11" s="294" t="s">
        <v>13</v>
      </c>
      <c r="C11" s="293" t="s">
        <v>261</v>
      </c>
      <c r="D11" s="42">
        <v>19</v>
      </c>
      <c r="E11" s="43">
        <f ca="1">$C$1-43855-112-112-112-112-112-112-69</f>
        <v>84</v>
      </c>
      <c r="F11" s="44"/>
      <c r="G11" s="353">
        <v>4</v>
      </c>
      <c r="H11" s="46">
        <v>1</v>
      </c>
      <c r="I11" s="47">
        <f>LOG(H11+1)*4/3</f>
        <v>0.40137332755197491</v>
      </c>
      <c r="J11" s="48">
        <f>(G11)*(G11)*(H11)</f>
        <v>16</v>
      </c>
      <c r="K11" s="48">
        <f>(G11+1)*(G11+1)*H11</f>
        <v>25</v>
      </c>
      <c r="L11" s="210">
        <v>5</v>
      </c>
      <c r="M11" s="49">
        <f>L11*10+19</f>
        <v>69</v>
      </c>
      <c r="N11" s="50">
        <v>1.5</v>
      </c>
      <c r="O11" s="49">
        <v>7</v>
      </c>
      <c r="P11" s="51">
        <f>(O11/7)^0.5</f>
        <v>1</v>
      </c>
      <c r="Q11" s="51">
        <f>IF(O11=7,1,((O11+0.99)/7)^0.5)</f>
        <v>1</v>
      </c>
      <c r="R11" s="52">
        <v>1190</v>
      </c>
      <c r="S11" s="179">
        <f t="shared" si="6"/>
        <v>20</v>
      </c>
      <c r="T11" s="52">
        <v>330</v>
      </c>
      <c r="U11" s="53">
        <f>R11/T11</f>
        <v>3.606060606060606</v>
      </c>
      <c r="V11" s="168">
        <v>0</v>
      </c>
      <c r="W11" s="168">
        <v>3</v>
      </c>
      <c r="X11" s="168">
        <v>5</v>
      </c>
      <c r="Y11" s="168">
        <v>1</v>
      </c>
      <c r="Z11" s="168">
        <v>5</v>
      </c>
      <c r="AA11" s="168">
        <v>1</v>
      </c>
      <c r="AB11" s="168">
        <v>5</v>
      </c>
      <c r="AC11" s="31">
        <v>335</v>
      </c>
      <c r="AD11" s="54">
        <f t="shared" si="32"/>
        <v>6.9013733275519753</v>
      </c>
      <c r="AE11" s="54">
        <f t="shared" si="33"/>
        <v>6.9013733275519753</v>
      </c>
      <c r="AF11" s="270">
        <f t="shared" si="34"/>
        <v>2.3380149978319906</v>
      </c>
      <c r="AG11" s="270">
        <f t="shared" si="35"/>
        <v>5.7013733275519751</v>
      </c>
      <c r="AH11" s="49">
        <v>2</v>
      </c>
      <c r="AI11" s="49">
        <v>1</v>
      </c>
      <c r="AJ11" s="51">
        <f>IF(AH11=4,IF(AI11=0,0.137+0.0697,0.137+0.02),IF(AH11=3,IF(AI11=0,0.0958+0.0697,0.0958+0.02),IF(AH11=2,IF(AI11=0,0.0415+0.0697,0.0415+0.02),IF(AH11=1,IF(AI11=0,0.0294+0.0697,0.0294+0.02),IF(AH11=0,IF(AI11=0,0.0063+0.0697,0.0063+0.02))))))</f>
        <v>6.1499999999999999E-2</v>
      </c>
      <c r="AK11" s="58"/>
      <c r="AL11" s="52">
        <v>1170</v>
      </c>
    </row>
    <row r="12" spans="1:38" x14ac:dyDescent="0.25">
      <c r="A12" s="59" t="s">
        <v>168</v>
      </c>
      <c r="B12" s="295" t="s">
        <v>13</v>
      </c>
      <c r="C12" s="293" t="s">
        <v>265</v>
      </c>
      <c r="D12" s="169">
        <v>24</v>
      </c>
      <c r="E12" s="170">
        <f ca="1">$C$1-44049-112-112-112-112-112+60-112</f>
        <v>19</v>
      </c>
      <c r="F12" s="171" t="s">
        <v>60</v>
      </c>
      <c r="G12" s="354">
        <v>0</v>
      </c>
      <c r="H12" s="172">
        <v>2</v>
      </c>
      <c r="I12" s="173">
        <f t="shared" si="0"/>
        <v>0.63616167295954995</v>
      </c>
      <c r="J12" s="174">
        <f t="shared" si="1"/>
        <v>0</v>
      </c>
      <c r="K12" s="174">
        <f t="shared" si="2"/>
        <v>2</v>
      </c>
      <c r="L12" s="211">
        <v>6</v>
      </c>
      <c r="M12" s="175">
        <f t="shared" si="3"/>
        <v>79</v>
      </c>
      <c r="N12" s="176">
        <v>1.5</v>
      </c>
      <c r="O12" s="175">
        <v>7</v>
      </c>
      <c r="P12" s="177">
        <f t="shared" si="4"/>
        <v>1</v>
      </c>
      <c r="Q12" s="177">
        <f t="shared" si="5"/>
        <v>1</v>
      </c>
      <c r="R12" s="214">
        <v>1510</v>
      </c>
      <c r="S12" s="179">
        <f t="shared" si="6"/>
        <v>100</v>
      </c>
      <c r="T12" s="178">
        <v>430</v>
      </c>
      <c r="U12" s="180">
        <f t="shared" si="7"/>
        <v>3.5116279069767442</v>
      </c>
      <c r="V12" s="168">
        <v>0</v>
      </c>
      <c r="W12" s="168">
        <v>5</v>
      </c>
      <c r="X12" s="168">
        <v>6</v>
      </c>
      <c r="Y12" s="168">
        <v>1</v>
      </c>
      <c r="Z12" s="168">
        <v>2</v>
      </c>
      <c r="AA12" s="168">
        <v>0</v>
      </c>
      <c r="AB12" s="168">
        <v>3</v>
      </c>
      <c r="AC12" s="181">
        <v>342</v>
      </c>
      <c r="AD12" s="54">
        <f t="shared" si="32"/>
        <v>8.1361616729595507</v>
      </c>
      <c r="AE12" s="54">
        <f t="shared" si="33"/>
        <v>8.1361616729595507</v>
      </c>
      <c r="AF12" s="270">
        <f t="shared" si="34"/>
        <v>1.9260606273598313</v>
      </c>
      <c r="AG12" s="270">
        <f t="shared" si="35"/>
        <v>4.2361616729595495</v>
      </c>
      <c r="AH12" s="175">
        <v>0</v>
      </c>
      <c r="AI12" s="175">
        <v>2</v>
      </c>
      <c r="AJ12" s="177">
        <f t="shared" si="12"/>
        <v>2.63E-2</v>
      </c>
      <c r="AK12" s="182"/>
      <c r="AL12" s="214">
        <v>1410</v>
      </c>
    </row>
    <row r="13" spans="1:38" x14ac:dyDescent="0.25">
      <c r="A13" s="40" t="s">
        <v>73</v>
      </c>
      <c r="B13" s="294" t="s">
        <v>13</v>
      </c>
      <c r="C13" s="293" t="s">
        <v>266</v>
      </c>
      <c r="D13" s="42">
        <v>24</v>
      </c>
      <c r="E13" s="43">
        <f ca="1">$C$1-43976-112-112-112-112-112-71</f>
        <v>73</v>
      </c>
      <c r="F13" s="44" t="s">
        <v>70</v>
      </c>
      <c r="G13" s="353">
        <v>4</v>
      </c>
      <c r="H13" s="46">
        <v>3</v>
      </c>
      <c r="I13" s="47">
        <f t="shared" si="0"/>
        <v>0.80274665510394982</v>
      </c>
      <c r="J13" s="48">
        <f t="shared" si="1"/>
        <v>48</v>
      </c>
      <c r="K13" s="48">
        <f t="shared" si="2"/>
        <v>75</v>
      </c>
      <c r="L13" s="210">
        <v>6.2</v>
      </c>
      <c r="M13" s="49">
        <f t="shared" si="3"/>
        <v>81</v>
      </c>
      <c r="N13" s="50">
        <v>1.5</v>
      </c>
      <c r="O13" s="49">
        <v>4</v>
      </c>
      <c r="P13" s="51">
        <f t="shared" si="4"/>
        <v>0.7559289460184544</v>
      </c>
      <c r="Q13" s="51">
        <f t="shared" si="5"/>
        <v>0.84430867747355465</v>
      </c>
      <c r="R13" s="199">
        <v>880</v>
      </c>
      <c r="S13" s="179">
        <f t="shared" si="6"/>
        <v>-70</v>
      </c>
      <c r="T13" s="52">
        <v>410</v>
      </c>
      <c r="U13" s="53">
        <f t="shared" si="7"/>
        <v>2.1463414634146343</v>
      </c>
      <c r="V13" s="168">
        <v>0</v>
      </c>
      <c r="W13" s="168">
        <v>3</v>
      </c>
      <c r="X13" s="168">
        <v>6</v>
      </c>
      <c r="Y13" s="168">
        <v>2</v>
      </c>
      <c r="Z13" s="168">
        <v>3</v>
      </c>
      <c r="AA13" s="168">
        <v>2</v>
      </c>
      <c r="AB13" s="168">
        <v>4</v>
      </c>
      <c r="AC13" s="31">
        <v>344</v>
      </c>
      <c r="AD13" s="54">
        <f t="shared" si="32"/>
        <v>6.276286528050977</v>
      </c>
      <c r="AE13" s="54">
        <f t="shared" si="33"/>
        <v>7.0171016614940633</v>
      </c>
      <c r="AF13" s="270">
        <f t="shared" si="34"/>
        <v>1.5031873837483551</v>
      </c>
      <c r="AG13" s="270">
        <f t="shared" si="35"/>
        <v>4.3108712684029955</v>
      </c>
      <c r="AH13" s="49">
        <v>3</v>
      </c>
      <c r="AI13" s="49">
        <v>4</v>
      </c>
      <c r="AJ13" s="51">
        <f t="shared" si="12"/>
        <v>0.1158</v>
      </c>
      <c r="AK13" s="58"/>
      <c r="AL13" s="199">
        <v>950</v>
      </c>
    </row>
    <row r="14" spans="1:38" x14ac:dyDescent="0.25">
      <c r="A14" s="200" t="s">
        <v>301</v>
      </c>
      <c r="B14" s="295" t="s">
        <v>13</v>
      </c>
      <c r="C14" s="361" t="s">
        <v>302</v>
      </c>
      <c r="D14" s="169">
        <v>32</v>
      </c>
      <c r="E14" s="170">
        <f ca="1">$C$1-43606-784-112-117</f>
        <v>61</v>
      </c>
      <c r="F14" s="171"/>
      <c r="G14" s="354">
        <v>3</v>
      </c>
      <c r="H14" s="172">
        <v>7</v>
      </c>
      <c r="I14" s="173">
        <f t="shared" si="0"/>
        <v>1.2041199826559248</v>
      </c>
      <c r="J14" s="174">
        <f t="shared" si="1"/>
        <v>63</v>
      </c>
      <c r="K14" s="174">
        <f t="shared" si="2"/>
        <v>112</v>
      </c>
      <c r="L14" s="211">
        <v>5</v>
      </c>
      <c r="M14" s="175">
        <f t="shared" si="3"/>
        <v>69</v>
      </c>
      <c r="N14" s="176">
        <f ca="1">IF((TODAY()-AK14)&gt;335,1,((TODAY()-AK14)^0.64)/(336^0.64))</f>
        <v>2.4162555382234736E-2</v>
      </c>
      <c r="O14" s="175">
        <v>5</v>
      </c>
      <c r="P14" s="177">
        <f t="shared" si="4"/>
        <v>0.84515425472851657</v>
      </c>
      <c r="Q14" s="177">
        <f t="shared" si="5"/>
        <v>0.92504826128926143</v>
      </c>
      <c r="R14" s="214">
        <v>3170</v>
      </c>
      <c r="S14" s="179">
        <f t="shared" si="6"/>
        <v>0</v>
      </c>
      <c r="T14" s="178">
        <v>1880</v>
      </c>
      <c r="U14" s="180">
        <f t="shared" si="7"/>
        <v>1.6861702127659575</v>
      </c>
      <c r="V14" s="168">
        <v>0</v>
      </c>
      <c r="W14" s="168">
        <v>4</v>
      </c>
      <c r="X14" s="168">
        <v>9</v>
      </c>
      <c r="Y14" s="168">
        <v>2</v>
      </c>
      <c r="Z14" s="168">
        <v>3</v>
      </c>
      <c r="AA14" s="168">
        <v>3</v>
      </c>
      <c r="AB14" s="168">
        <v>4</v>
      </c>
      <c r="AC14" s="181">
        <v>531</v>
      </c>
      <c r="AD14" s="54">
        <f t="shared" ca="1" si="32"/>
        <v>8.6444765055883401</v>
      </c>
      <c r="AE14" s="54">
        <f t="shared" ca="1" si="33"/>
        <v>9.4695495598683355</v>
      </c>
      <c r="AF14" s="270">
        <f t="shared" ca="1" si="34"/>
        <v>1.4457258982975301</v>
      </c>
      <c r="AG14" s="270">
        <f t="shared" ca="1" si="35"/>
        <v>4.1651589555272022</v>
      </c>
      <c r="AH14" s="175">
        <v>2</v>
      </c>
      <c r="AI14" s="175">
        <v>2</v>
      </c>
      <c r="AJ14" s="51">
        <f t="shared" si="12"/>
        <v>6.1499999999999999E-2</v>
      </c>
      <c r="AK14" s="182">
        <v>44679</v>
      </c>
      <c r="AL14" s="214">
        <v>3170</v>
      </c>
    </row>
    <row r="15" spans="1:38" x14ac:dyDescent="0.25">
      <c r="A15" s="200" t="s">
        <v>299</v>
      </c>
      <c r="B15" s="295" t="s">
        <v>13</v>
      </c>
      <c r="C15" s="361" t="s">
        <v>300</v>
      </c>
      <c r="D15" s="169">
        <v>36</v>
      </c>
      <c r="E15" s="170">
        <f ca="1">$C$1-43855-112-112-112-112-112-112-70</f>
        <v>83</v>
      </c>
      <c r="F15" s="171" t="s">
        <v>70</v>
      </c>
      <c r="G15" s="354">
        <v>2</v>
      </c>
      <c r="H15" s="172">
        <v>12</v>
      </c>
      <c r="I15" s="173">
        <f t="shared" si="0"/>
        <v>1.4852578030757824</v>
      </c>
      <c r="J15" s="174">
        <f t="shared" si="1"/>
        <v>48</v>
      </c>
      <c r="K15" s="174">
        <f t="shared" si="2"/>
        <v>108</v>
      </c>
      <c r="L15" s="211">
        <v>5</v>
      </c>
      <c r="M15" s="175">
        <f t="shared" si="3"/>
        <v>69</v>
      </c>
      <c r="N15" s="176">
        <f ca="1">IF((TODAY()-AK15)&gt;335,1,((TODAY()-AK15)^0.64)/(336^0.64))</f>
        <v>0.16957554093095897</v>
      </c>
      <c r="O15" s="175">
        <v>5</v>
      </c>
      <c r="P15" s="177">
        <f t="shared" si="4"/>
        <v>0.84515425472851657</v>
      </c>
      <c r="Q15" s="177">
        <f t="shared" si="5"/>
        <v>0.92504826128926143</v>
      </c>
      <c r="R15" s="214">
        <v>110</v>
      </c>
      <c r="S15" s="179">
        <f t="shared" si="6"/>
        <v>0</v>
      </c>
      <c r="T15" s="178">
        <v>330</v>
      </c>
      <c r="U15" s="180">
        <f t="shared" si="7"/>
        <v>0.33333333333333331</v>
      </c>
      <c r="V15" s="168">
        <v>0</v>
      </c>
      <c r="W15" s="168">
        <v>3</v>
      </c>
      <c r="X15" s="168">
        <v>6</v>
      </c>
      <c r="Y15" s="168">
        <v>0</v>
      </c>
      <c r="Z15" s="168">
        <v>3</v>
      </c>
      <c r="AA15" s="168">
        <v>0</v>
      </c>
      <c r="AB15" s="168">
        <v>10</v>
      </c>
      <c r="AC15" s="181">
        <v>338</v>
      </c>
      <c r="AD15" s="54">
        <f t="shared" ca="1" si="32"/>
        <v>6.4695149699250161</v>
      </c>
      <c r="AE15" s="54">
        <f t="shared" ca="1" si="33"/>
        <v>7.0869985702905742</v>
      </c>
      <c r="AF15" s="270">
        <f t="shared" ca="1" si="34"/>
        <v>1.4752695771522997</v>
      </c>
      <c r="AG15" s="270">
        <f t="shared" ca="1" si="35"/>
        <v>7.3146692246535325</v>
      </c>
      <c r="AH15" s="175">
        <v>1</v>
      </c>
      <c r="AI15" s="175">
        <v>2</v>
      </c>
      <c r="AJ15" s="51">
        <f t="shared" si="12"/>
        <v>4.9399999999999999E-2</v>
      </c>
      <c r="AK15" s="182">
        <v>44659</v>
      </c>
      <c r="AL15" s="214">
        <v>110</v>
      </c>
    </row>
    <row r="16" spans="1:38" x14ac:dyDescent="0.25">
      <c r="A16" s="200" t="s">
        <v>245</v>
      </c>
      <c r="B16" s="295" t="s">
        <v>13</v>
      </c>
      <c r="C16" s="361" t="s">
        <v>298</v>
      </c>
      <c r="D16" s="169">
        <v>34</v>
      </c>
      <c r="E16" s="170">
        <f ca="1">$C$1-43976-112-112-112-112-112-78</f>
        <v>66</v>
      </c>
      <c r="F16" s="171"/>
      <c r="G16" s="354">
        <v>2</v>
      </c>
      <c r="H16" s="172">
        <v>5</v>
      </c>
      <c r="I16" s="173">
        <f t="shared" si="0"/>
        <v>1.0375350005115249</v>
      </c>
      <c r="J16" s="174">
        <f t="shared" si="1"/>
        <v>20</v>
      </c>
      <c r="K16" s="174">
        <f t="shared" si="2"/>
        <v>45</v>
      </c>
      <c r="L16" s="211">
        <v>4.8</v>
      </c>
      <c r="M16" s="175">
        <f t="shared" si="3"/>
        <v>67</v>
      </c>
      <c r="N16" s="50">
        <v>1.5</v>
      </c>
      <c r="O16" s="175">
        <v>3</v>
      </c>
      <c r="P16" s="177">
        <f t="shared" si="4"/>
        <v>0.65465367070797709</v>
      </c>
      <c r="Q16" s="177">
        <f t="shared" si="5"/>
        <v>0.75498344352707503</v>
      </c>
      <c r="R16" s="214">
        <v>180</v>
      </c>
      <c r="S16" s="179">
        <f t="shared" si="6"/>
        <v>20</v>
      </c>
      <c r="T16" s="178">
        <v>410</v>
      </c>
      <c r="U16" s="180">
        <f t="shared" si="7"/>
        <v>0.43902439024390244</v>
      </c>
      <c r="V16" s="168">
        <v>0</v>
      </c>
      <c r="W16" s="168">
        <v>5</v>
      </c>
      <c r="X16" s="168">
        <v>7</v>
      </c>
      <c r="Y16" s="168">
        <v>1</v>
      </c>
      <c r="Z16" s="168">
        <v>3</v>
      </c>
      <c r="AA16" s="168">
        <v>1</v>
      </c>
      <c r="AB16" s="168">
        <v>5</v>
      </c>
      <c r="AC16" s="181">
        <v>427</v>
      </c>
      <c r="AD16" s="54">
        <f t="shared" si="32"/>
        <v>6.2437822975906778</v>
      </c>
      <c r="AE16" s="54">
        <f t="shared" si="33"/>
        <v>7.2096987805507959</v>
      </c>
      <c r="AF16" s="270">
        <f t="shared" si="34"/>
        <v>1.523101273211533</v>
      </c>
      <c r="AG16" s="270">
        <f t="shared" si="35"/>
        <v>4.1488905513251506</v>
      </c>
      <c r="AH16" s="175">
        <v>2</v>
      </c>
      <c r="AI16" s="175">
        <v>0</v>
      </c>
      <c r="AJ16" s="51">
        <f t="shared" si="12"/>
        <v>0.11119999999999999</v>
      </c>
      <c r="AK16" s="182">
        <v>44659</v>
      </c>
      <c r="AL16" s="214">
        <v>160</v>
      </c>
    </row>
    <row r="17" spans="1:38" x14ac:dyDescent="0.25">
      <c r="A17" s="200" t="s">
        <v>199</v>
      </c>
      <c r="B17" s="295" t="s">
        <v>13</v>
      </c>
      <c r="C17" s="361" t="s">
        <v>297</v>
      </c>
      <c r="D17" s="169">
        <v>34</v>
      </c>
      <c r="E17" s="170">
        <f ca="1">$C$1-43887-112-112-112-112-112-112-21</f>
        <v>100</v>
      </c>
      <c r="F17" s="171" t="s">
        <v>60</v>
      </c>
      <c r="G17" s="354">
        <v>3</v>
      </c>
      <c r="H17" s="172">
        <v>8</v>
      </c>
      <c r="I17" s="173">
        <f t="shared" si="0"/>
        <v>1.2723233459190999</v>
      </c>
      <c r="J17" s="174">
        <f t="shared" si="1"/>
        <v>72</v>
      </c>
      <c r="K17" s="174">
        <f t="shared" si="2"/>
        <v>128</v>
      </c>
      <c r="L17" s="211">
        <v>5</v>
      </c>
      <c r="M17" s="175">
        <f t="shared" si="3"/>
        <v>69</v>
      </c>
      <c r="N17" s="176">
        <v>1.5</v>
      </c>
      <c r="O17" s="175">
        <v>4</v>
      </c>
      <c r="P17" s="177">
        <f t="shared" si="4"/>
        <v>0.7559289460184544</v>
      </c>
      <c r="Q17" s="177">
        <f t="shared" si="5"/>
        <v>0.84430867747355465</v>
      </c>
      <c r="R17" s="214">
        <v>190</v>
      </c>
      <c r="S17" s="179">
        <f t="shared" si="6"/>
        <v>-10</v>
      </c>
      <c r="T17" s="178">
        <v>450</v>
      </c>
      <c r="U17" s="180">
        <f t="shared" si="7"/>
        <v>0.42222222222222222</v>
      </c>
      <c r="V17" s="168">
        <v>0</v>
      </c>
      <c r="W17" s="168">
        <v>1</v>
      </c>
      <c r="X17" s="168">
        <v>7</v>
      </c>
      <c r="Y17" s="168">
        <v>0</v>
      </c>
      <c r="Z17" s="168">
        <v>2</v>
      </c>
      <c r="AA17" s="168">
        <v>5</v>
      </c>
      <c r="AB17" s="168">
        <v>2</v>
      </c>
      <c r="AC17" s="181">
        <v>367</v>
      </c>
      <c r="AD17" s="54">
        <f t="shared" si="32"/>
        <v>7.3871820870321612</v>
      </c>
      <c r="AE17" s="54">
        <f t="shared" si="33"/>
        <v>8.25912065438634</v>
      </c>
      <c r="AF17" s="270">
        <f t="shared" si="34"/>
        <v>1.2583353906001515</v>
      </c>
      <c r="AG17" s="270">
        <f t="shared" si="35"/>
        <v>4.2878734083564973</v>
      </c>
      <c r="AH17" s="175">
        <v>2</v>
      </c>
      <c r="AI17" s="175">
        <v>2</v>
      </c>
      <c r="AJ17" s="177">
        <f t="shared" si="12"/>
        <v>6.1499999999999999E-2</v>
      </c>
      <c r="AK17" s="182">
        <v>44659</v>
      </c>
      <c r="AL17" s="214">
        <v>200</v>
      </c>
    </row>
    <row r="18" spans="1:38" x14ac:dyDescent="0.25">
      <c r="A18" s="59" t="s">
        <v>75</v>
      </c>
      <c r="B18" s="294" t="s">
        <v>12</v>
      </c>
      <c r="C18" s="293" t="s">
        <v>262</v>
      </c>
      <c r="D18" s="42">
        <v>20</v>
      </c>
      <c r="E18" s="43">
        <f ca="1">$C$1-43974-112-112-112-112-112-92</f>
        <v>54</v>
      </c>
      <c r="F18" s="44" t="s">
        <v>241</v>
      </c>
      <c r="G18" s="353">
        <v>4</v>
      </c>
      <c r="H18" s="46">
        <v>1</v>
      </c>
      <c r="I18" s="47">
        <f>LOG(H18+1)*4/3</f>
        <v>0.40137332755197491</v>
      </c>
      <c r="J18" s="48">
        <f>(G18)*(G18)*(H18)</f>
        <v>16</v>
      </c>
      <c r="K18" s="48">
        <f>(G18+1)*(G18+1)*H18</f>
        <v>25</v>
      </c>
      <c r="L18" s="210">
        <v>7</v>
      </c>
      <c r="M18" s="49">
        <f>L18*10+19</f>
        <v>89</v>
      </c>
      <c r="N18" s="176">
        <v>1.5</v>
      </c>
      <c r="O18" s="49">
        <v>5</v>
      </c>
      <c r="P18" s="51">
        <f>(O18/7)^0.5</f>
        <v>0.84515425472851657</v>
      </c>
      <c r="Q18" s="51">
        <f>IF(O18=7,1,((O18+0.99)/7)^0.5)</f>
        <v>0.92504826128926143</v>
      </c>
      <c r="R18" s="199">
        <v>1450</v>
      </c>
      <c r="S18" s="179">
        <f t="shared" si="6"/>
        <v>50</v>
      </c>
      <c r="T18" s="52">
        <v>330</v>
      </c>
      <c r="U18" s="53">
        <f>R18/T18</f>
        <v>4.3939393939393936</v>
      </c>
      <c r="V18" s="168">
        <v>0</v>
      </c>
      <c r="W18" s="168">
        <v>3</v>
      </c>
      <c r="X18" s="168">
        <v>5</v>
      </c>
      <c r="Y18" s="168">
        <v>5</v>
      </c>
      <c r="Z18" s="168">
        <v>4</v>
      </c>
      <c r="AA18" s="168">
        <v>2</v>
      </c>
      <c r="AB18" s="168">
        <v>3</v>
      </c>
      <c r="AC18" s="31">
        <v>382</v>
      </c>
      <c r="AD18" s="54">
        <f>(X18+N18+I18)*(O18/7)^0.5</f>
        <v>5.8327250312504519</v>
      </c>
      <c r="AE18" s="54">
        <f>(X18+N18+I18)*(IF(O18=7,(O18/7)^0.5,((O18+1)/7)^0.5))</f>
        <v>6.3894301426817952</v>
      </c>
      <c r="AF18" s="270">
        <f>(((W18+N18+I18)+(Z18+N18+I18)*2)/8)*(O18/7)^0.5</f>
        <v>1.7646947593546611</v>
      </c>
      <c r="AG18" s="270">
        <f>((AB18+I18+N18)*0.7+(AA18+I18+N18)*0.3)*(O18/7)^0.5</f>
        <v>3.8888702453748634</v>
      </c>
      <c r="AH18" s="49"/>
      <c r="AI18" s="49"/>
      <c r="AJ18" s="51">
        <f>IF(AH18=4,IF(AI18=0,0.137+0.0697,0.137+0.02),IF(AH18=3,IF(AI18=0,0.0958+0.0697,0.0958+0.02),IF(AH18=2,IF(AI18=0,0.0415+0.0697,0.0415+0.02),IF(AH18=1,IF(AI18=0,0.0294+0.0697,0.0294+0.02),IF(AH18=0,IF(AI18=0,0.0063+0.0697,0.0063+0.02))))))</f>
        <v>7.5999999999999998E-2</v>
      </c>
      <c r="AK18" s="58"/>
      <c r="AL18" s="199">
        <v>1400</v>
      </c>
    </row>
    <row r="19" spans="1:38" x14ac:dyDescent="0.25">
      <c r="A19" s="362" t="s">
        <v>295</v>
      </c>
      <c r="B19" s="295" t="s">
        <v>12</v>
      </c>
      <c r="C19" s="361" t="s">
        <v>296</v>
      </c>
      <c r="D19" s="169">
        <v>33</v>
      </c>
      <c r="E19" s="170">
        <f ca="1">$C$1-43855-112-112-112-112-112-112-65</f>
        <v>88</v>
      </c>
      <c r="F19" s="171" t="s">
        <v>70</v>
      </c>
      <c r="G19" s="354">
        <v>5</v>
      </c>
      <c r="H19" s="172">
        <v>5</v>
      </c>
      <c r="I19" s="173">
        <f>LOG(H19+1)*4/3</f>
        <v>1.0375350005115249</v>
      </c>
      <c r="J19" s="174">
        <f>(G19)*(G19)*(H19)</f>
        <v>125</v>
      </c>
      <c r="K19" s="174">
        <f>(G19+1)*(G19+1)*H19</f>
        <v>180</v>
      </c>
      <c r="L19" s="211">
        <v>5.2</v>
      </c>
      <c r="M19" s="175">
        <f>L19*10+19</f>
        <v>71</v>
      </c>
      <c r="N19" s="176">
        <v>1.5</v>
      </c>
      <c r="O19" s="175">
        <v>5</v>
      </c>
      <c r="P19" s="177">
        <f>(O19/7)^0.5</f>
        <v>0.84515425472851657</v>
      </c>
      <c r="Q19" s="177">
        <f>IF(O19=7,1,((O19+0.99)/7)^0.5)</f>
        <v>0.92504826128926143</v>
      </c>
      <c r="R19" s="214">
        <v>590</v>
      </c>
      <c r="S19" s="179">
        <f t="shared" si="6"/>
        <v>30</v>
      </c>
      <c r="T19" s="178">
        <v>410</v>
      </c>
      <c r="U19" s="180">
        <f>R19/T19</f>
        <v>1.4390243902439024</v>
      </c>
      <c r="V19" s="168">
        <v>0</v>
      </c>
      <c r="W19" s="168">
        <v>2</v>
      </c>
      <c r="X19" s="168">
        <v>4</v>
      </c>
      <c r="Y19" s="168">
        <v>7</v>
      </c>
      <c r="Z19" s="168">
        <v>5</v>
      </c>
      <c r="AA19" s="168">
        <v>2</v>
      </c>
      <c r="AB19" s="168">
        <v>3</v>
      </c>
      <c r="AC19" s="181">
        <v>406</v>
      </c>
      <c r="AD19" s="54">
        <f t="shared" ref="AD19:AD23" si="36">(X19+N19+I19)*(O19/7)^0.5</f>
        <v>5.5252255211189105</v>
      </c>
      <c r="AE19" s="54">
        <f t="shared" ref="AE19:AE23" si="37">(X19+N19+I19)*(IF(O19=7,(O19/7)^0.5,((O19+1)/7)^0.5))</f>
        <v>6.0525813064401275</v>
      </c>
      <c r="AF19" s="271">
        <f t="shared" ref="AF19:AF23" si="38">(((W19+N19+I19)+(Z19+N19+I19)*2)/8)*(O19/7)^0.5</f>
        <v>2.0719595704195912</v>
      </c>
      <c r="AG19" s="270">
        <f t="shared" ref="AG19:AG23" si="39">((AB19+I19+N19)*0.7+(AA19+I19+N19)*0.3)*(O19/7)^0.5</f>
        <v>4.4265249899718384</v>
      </c>
      <c r="AH19" s="175">
        <v>1</v>
      </c>
      <c r="AI19" s="175">
        <v>2</v>
      </c>
      <c r="AJ19" s="177">
        <f t="shared" si="12"/>
        <v>4.9399999999999999E-2</v>
      </c>
      <c r="AK19" s="182">
        <v>44667</v>
      </c>
      <c r="AL19" s="214">
        <v>560</v>
      </c>
    </row>
    <row r="20" spans="1:38" x14ac:dyDescent="0.25">
      <c r="A20" s="40" t="s">
        <v>71</v>
      </c>
      <c r="B20" s="294" t="s">
        <v>12</v>
      </c>
      <c r="C20" s="293" t="s">
        <v>264</v>
      </c>
      <c r="D20" s="42">
        <v>22</v>
      </c>
      <c r="E20" s="43">
        <f ca="1">$C$1-43955-112-112-112-112-112-60</f>
        <v>105</v>
      </c>
      <c r="F20" s="44"/>
      <c r="G20" s="353">
        <v>2</v>
      </c>
      <c r="H20" s="46">
        <v>2</v>
      </c>
      <c r="I20" s="47">
        <f>LOG(H20+1)*4/3</f>
        <v>0.63616167295954995</v>
      </c>
      <c r="J20" s="48">
        <f>(G20)*(G20)*(H20)</f>
        <v>8</v>
      </c>
      <c r="K20" s="48">
        <f>(G20+1)*(G20+1)*H20</f>
        <v>18</v>
      </c>
      <c r="L20" s="210">
        <v>6</v>
      </c>
      <c r="M20" s="49">
        <f>L20*10+19</f>
        <v>79</v>
      </c>
      <c r="N20" s="176">
        <f ca="1">IF((TODAY()-AK20)&gt;335,1,((TODAY()-AK20)^0.64)/(336^0.64))</f>
        <v>1</v>
      </c>
      <c r="O20" s="49">
        <v>5</v>
      </c>
      <c r="P20" s="51">
        <f>(O20/7)^0.5</f>
        <v>0.84515425472851657</v>
      </c>
      <c r="Q20" s="51">
        <f>IF(O20=7,1,((O20+0.99)/7)^0.5)</f>
        <v>0.92504826128926143</v>
      </c>
      <c r="R20" s="52">
        <v>2070</v>
      </c>
      <c r="S20" s="179">
        <f t="shared" si="6"/>
        <v>120</v>
      </c>
      <c r="T20" s="52">
        <v>370</v>
      </c>
      <c r="U20" s="53">
        <f>R20/T20</f>
        <v>5.5945945945945947</v>
      </c>
      <c r="V20" s="168">
        <v>0</v>
      </c>
      <c r="W20" s="168">
        <v>3</v>
      </c>
      <c r="X20" s="168">
        <v>4</v>
      </c>
      <c r="Y20" s="168">
        <v>6</v>
      </c>
      <c r="Z20" s="168">
        <v>5</v>
      </c>
      <c r="AA20" s="168">
        <v>2</v>
      </c>
      <c r="AB20" s="168">
        <v>3</v>
      </c>
      <c r="AC20" s="31">
        <v>405</v>
      </c>
      <c r="AD20" s="54">
        <f t="shared" ca="1" si="36"/>
        <v>4.7634260182395574</v>
      </c>
      <c r="AE20" s="54">
        <f t="shared" ca="1" si="37"/>
        <v>5.2180717623936408</v>
      </c>
      <c r="AF20" s="270">
        <f t="shared" ca="1" si="38"/>
        <v>1.8919290386808987</v>
      </c>
      <c r="AG20" s="270">
        <f t="shared" ca="1" si="39"/>
        <v>3.6647254870924861</v>
      </c>
      <c r="AH20" s="49"/>
      <c r="AI20" s="49"/>
      <c r="AJ20" s="51">
        <f t="shared" si="12"/>
        <v>7.5999999999999998E-2</v>
      </c>
      <c r="AK20" s="58"/>
      <c r="AL20" s="52">
        <v>1950</v>
      </c>
    </row>
    <row r="21" spans="1:38" x14ac:dyDescent="0.25">
      <c r="A21" s="40" t="s">
        <v>195</v>
      </c>
      <c r="B21" s="295" t="s">
        <v>10</v>
      </c>
      <c r="C21" s="293" t="s">
        <v>260</v>
      </c>
      <c r="D21" s="169">
        <v>19</v>
      </c>
      <c r="E21" s="170">
        <f ca="1">$C$1-44482-112+46-112</f>
        <v>20</v>
      </c>
      <c r="F21" s="171"/>
      <c r="G21" s="354">
        <v>3</v>
      </c>
      <c r="H21" s="172">
        <v>1</v>
      </c>
      <c r="I21" s="47">
        <f t="shared" ref="I21" si="40">LOG(H21+1)*4/3</f>
        <v>0.40137332755197491</v>
      </c>
      <c r="J21" s="174">
        <f t="shared" si="1"/>
        <v>9</v>
      </c>
      <c r="K21" s="174">
        <f t="shared" si="2"/>
        <v>16</v>
      </c>
      <c r="L21" s="211">
        <v>6</v>
      </c>
      <c r="M21" s="175">
        <f t="shared" si="3"/>
        <v>79</v>
      </c>
      <c r="N21" s="50">
        <v>1.5</v>
      </c>
      <c r="O21" s="175">
        <v>4</v>
      </c>
      <c r="P21" s="177">
        <f t="shared" si="4"/>
        <v>0.7559289460184544</v>
      </c>
      <c r="Q21" s="177">
        <f t="shared" si="5"/>
        <v>0.84430867747355465</v>
      </c>
      <c r="R21" s="214">
        <v>1500</v>
      </c>
      <c r="S21" s="179">
        <f t="shared" si="6"/>
        <v>-10</v>
      </c>
      <c r="T21" s="178">
        <v>410</v>
      </c>
      <c r="U21" s="180">
        <f t="shared" si="7"/>
        <v>3.6585365853658538</v>
      </c>
      <c r="V21" s="168">
        <v>0</v>
      </c>
      <c r="W21" s="168">
        <v>1</v>
      </c>
      <c r="X21" s="168">
        <v>2</v>
      </c>
      <c r="Y21" s="168">
        <v>5</v>
      </c>
      <c r="Z21" s="168">
        <v>3</v>
      </c>
      <c r="AA21" s="168">
        <v>6</v>
      </c>
      <c r="AB21" s="168">
        <v>5</v>
      </c>
      <c r="AC21" s="181">
        <v>363</v>
      </c>
      <c r="AD21" s="54">
        <f t="shared" si="36"/>
        <v>2.9491610275208746</v>
      </c>
      <c r="AE21" s="54">
        <f t="shared" si="37"/>
        <v>3.2972622670649021</v>
      </c>
      <c r="AF21" s="270">
        <f t="shared" si="38"/>
        <v>1.2004265035726349</v>
      </c>
      <c r="AG21" s="270">
        <f t="shared" si="39"/>
        <v>5.4437265493817746</v>
      </c>
      <c r="AH21" s="175">
        <v>2</v>
      </c>
      <c r="AI21" s="175">
        <v>2</v>
      </c>
      <c r="AJ21" s="51">
        <f t="shared" si="12"/>
        <v>6.1499999999999999E-2</v>
      </c>
      <c r="AK21" s="182"/>
      <c r="AL21" s="214">
        <v>1510</v>
      </c>
    </row>
    <row r="22" spans="1:38" x14ac:dyDescent="0.25">
      <c r="A22" s="40" t="s">
        <v>66</v>
      </c>
      <c r="B22" s="294" t="s">
        <v>10</v>
      </c>
      <c r="C22" s="293" t="s">
        <v>267</v>
      </c>
      <c r="D22" s="42">
        <v>26</v>
      </c>
      <c r="E22" s="43">
        <f ca="1">$C$1-43890-112-112-112-112-112-112-5-112</f>
        <v>1</v>
      </c>
      <c r="F22" s="44"/>
      <c r="G22" s="353">
        <v>2</v>
      </c>
      <c r="H22" s="46">
        <v>3</v>
      </c>
      <c r="I22" s="47">
        <f>LOG(H22+1)*4/3</f>
        <v>0.80274665510394982</v>
      </c>
      <c r="J22" s="48">
        <f>(G22)*(G22)*(H22)</f>
        <v>12</v>
      </c>
      <c r="K22" s="48">
        <f>(G22+1)*(G22+1)*H22</f>
        <v>27</v>
      </c>
      <c r="L22" s="210">
        <v>5.5</v>
      </c>
      <c r="M22" s="49">
        <f>L22*10+19</f>
        <v>74</v>
      </c>
      <c r="N22" s="50">
        <v>1.5</v>
      </c>
      <c r="O22" s="49">
        <v>5</v>
      </c>
      <c r="P22" s="51">
        <f>(O22/7)^0.5</f>
        <v>0.84515425472851657</v>
      </c>
      <c r="Q22" s="51">
        <f>IF(O22=7,1,((O22+0.99)/7)^0.5)</f>
        <v>0.92504826128926143</v>
      </c>
      <c r="R22" s="199">
        <v>1280</v>
      </c>
      <c r="S22" s="179">
        <f t="shared" si="6"/>
        <v>10</v>
      </c>
      <c r="T22" s="52">
        <v>310</v>
      </c>
      <c r="U22" s="53">
        <f>R22/T22</f>
        <v>4.129032258064516</v>
      </c>
      <c r="V22" s="168">
        <v>0</v>
      </c>
      <c r="W22" s="168">
        <v>2</v>
      </c>
      <c r="X22" s="168">
        <v>4</v>
      </c>
      <c r="Y22" s="168">
        <v>3</v>
      </c>
      <c r="Z22" s="168">
        <v>5</v>
      </c>
      <c r="AA22" s="168">
        <v>5</v>
      </c>
      <c r="AB22" s="168">
        <v>1</v>
      </c>
      <c r="AC22" s="31">
        <v>391</v>
      </c>
      <c r="AD22" s="54">
        <f t="shared" si="36"/>
        <v>5.3267931520370295</v>
      </c>
      <c r="AE22" s="54">
        <f t="shared" si="37"/>
        <v>5.8352095370694537</v>
      </c>
      <c r="AF22" s="270">
        <f t="shared" si="38"/>
        <v>1.9975474320138862</v>
      </c>
      <c r="AG22" s="270">
        <f t="shared" si="39"/>
        <v>3.8055154935256996</v>
      </c>
      <c r="AH22" s="49"/>
      <c r="AI22" s="49"/>
      <c r="AJ22" s="51">
        <f>IF(AH22=4,IF(AI22=0,0.137+0.0697,0.137+0.02),IF(AH22=3,IF(AI22=0,0.0958+0.0697,0.0958+0.02),IF(AH22=2,IF(AI22=0,0.0415+0.0697,0.0415+0.02),IF(AH22=1,IF(AI22=0,0.0294+0.0697,0.0294+0.02),IF(AH22=0,IF(AI22=0,0.0063+0.0697,0.0063+0.02))))))</f>
        <v>7.5999999999999998E-2</v>
      </c>
      <c r="AK22" s="58"/>
      <c r="AL22" s="199">
        <v>1270</v>
      </c>
    </row>
    <row r="23" spans="1:38" x14ac:dyDescent="0.25">
      <c r="A23" s="40" t="s">
        <v>196</v>
      </c>
      <c r="B23" s="294" t="s">
        <v>10</v>
      </c>
      <c r="C23" s="293" t="s">
        <v>271</v>
      </c>
      <c r="D23" s="42">
        <v>34</v>
      </c>
      <c r="E23" s="43">
        <f ca="1">$C$1-43569-112-112-112-112-112-112-112-112-112+21-112</f>
        <v>12</v>
      </c>
      <c r="F23" s="44"/>
      <c r="G23" s="353">
        <v>2</v>
      </c>
      <c r="H23" s="46">
        <v>5</v>
      </c>
      <c r="I23" s="47">
        <f t="shared" si="0"/>
        <v>1.0375350005115249</v>
      </c>
      <c r="J23" s="48">
        <f t="shared" si="1"/>
        <v>20</v>
      </c>
      <c r="K23" s="48">
        <f t="shared" si="2"/>
        <v>45</v>
      </c>
      <c r="L23" s="210">
        <v>5.5</v>
      </c>
      <c r="M23" s="49">
        <f t="shared" si="3"/>
        <v>74</v>
      </c>
      <c r="N23" s="176">
        <v>1.5</v>
      </c>
      <c r="O23" s="49">
        <v>6</v>
      </c>
      <c r="P23" s="51">
        <f t="shared" si="4"/>
        <v>0.92582009977255142</v>
      </c>
      <c r="Q23" s="51">
        <f t="shared" si="5"/>
        <v>0.99928545900129484</v>
      </c>
      <c r="R23" s="52">
        <v>100</v>
      </c>
      <c r="S23" s="179">
        <f t="shared" si="6"/>
        <v>0</v>
      </c>
      <c r="T23" s="52">
        <v>310</v>
      </c>
      <c r="U23" s="53">
        <f t="shared" si="7"/>
        <v>0.32258064516129031</v>
      </c>
      <c r="V23" s="168">
        <v>0</v>
      </c>
      <c r="W23" s="168">
        <v>2</v>
      </c>
      <c r="X23" s="168">
        <v>3</v>
      </c>
      <c r="Y23" s="168">
        <v>3</v>
      </c>
      <c r="Z23" s="168">
        <v>2</v>
      </c>
      <c r="AA23" s="168">
        <v>6</v>
      </c>
      <c r="AB23" s="168">
        <v>3</v>
      </c>
      <c r="AC23" s="31">
        <v>335</v>
      </c>
      <c r="AD23" s="54">
        <f t="shared" si="36"/>
        <v>5.1267612066675756</v>
      </c>
      <c r="AE23" s="54">
        <f t="shared" si="37"/>
        <v>5.5375350005115251</v>
      </c>
      <c r="AF23" s="270">
        <f t="shared" si="38"/>
        <v>1.5753529150856342</v>
      </c>
      <c r="AG23" s="270">
        <f t="shared" si="39"/>
        <v>5.9599992964628727</v>
      </c>
      <c r="AH23" s="49"/>
      <c r="AI23" s="49"/>
      <c r="AJ23" s="177">
        <f t="shared" si="12"/>
        <v>7.5999999999999998E-2</v>
      </c>
      <c r="AK23" s="58"/>
      <c r="AL23" s="52">
        <v>100</v>
      </c>
    </row>
    <row r="24" spans="1:38" x14ac:dyDescent="0.25">
      <c r="C24" s="60"/>
      <c r="F24" s="9"/>
      <c r="H24" s="2"/>
      <c r="I24" s="2"/>
      <c r="L24" s="2"/>
      <c r="M24" s="2"/>
      <c r="N24" s="2"/>
      <c r="O24" s="2"/>
      <c r="P24" s="2"/>
      <c r="Q24" s="2"/>
      <c r="R24" s="61">
        <f>SUM(R4:R23)</f>
        <v>29270</v>
      </c>
      <c r="S24" s="61">
        <f>SUM(S4:S23)</f>
        <v>1780</v>
      </c>
      <c r="T24" s="61">
        <f>SUM(T4:T23)</f>
        <v>11630</v>
      </c>
      <c r="U24" s="62">
        <f t="shared" si="7"/>
        <v>2.5167669819432503</v>
      </c>
      <c r="AB24" s="2"/>
      <c r="AC24" s="61"/>
      <c r="AF24" s="61"/>
      <c r="AG24" s="61"/>
      <c r="AK24" s="2"/>
    </row>
    <row r="25" spans="1:38" x14ac:dyDescent="0.25">
      <c r="C25" s="60" t="s">
        <v>97</v>
      </c>
      <c r="F25" s="2"/>
      <c r="G25" s="18"/>
      <c r="J25" s="2"/>
      <c r="L25" s="2"/>
      <c r="M25" s="2"/>
      <c r="N25" s="2"/>
      <c r="O25" s="2"/>
      <c r="P25" s="2"/>
      <c r="Q25" s="2"/>
      <c r="R25" s="63"/>
      <c r="S25" s="63"/>
      <c r="T25" s="63"/>
      <c r="U25" s="30"/>
      <c r="V25" s="64"/>
      <c r="AC25" s="30"/>
      <c r="AF25" s="30"/>
      <c r="AG25" s="30"/>
      <c r="AK25" s="2"/>
    </row>
    <row r="26" spans="1:38" x14ac:dyDescent="0.25"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2"/>
      <c r="T26" s="70"/>
      <c r="U26" s="64"/>
      <c r="V26" s="64"/>
      <c r="W26" s="66"/>
      <c r="AC26" s="64"/>
      <c r="AF26" s="64"/>
      <c r="AK26" s="2"/>
    </row>
    <row r="27" spans="1:38" x14ac:dyDescent="0.25">
      <c r="C27" s="67"/>
      <c r="F27" s="2"/>
      <c r="G27" s="18"/>
      <c r="H27" s="65"/>
      <c r="J27" s="2"/>
      <c r="L27" s="2"/>
      <c r="M27" s="2"/>
      <c r="N27" s="68"/>
      <c r="O27" s="2"/>
      <c r="P27" s="2"/>
      <c r="Q27" s="2"/>
      <c r="T27" s="64"/>
      <c r="U27" s="64"/>
      <c r="V27" s="64"/>
      <c r="W27" s="66"/>
      <c r="AC27" s="69"/>
      <c r="AF27" s="64"/>
      <c r="AK27" s="2"/>
    </row>
    <row r="28" spans="1:38" x14ac:dyDescent="0.25">
      <c r="C28" s="67"/>
      <c r="F28" s="2"/>
      <c r="G28" s="18"/>
      <c r="H28" s="65"/>
      <c r="J28" s="2"/>
      <c r="L28" s="2"/>
      <c r="M28" s="2"/>
      <c r="N28" s="68"/>
      <c r="O28" s="2"/>
      <c r="P28" s="2"/>
      <c r="Q28" s="2"/>
      <c r="T28" s="70"/>
      <c r="U28" s="64"/>
      <c r="V28" s="64"/>
      <c r="W28" s="66"/>
      <c r="AC28" s="64"/>
      <c r="AF28" s="64"/>
      <c r="AK28" s="2"/>
    </row>
    <row r="29" spans="1:38" x14ac:dyDescent="0.25">
      <c r="C29" s="2"/>
      <c r="F29" s="2"/>
      <c r="G29" s="18"/>
      <c r="H29" s="65"/>
      <c r="J29" s="2"/>
      <c r="L29" s="2"/>
      <c r="M29" s="2"/>
      <c r="N29" s="2"/>
      <c r="O29" s="2"/>
      <c r="P29" s="2"/>
      <c r="Q29" s="2"/>
      <c r="T29" s="70"/>
      <c r="U29" s="64"/>
      <c r="V29" s="64"/>
      <c r="W29" s="66"/>
      <c r="AC29" s="64"/>
      <c r="AF29" s="64"/>
      <c r="AK29" s="2"/>
    </row>
    <row r="30" spans="1:38" x14ac:dyDescent="0.25">
      <c r="C30" s="60"/>
      <c r="F30" s="2"/>
      <c r="G30" s="18"/>
      <c r="H30" s="65"/>
      <c r="J30" s="2"/>
      <c r="L30" s="2"/>
      <c r="M30" s="2"/>
      <c r="N30" s="2"/>
      <c r="O30" s="2"/>
      <c r="P30" s="2"/>
      <c r="Q30" s="2"/>
      <c r="T30" s="64"/>
      <c r="U30" s="64"/>
      <c r="V30" s="64"/>
      <c r="W30" s="66"/>
      <c r="AC30" s="64"/>
      <c r="AF30" s="64"/>
      <c r="AK30" s="2"/>
    </row>
    <row r="31" spans="1:38" x14ac:dyDescent="0.25">
      <c r="C31" s="60"/>
      <c r="F31" s="2"/>
      <c r="G31" s="18"/>
      <c r="H31" s="65"/>
      <c r="J31" s="2"/>
      <c r="L31" s="2"/>
      <c r="M31" s="2"/>
      <c r="N31" s="2"/>
      <c r="O31" s="2"/>
      <c r="P31" s="2"/>
      <c r="Q31" s="2"/>
      <c r="T31" s="70"/>
      <c r="U31" s="64"/>
      <c r="V31" s="64"/>
      <c r="W31" s="66"/>
      <c r="AC31" s="64"/>
      <c r="AF31" s="64"/>
      <c r="AK31" s="2"/>
    </row>
    <row r="32" spans="1:38" x14ac:dyDescent="0.25">
      <c r="C32" s="60"/>
      <c r="F32" s="2"/>
      <c r="G32" s="18"/>
      <c r="H32" s="65"/>
      <c r="J32" s="2"/>
      <c r="L32" s="2"/>
      <c r="M32" s="2"/>
      <c r="N32" s="2"/>
      <c r="O32" s="2"/>
      <c r="P32" s="2"/>
      <c r="Q32" s="2"/>
      <c r="T32" s="64"/>
      <c r="U32" s="64"/>
      <c r="V32" s="64"/>
      <c r="W32" s="66"/>
      <c r="AC32" s="64"/>
      <c r="AF32" s="64"/>
      <c r="AK32" s="2"/>
    </row>
  </sheetData>
  <autoFilter ref="A1:AL24" xr:uid="{CA633510-BFAE-421C-B4B5-C6A14AA4D1B9}">
    <filterColumn colId="3" showButton="0"/>
    <filterColumn colId="4" showButton="0"/>
  </autoFilter>
  <mergeCells count="2">
    <mergeCell ref="D1:F1"/>
    <mergeCell ref="B26:P26"/>
  </mergeCells>
  <conditionalFormatting sqref="M4:M23">
    <cfRule type="cellIs" dxfId="11" priority="70" operator="lessThan">
      <formula>70</formula>
    </cfRule>
  </conditionalFormatting>
  <conditionalFormatting sqref="M4:M23">
    <cfRule type="cellIs" dxfId="10" priority="71" operator="between">
      <formula>70</formula>
      <formula>80</formula>
    </cfRule>
  </conditionalFormatting>
  <conditionalFormatting sqref="M4:M23">
    <cfRule type="cellIs" dxfId="9" priority="72" operator="greaterThan">
      <formula>80</formula>
    </cfRule>
  </conditionalFormatting>
  <conditionalFormatting sqref="AJ4:AJ23">
    <cfRule type="cellIs" dxfId="8" priority="73" operator="lessThan">
      <formula>0.07</formula>
    </cfRule>
  </conditionalFormatting>
  <conditionalFormatting sqref="AJ4:AJ23">
    <cfRule type="cellIs" dxfId="7" priority="74" operator="greaterThan">
      <formula>0.1</formula>
    </cfRule>
  </conditionalFormatting>
  <conditionalFormatting sqref="P4:Q23">
    <cfRule type="cellIs" dxfId="6" priority="42" operator="greaterThan">
      <formula>0.95</formula>
    </cfRule>
    <cfRule type="cellIs" dxfId="5" priority="43" operator="between">
      <formula>0.85</formula>
      <formula>0.95</formula>
    </cfRule>
    <cfRule type="cellIs" dxfId="4" priority="44" operator="lessThan">
      <formula>0.85</formula>
    </cfRule>
  </conditionalFormatting>
  <conditionalFormatting sqref="U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{D2F2B031-5724-4411-B92B-D2FC983C5FFF}</x14:id>
        </ext>
      </extLst>
    </cfRule>
  </conditionalFormatting>
  <conditionalFormatting sqref="U9:U23 U4:U7">
    <cfRule type="dataBar" priority="2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T4:T23">
    <cfRule type="dataBar" priority="24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S4:S23">
    <cfRule type="dataBar" priority="2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C4:AC23 AC2">
    <cfRule type="dataBar" priority="2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R4:R23">
    <cfRule type="dataBar" priority="2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J4:K23">
    <cfRule type="colorScale" priority="2473">
      <colorScale>
        <cfvo type="min"/>
        <cfvo type="max"/>
        <color rgb="FFFCFCFF"/>
        <color rgb="FFF8696B"/>
      </colorScale>
    </cfRule>
  </conditionalFormatting>
  <conditionalFormatting sqref="I4:I23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AB23">
    <cfRule type="colorScale" priority="2477">
      <colorScale>
        <cfvo type="min"/>
        <cfvo type="max"/>
        <color rgb="FFFCFCFF"/>
        <color rgb="FFF8696B"/>
      </colorScale>
    </cfRule>
  </conditionalFormatting>
  <conditionalFormatting sqref="AD4:AE23">
    <cfRule type="colorScale" priority="2479">
      <colorScale>
        <cfvo type="min"/>
        <cfvo type="max"/>
        <color rgb="FFFFEF9C"/>
        <color rgb="FF63BE7B"/>
      </colorScale>
    </cfRule>
  </conditionalFormatting>
  <conditionalFormatting sqref="AF4:AF23">
    <cfRule type="colorScale" priority="2481">
      <colorScale>
        <cfvo type="min"/>
        <cfvo type="max"/>
        <color rgb="FFFCFCFF"/>
        <color rgb="FFF8696B"/>
      </colorScale>
    </cfRule>
  </conditionalFormatting>
  <conditionalFormatting sqref="AG4:AG23">
    <cfRule type="colorScale" priority="2483">
      <colorScale>
        <cfvo type="min"/>
        <cfvo type="max"/>
        <color rgb="FFFFEF9C"/>
        <color rgb="FF63BE7B"/>
      </colorScale>
    </cfRule>
  </conditionalFormatting>
  <conditionalFormatting sqref="N4:N23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3">
    <cfRule type="dataBar" priority="2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{2FF0838E-5913-413F-89AD-E873614AE770}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2B031-5724-4411-B92B-D2FC983C5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U9:U23 U4:U7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S4:S23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AC4:AC23 AC2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R4:R23</xm:sqref>
        </x14:conditionalFormatting>
        <x14:conditionalFormatting xmlns:xm="http://schemas.microsoft.com/office/excel/2006/main">
          <x14:cfRule type="dataBar" id="{2FF0838E-5913-413F-89AD-E873614AE7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AL4:AL23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P28"/>
  <sheetViews>
    <sheetView workbookViewId="0">
      <pane xSplit="5" ySplit="2" topLeftCell="F3" activePane="bottomRight" state="frozen"/>
      <selection pane="topRight"/>
      <selection pane="bottomLeft"/>
      <selection pane="bottomRight" activeCell="G7" sqref="G7"/>
    </sheetView>
  </sheetViews>
  <sheetFormatPr baseColWidth="10" defaultColWidth="10.7109375" defaultRowHeight="18.75" x14ac:dyDescent="0.3"/>
  <cols>
    <col min="1" max="1" width="3.28515625" style="18" customWidth="1"/>
    <col min="2" max="2" width="15.140625" bestFit="1" customWidth="1"/>
    <col min="3" max="3" width="5.28515625" customWidth="1"/>
    <col min="4" max="4" width="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1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" bestFit="1" customWidth="1"/>
    <col min="35" max="36" width="3.5703125" bestFit="1" customWidth="1"/>
    <col min="37" max="37" width="4.140625" bestFit="1" customWidth="1"/>
    <col min="38" max="38" width="4.5703125" customWidth="1"/>
    <col min="39" max="39" width="4.85546875" bestFit="1" customWidth="1"/>
    <col min="40" max="40" width="4.5703125" style="2" customWidth="1"/>
    <col min="41" max="41" width="4.28515625" customWidth="1"/>
    <col min="42" max="42" width="25" bestFit="1" customWidth="1"/>
  </cols>
  <sheetData>
    <row r="1" spans="1:42" ht="19.5" thickBot="1" x14ac:dyDescent="0.35">
      <c r="B1" s="72" t="s">
        <v>80</v>
      </c>
      <c r="C1" s="72"/>
      <c r="D1" s="72"/>
      <c r="E1" s="72"/>
      <c r="F1" s="72"/>
      <c r="G1" s="73"/>
      <c r="H1" s="73"/>
      <c r="I1" s="73"/>
      <c r="J1" s="73"/>
      <c r="K1" s="74"/>
      <c r="L1" s="72" t="s">
        <v>81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5"/>
      <c r="AA1" s="73"/>
      <c r="AB1" s="73"/>
      <c r="AC1" s="73"/>
      <c r="AD1" s="73"/>
      <c r="AE1" s="73"/>
      <c r="AF1" s="73"/>
      <c r="AG1" s="73"/>
      <c r="AH1" s="76"/>
      <c r="AI1" s="76"/>
      <c r="AJ1" s="76"/>
      <c r="AK1" s="76"/>
      <c r="AL1" s="76"/>
      <c r="AM1" s="76"/>
      <c r="AN1" s="73"/>
      <c r="AO1" s="73"/>
    </row>
    <row r="2" spans="1:42" ht="19.5" thickBot="1" x14ac:dyDescent="0.35">
      <c r="B2" s="72" t="s">
        <v>16</v>
      </c>
      <c r="C2" s="72" t="s">
        <v>82</v>
      </c>
      <c r="D2" s="72" t="s">
        <v>18</v>
      </c>
      <c r="E2" s="73" t="s">
        <v>83</v>
      </c>
      <c r="F2" s="72" t="s">
        <v>84</v>
      </c>
      <c r="G2" s="73" t="s">
        <v>85</v>
      </c>
      <c r="H2" s="73" t="s">
        <v>86</v>
      </c>
      <c r="I2" s="73" t="s">
        <v>20</v>
      </c>
      <c r="J2" s="73" t="s">
        <v>87</v>
      </c>
      <c r="K2" s="74" t="s">
        <v>88</v>
      </c>
      <c r="L2" s="77" t="s">
        <v>9</v>
      </c>
      <c r="M2" s="78" t="s">
        <v>88</v>
      </c>
      <c r="N2" s="79" t="s">
        <v>11</v>
      </c>
      <c r="O2" s="78" t="s">
        <v>88</v>
      </c>
      <c r="P2" s="79" t="s">
        <v>89</v>
      </c>
      <c r="Q2" s="78" t="s">
        <v>88</v>
      </c>
      <c r="R2" s="79" t="s">
        <v>62</v>
      </c>
      <c r="S2" s="78" t="s">
        <v>88</v>
      </c>
      <c r="T2" s="79" t="s">
        <v>90</v>
      </c>
      <c r="U2" s="78" t="s">
        <v>88</v>
      </c>
      <c r="V2" s="79" t="s">
        <v>91</v>
      </c>
      <c r="W2" s="78" t="s">
        <v>88</v>
      </c>
      <c r="X2" s="79" t="s">
        <v>92</v>
      </c>
      <c r="Y2" s="78" t="s">
        <v>88</v>
      </c>
      <c r="Z2" s="80" t="s">
        <v>93</v>
      </c>
      <c r="AA2" s="81" t="s">
        <v>9</v>
      </c>
      <c r="AB2" s="81" t="s">
        <v>11</v>
      </c>
      <c r="AC2" s="81" t="s">
        <v>89</v>
      </c>
      <c r="AD2" s="81" t="s">
        <v>62</v>
      </c>
      <c r="AE2" s="81" t="s">
        <v>90</v>
      </c>
      <c r="AF2" s="81" t="s">
        <v>91</v>
      </c>
      <c r="AG2" s="82" t="s">
        <v>92</v>
      </c>
      <c r="AH2" s="38" t="s">
        <v>9</v>
      </c>
      <c r="AI2" s="38" t="s">
        <v>50</v>
      </c>
      <c r="AJ2" s="38" t="s">
        <v>200</v>
      </c>
      <c r="AK2" s="38" t="s">
        <v>52</v>
      </c>
      <c r="AL2" s="38" t="s">
        <v>12</v>
      </c>
      <c r="AM2" s="38" t="s">
        <v>10</v>
      </c>
      <c r="AN2" s="73" t="s">
        <v>94</v>
      </c>
      <c r="AO2" s="73" t="s">
        <v>92</v>
      </c>
      <c r="AP2" s="327" t="s">
        <v>201</v>
      </c>
    </row>
    <row r="3" spans="1:42" ht="19.5" thickBot="1" x14ac:dyDescent="0.35">
      <c r="A3" s="18">
        <v>1</v>
      </c>
      <c r="B3" s="320"/>
      <c r="C3" s="1">
        <v>17</v>
      </c>
      <c r="D3" s="83">
        <f ca="1">68+$B$25-$B$27-801-112</f>
        <v>198</v>
      </c>
      <c r="E3" s="19"/>
      <c r="F3" s="84">
        <f ca="1">G3-TODAY()</f>
        <v>-181</v>
      </c>
      <c r="G3" s="85">
        <v>44499</v>
      </c>
      <c r="H3" s="87"/>
      <c r="I3" s="87"/>
      <c r="J3" s="88">
        <f t="shared" ref="J3:K6" si="0">COUNT(L3,N3,P3,R3,T3,V3,X3)</f>
        <v>0</v>
      </c>
      <c r="K3" s="89">
        <f t="shared" si="0"/>
        <v>0</v>
      </c>
      <c r="L3" s="215"/>
      <c r="M3" s="184"/>
      <c r="N3" s="215"/>
      <c r="O3" s="184"/>
      <c r="P3" s="324"/>
      <c r="Q3" s="322"/>
      <c r="R3" s="185"/>
      <c r="S3" s="184"/>
      <c r="T3" s="324"/>
      <c r="U3" s="322"/>
      <c r="V3" s="185"/>
      <c r="W3" s="184"/>
      <c r="X3" s="185"/>
      <c r="Y3" s="184"/>
      <c r="Z3" s="90">
        <f>SUM(AA3:AG3)</f>
        <v>0</v>
      </c>
      <c r="AA3" s="92"/>
      <c r="AB3" s="92"/>
      <c r="AC3" s="92"/>
      <c r="AD3" s="92"/>
      <c r="AE3" s="92"/>
      <c r="AF3" s="92"/>
      <c r="AG3" s="93"/>
      <c r="AH3" s="95"/>
      <c r="AI3" s="65"/>
      <c r="AJ3" s="65"/>
      <c r="AK3" s="65"/>
      <c r="AL3" s="65"/>
      <c r="AM3" s="65"/>
      <c r="AN3" s="94">
        <v>0</v>
      </c>
      <c r="AO3" s="94">
        <v>0</v>
      </c>
    </row>
    <row r="4" spans="1:42" ht="19.5" thickBot="1" x14ac:dyDescent="0.35">
      <c r="A4" s="18">
        <v>2</v>
      </c>
      <c r="B4" s="320"/>
      <c r="C4" s="1">
        <v>17</v>
      </c>
      <c r="D4" s="83">
        <f ca="1">14+$B$25-$B$27-774-112</f>
        <v>171</v>
      </c>
      <c r="E4" s="19"/>
      <c r="F4" s="84">
        <f ca="1">G4-TODAY()</f>
        <v>-104</v>
      </c>
      <c r="G4" s="85">
        <v>44576</v>
      </c>
      <c r="H4" s="96">
        <v>5</v>
      </c>
      <c r="I4" s="87"/>
      <c r="J4" s="88">
        <f t="shared" si="0"/>
        <v>0</v>
      </c>
      <c r="K4" s="100">
        <f t="shared" si="0"/>
        <v>0</v>
      </c>
      <c r="L4" s="215"/>
      <c r="M4" s="184"/>
      <c r="N4" s="185"/>
      <c r="O4" s="184"/>
      <c r="P4" s="185"/>
      <c r="Q4" s="184"/>
      <c r="R4" s="185"/>
      <c r="S4" s="184"/>
      <c r="T4" s="323"/>
      <c r="U4" s="322"/>
      <c r="V4" s="185"/>
      <c r="W4" s="184"/>
      <c r="X4" s="185"/>
      <c r="Y4" s="184"/>
      <c r="Z4" s="90">
        <f>SUM(AA4:AG4)</f>
        <v>0</v>
      </c>
      <c r="AA4" s="98"/>
      <c r="AB4" s="91"/>
      <c r="AC4" s="92"/>
      <c r="AD4" s="92"/>
      <c r="AE4" s="92"/>
      <c r="AF4" s="92"/>
      <c r="AG4" s="93"/>
      <c r="AH4" s="95"/>
      <c r="AI4" s="65"/>
      <c r="AJ4" s="65"/>
      <c r="AK4" s="65"/>
      <c r="AL4" s="65"/>
      <c r="AM4" s="65"/>
      <c r="AN4" s="94">
        <v>0</v>
      </c>
      <c r="AO4" s="94">
        <v>0</v>
      </c>
    </row>
    <row r="5" spans="1:42" ht="19.5" thickBot="1" x14ac:dyDescent="0.35">
      <c r="A5" s="18">
        <v>5</v>
      </c>
      <c r="B5" s="320"/>
      <c r="C5" s="1">
        <v>16</v>
      </c>
      <c r="D5" s="83">
        <f ca="1">$B$25-$B$27-856</f>
        <v>187</v>
      </c>
      <c r="E5" s="19"/>
      <c r="F5" s="84">
        <f ca="1">G5-TODAY()</f>
        <v>-34</v>
      </c>
      <c r="G5" s="85">
        <v>44646</v>
      </c>
      <c r="H5" s="87"/>
      <c r="I5" s="87"/>
      <c r="J5" s="88">
        <f t="shared" ref="J5:K5" si="1">COUNT(L5,N5,P5,R5,T5,V5,X5)</f>
        <v>0</v>
      </c>
      <c r="K5" s="100">
        <f t="shared" si="1"/>
        <v>0</v>
      </c>
      <c r="L5" s="215"/>
      <c r="M5" s="184"/>
      <c r="N5" s="185"/>
      <c r="O5" s="184"/>
      <c r="P5" s="185"/>
      <c r="Q5" s="184"/>
      <c r="R5" s="323"/>
      <c r="S5" s="322"/>
      <c r="T5" s="323"/>
      <c r="U5" s="322"/>
      <c r="V5" s="323"/>
      <c r="W5" s="322"/>
      <c r="X5" s="185"/>
      <c r="Y5" s="184"/>
      <c r="Z5" s="90">
        <f>SUM(AA5:AG5)</f>
        <v>0</v>
      </c>
      <c r="AA5" s="98"/>
      <c r="AB5" s="91"/>
      <c r="AC5" s="92"/>
      <c r="AD5" s="92"/>
      <c r="AE5" s="92"/>
      <c r="AF5" s="92"/>
      <c r="AG5" s="93"/>
      <c r="AH5" s="95"/>
      <c r="AI5" s="65"/>
      <c r="AJ5" s="65"/>
      <c r="AK5" s="65"/>
      <c r="AL5" s="65"/>
      <c r="AM5" s="65"/>
      <c r="AN5" s="94">
        <v>0</v>
      </c>
      <c r="AO5" s="94">
        <v>0</v>
      </c>
    </row>
    <row r="6" spans="1:42" ht="19.5" thickBot="1" x14ac:dyDescent="0.35">
      <c r="A6" s="18">
        <v>3</v>
      </c>
      <c r="B6" s="320"/>
      <c r="C6" s="1">
        <v>18</v>
      </c>
      <c r="D6" s="83">
        <f ca="1">84+$B$25-$B$27-872-112</f>
        <v>143</v>
      </c>
      <c r="E6" s="19"/>
      <c r="F6" s="84">
        <f ca="1">G6-TODAY()</f>
        <v>-153</v>
      </c>
      <c r="G6" s="222">
        <v>44527</v>
      </c>
      <c r="H6" s="86"/>
      <c r="I6" s="99"/>
      <c r="J6" s="88">
        <f t="shared" si="0"/>
        <v>0</v>
      </c>
      <c r="K6" s="89">
        <f t="shared" si="0"/>
        <v>0</v>
      </c>
      <c r="L6" s="215"/>
      <c r="M6" s="184"/>
      <c r="N6" s="323"/>
      <c r="O6" s="322"/>
      <c r="P6" s="185"/>
      <c r="Q6" s="184"/>
      <c r="R6" s="185"/>
      <c r="S6" s="184"/>
      <c r="T6" s="185"/>
      <c r="U6" s="184"/>
      <c r="V6" s="323"/>
      <c r="W6" s="322"/>
      <c r="X6" s="185"/>
      <c r="Y6" s="184"/>
      <c r="Z6" s="90">
        <f>SUM(AA6:AG6)</f>
        <v>0</v>
      </c>
      <c r="AA6" s="98"/>
      <c r="AB6" s="91"/>
      <c r="AC6" s="92"/>
      <c r="AD6" s="92"/>
      <c r="AE6" s="92"/>
      <c r="AF6" s="92"/>
      <c r="AG6" s="93"/>
      <c r="AH6" s="95"/>
      <c r="AI6" s="65"/>
      <c r="AJ6" s="65"/>
      <c r="AK6" s="65"/>
      <c r="AL6" s="65"/>
      <c r="AM6" s="65"/>
      <c r="AN6" s="94">
        <v>0</v>
      </c>
      <c r="AO6" s="94">
        <v>0</v>
      </c>
    </row>
    <row r="7" spans="1:42" s="244" customFormat="1" ht="7.5" customHeight="1" thickBot="1" x14ac:dyDescent="0.35">
      <c r="A7" s="223"/>
      <c r="B7" s="264"/>
      <c r="C7" s="224"/>
      <c r="D7" s="225"/>
      <c r="E7" s="226"/>
      <c r="F7" s="227"/>
      <c r="G7" s="228"/>
      <c r="H7" s="229"/>
      <c r="I7" s="230"/>
      <c r="J7" s="231"/>
      <c r="K7" s="232"/>
      <c r="L7" s="233"/>
      <c r="M7" s="234"/>
      <c r="N7" s="235"/>
      <c r="O7" s="234"/>
      <c r="P7" s="235"/>
      <c r="Q7" s="234"/>
      <c r="R7" s="235"/>
      <c r="S7" s="234"/>
      <c r="T7" s="235"/>
      <c r="U7" s="234"/>
      <c r="V7" s="235"/>
      <c r="W7" s="234"/>
      <c r="X7" s="235"/>
      <c r="Y7" s="234"/>
      <c r="Z7" s="236"/>
      <c r="AA7" s="237"/>
      <c r="AB7" s="238"/>
      <c r="AC7" s="239"/>
      <c r="AD7" s="239"/>
      <c r="AE7" s="239"/>
      <c r="AF7" s="239"/>
      <c r="AG7" s="240"/>
      <c r="AH7" s="242"/>
      <c r="AI7" s="243"/>
      <c r="AJ7" s="243"/>
      <c r="AK7" s="243"/>
      <c r="AL7" s="243"/>
      <c r="AM7" s="243"/>
      <c r="AN7" s="241"/>
      <c r="AO7" s="241"/>
    </row>
    <row r="8" spans="1:42" ht="19.5" thickBot="1" x14ac:dyDescent="0.35">
      <c r="A8" s="18">
        <v>11</v>
      </c>
      <c r="B8" s="263"/>
      <c r="C8" s="1">
        <v>17</v>
      </c>
      <c r="D8" s="83">
        <f ca="1">2+$B$25-$B$27-592-112-112</f>
        <v>229</v>
      </c>
      <c r="E8" s="19"/>
      <c r="F8" s="84">
        <f t="shared" ref="F8" ca="1" si="2">G8-TODAY()</f>
        <v>-229</v>
      </c>
      <c r="G8" s="85">
        <v>44451</v>
      </c>
      <c r="H8" s="87"/>
      <c r="I8" s="87"/>
      <c r="J8" s="88">
        <f t="shared" ref="J8:K8" si="3">COUNT(L8,N8,P8,R8,T8,V8,X8)</f>
        <v>0</v>
      </c>
      <c r="K8" s="89">
        <f t="shared" si="3"/>
        <v>0</v>
      </c>
      <c r="L8" s="215"/>
      <c r="M8" s="184"/>
      <c r="N8" s="185"/>
      <c r="O8" s="184"/>
      <c r="P8" s="185"/>
      <c r="Q8" s="184"/>
      <c r="R8" s="323"/>
      <c r="S8" s="322"/>
      <c r="T8" s="185"/>
      <c r="U8" s="184"/>
      <c r="V8" s="323"/>
      <c r="W8" s="322"/>
      <c r="X8" s="185"/>
      <c r="Y8" s="184"/>
      <c r="Z8" s="90">
        <f t="shared" ref="Z8" si="4">SUM(AA8:AG8)</f>
        <v>0</v>
      </c>
      <c r="AA8" s="98"/>
      <c r="AB8" s="91"/>
      <c r="AC8" s="92"/>
      <c r="AD8" s="92"/>
      <c r="AE8" s="92"/>
      <c r="AF8" s="92"/>
      <c r="AG8" s="93"/>
      <c r="AH8" s="95"/>
      <c r="AI8" s="65"/>
      <c r="AJ8" s="65"/>
      <c r="AK8" s="65"/>
      <c r="AL8" s="65"/>
      <c r="AM8" s="65"/>
      <c r="AN8" s="94">
        <v>0</v>
      </c>
      <c r="AO8" s="94">
        <v>0</v>
      </c>
    </row>
    <row r="9" spans="1:42" ht="19.5" thickBot="1" x14ac:dyDescent="0.35">
      <c r="A9" s="18">
        <v>14</v>
      </c>
      <c r="B9" s="263"/>
      <c r="C9" s="1">
        <v>16</v>
      </c>
      <c r="D9" s="83">
        <f ca="1">2+$B$25-$B$27-742-112</f>
        <v>191</v>
      </c>
      <c r="E9" s="19"/>
      <c r="F9" s="84">
        <f ca="1">G9-TODAY()</f>
        <v>-79</v>
      </c>
      <c r="G9" s="85">
        <v>44601</v>
      </c>
      <c r="H9" s="87"/>
      <c r="I9" s="87"/>
      <c r="J9" s="88">
        <f t="shared" ref="J9:K9" si="5">COUNT(L9,N9,P9,R9,T9,V9,X9)</f>
        <v>0</v>
      </c>
      <c r="K9" s="89">
        <f t="shared" si="5"/>
        <v>0</v>
      </c>
      <c r="L9" s="215"/>
      <c r="M9" s="184"/>
      <c r="N9" s="185"/>
      <c r="O9" s="184"/>
      <c r="P9" s="185"/>
      <c r="Q9" s="184"/>
      <c r="R9" s="185"/>
      <c r="S9" s="184"/>
      <c r="T9" s="321"/>
      <c r="U9" s="322"/>
      <c r="V9" s="323"/>
      <c r="W9" s="322"/>
      <c r="X9" s="185"/>
      <c r="Y9" s="184"/>
      <c r="Z9" s="90">
        <f t="shared" ref="Z9" si="6">SUM(AA9:AG9)</f>
        <v>0</v>
      </c>
      <c r="AA9" s="98"/>
      <c r="AB9" s="91"/>
      <c r="AC9" s="92"/>
      <c r="AD9" s="92"/>
      <c r="AE9" s="92"/>
      <c r="AF9" s="92"/>
      <c r="AG9" s="93"/>
      <c r="AH9" s="95"/>
      <c r="AI9" s="65"/>
      <c r="AJ9" s="65"/>
      <c r="AK9" s="65"/>
      <c r="AL9" s="65"/>
      <c r="AM9" s="65"/>
      <c r="AN9" s="94">
        <v>0</v>
      </c>
      <c r="AO9" s="94">
        <v>0</v>
      </c>
    </row>
    <row r="10" spans="1:42" ht="19.5" thickBot="1" x14ac:dyDescent="0.35">
      <c r="A10" s="18">
        <v>4</v>
      </c>
      <c r="B10" s="263"/>
      <c r="C10" s="1">
        <v>16</v>
      </c>
      <c r="D10" s="83">
        <f ca="1">-49+$B$25-$B$27-683-112</f>
        <v>199</v>
      </c>
      <c r="E10" s="19"/>
      <c r="F10" s="84">
        <f ca="1">G10-TODAY()</f>
        <v>-87</v>
      </c>
      <c r="G10" s="85">
        <v>44593</v>
      </c>
      <c r="H10" s="96"/>
      <c r="I10" s="87"/>
      <c r="J10" s="88">
        <f>COUNT(L10,N10,P10,R10,T10,V10,X10)</f>
        <v>0</v>
      </c>
      <c r="K10" s="89">
        <f>COUNT(M10,O10,Q10,S10,U10,W10,Y10)</f>
        <v>0</v>
      </c>
      <c r="L10" s="215"/>
      <c r="M10" s="184"/>
      <c r="N10" s="323"/>
      <c r="O10" s="322"/>
      <c r="P10" s="323"/>
      <c r="Q10" s="322"/>
      <c r="R10" s="324"/>
      <c r="S10" s="322"/>
      <c r="T10" s="185"/>
      <c r="U10" s="184"/>
      <c r="V10" s="185"/>
      <c r="W10" s="184"/>
      <c r="X10" s="185"/>
      <c r="Y10" s="184"/>
      <c r="Z10" s="90">
        <f>SUM(AA10:AG10)</f>
        <v>0</v>
      </c>
      <c r="AA10" s="98"/>
      <c r="AB10" s="91"/>
      <c r="AC10" s="92"/>
      <c r="AD10" s="92"/>
      <c r="AE10" s="92"/>
      <c r="AF10" s="92"/>
      <c r="AG10" s="93"/>
      <c r="AH10" s="95"/>
      <c r="AI10" s="65"/>
      <c r="AJ10" s="65"/>
      <c r="AK10" s="65"/>
      <c r="AL10" s="65"/>
      <c r="AM10" s="65"/>
      <c r="AN10" s="94">
        <v>0</v>
      </c>
      <c r="AO10" s="94">
        <v>0</v>
      </c>
    </row>
    <row r="11" spans="1:42" ht="19.5" thickBot="1" x14ac:dyDescent="0.35">
      <c r="A11" s="18">
        <v>12</v>
      </c>
      <c r="B11" s="263"/>
      <c r="C11" s="1">
        <v>17</v>
      </c>
      <c r="D11" s="83">
        <f ca="1">68+$B$25-$B$27-730-112-112</f>
        <v>157</v>
      </c>
      <c r="E11" s="19"/>
      <c r="F11" s="84">
        <f ca="1">G11-TODAY()</f>
        <v>-83</v>
      </c>
      <c r="G11" s="85">
        <v>44597</v>
      </c>
      <c r="H11" s="96">
        <v>4</v>
      </c>
      <c r="I11" s="87"/>
      <c r="J11" s="88">
        <f>COUNT(L11,N11,P11,R11,T11,V11,X11)</f>
        <v>0</v>
      </c>
      <c r="K11" s="89">
        <f>COUNT(M11,O11,Q11,S11,U11,W11,Y11)</f>
        <v>0</v>
      </c>
      <c r="L11" s="216"/>
      <c r="M11" s="217"/>
      <c r="N11" s="323"/>
      <c r="O11" s="184"/>
      <c r="P11" s="323"/>
      <c r="Q11" s="322"/>
      <c r="R11" s="323"/>
      <c r="S11" s="322"/>
      <c r="T11" s="323"/>
      <c r="U11" s="322"/>
      <c r="V11" s="207"/>
      <c r="W11" s="217"/>
      <c r="X11" s="207"/>
      <c r="Y11" s="217"/>
      <c r="Z11" s="90">
        <f>SUM(AA11:AG11)</f>
        <v>0</v>
      </c>
      <c r="AA11" s="91"/>
      <c r="AB11" s="91"/>
      <c r="AC11" s="92"/>
      <c r="AD11" s="92"/>
      <c r="AE11" s="92"/>
      <c r="AF11" s="92"/>
      <c r="AG11" s="93"/>
      <c r="AH11" s="95"/>
      <c r="AI11" s="65"/>
      <c r="AJ11" s="65"/>
      <c r="AK11" s="65"/>
      <c r="AL11" s="65"/>
      <c r="AM11" s="65"/>
      <c r="AN11" s="94">
        <v>0</v>
      </c>
      <c r="AO11" s="94">
        <v>0</v>
      </c>
    </row>
    <row r="12" spans="1:42" s="244" customFormat="1" ht="7.5" customHeight="1" thickBot="1" x14ac:dyDescent="0.35">
      <c r="A12" s="223"/>
      <c r="B12" s="221"/>
      <c r="C12" s="224"/>
      <c r="D12" s="225"/>
      <c r="E12" s="226"/>
      <c r="F12" s="227"/>
      <c r="G12" s="228"/>
      <c r="H12" s="229"/>
      <c r="I12" s="230"/>
      <c r="J12" s="231"/>
      <c r="K12" s="232"/>
      <c r="L12" s="233"/>
      <c r="M12" s="234"/>
      <c r="N12" s="235"/>
      <c r="O12" s="234"/>
      <c r="P12" s="235"/>
      <c r="Q12" s="234"/>
      <c r="R12" s="235"/>
      <c r="S12" s="234"/>
      <c r="T12" s="235"/>
      <c r="U12" s="234"/>
      <c r="V12" s="235"/>
      <c r="W12" s="234"/>
      <c r="X12" s="235"/>
      <c r="Y12" s="234"/>
      <c r="Z12" s="236"/>
      <c r="AA12" s="237"/>
      <c r="AB12" s="238"/>
      <c r="AC12" s="239"/>
      <c r="AD12" s="239"/>
      <c r="AE12" s="239"/>
      <c r="AF12" s="239"/>
      <c r="AG12" s="240"/>
      <c r="AH12" s="242"/>
      <c r="AI12" s="243"/>
      <c r="AJ12" s="243"/>
      <c r="AK12" s="243"/>
      <c r="AL12" s="243"/>
      <c r="AM12" s="243"/>
      <c r="AN12" s="241"/>
      <c r="AO12" s="241"/>
    </row>
    <row r="13" spans="1:42" ht="19.5" thickBot="1" x14ac:dyDescent="0.35">
      <c r="A13" s="18">
        <v>51</v>
      </c>
      <c r="B13" s="262"/>
      <c r="C13" s="1">
        <v>18</v>
      </c>
      <c r="D13" s="83">
        <f ca="1">39+$B$25-$B$27-338-112-112-78-112-112</f>
        <v>218</v>
      </c>
      <c r="E13" s="19"/>
      <c r="F13" s="84">
        <f t="shared" ref="F13:F19" ca="1" si="7">G13-TODAY()</f>
        <v>-330</v>
      </c>
      <c r="G13" s="85">
        <v>44350</v>
      </c>
      <c r="H13" s="86"/>
      <c r="I13" s="87"/>
      <c r="J13" s="88">
        <f>COUNT(L13,N13,P13,R13,T13,V13,X13)</f>
        <v>0</v>
      </c>
      <c r="K13" s="89">
        <f>COUNT(M13,O13,Q13,S13,U13,W13,Y13)</f>
        <v>0</v>
      </c>
      <c r="L13" s="215"/>
      <c r="M13" s="184"/>
      <c r="N13" s="185"/>
      <c r="O13" s="184"/>
      <c r="P13" s="185"/>
      <c r="Q13" s="184"/>
      <c r="R13" s="185"/>
      <c r="S13" s="184"/>
      <c r="T13" s="185"/>
      <c r="U13" s="184"/>
      <c r="V13" s="185"/>
      <c r="W13" s="184"/>
      <c r="X13" s="185"/>
      <c r="Y13" s="184"/>
      <c r="Z13" s="90">
        <f t="shared" ref="Z13:Z15" si="8">SUM(AA13:AG13)</f>
        <v>0</v>
      </c>
      <c r="AA13" s="91"/>
      <c r="AB13" s="91"/>
      <c r="AC13" s="92"/>
      <c r="AD13" s="92"/>
      <c r="AE13" s="92"/>
      <c r="AF13" s="92"/>
      <c r="AG13" s="93"/>
      <c r="AH13" s="95"/>
      <c r="AI13" s="65"/>
      <c r="AJ13" s="65"/>
      <c r="AK13" s="65"/>
      <c r="AL13" s="65"/>
      <c r="AM13" s="65"/>
      <c r="AN13" s="94">
        <v>0</v>
      </c>
      <c r="AO13" s="94">
        <v>0</v>
      </c>
    </row>
    <row r="14" spans="1:42" ht="19.5" thickBot="1" x14ac:dyDescent="0.35">
      <c r="A14" s="18">
        <v>60</v>
      </c>
      <c r="B14" s="262"/>
      <c r="C14" s="1">
        <v>18</v>
      </c>
      <c r="D14" s="83">
        <f ca="1">$B$25-$B$27-652-112-112</f>
        <v>167</v>
      </c>
      <c r="E14" s="19"/>
      <c r="F14" s="84">
        <f ca="1">G14-TODAY()</f>
        <v>-265</v>
      </c>
      <c r="G14" s="85">
        <v>44415</v>
      </c>
      <c r="H14" s="96"/>
      <c r="I14" s="87"/>
      <c r="J14" s="88">
        <f>COUNT(L14,N14,P14,R14,T14,V14,X14)</f>
        <v>0</v>
      </c>
      <c r="K14" s="100">
        <f>COUNT(M14,O14,Q14,S14,U14,W14,Y14)</f>
        <v>0</v>
      </c>
      <c r="L14" s="215"/>
      <c r="M14" s="184"/>
      <c r="N14" s="185"/>
      <c r="O14" s="184"/>
      <c r="P14" s="185"/>
      <c r="Q14" s="217"/>
      <c r="R14" s="185"/>
      <c r="S14" s="184"/>
      <c r="T14" s="185"/>
      <c r="U14" s="184"/>
      <c r="V14" s="185"/>
      <c r="W14" s="184"/>
      <c r="X14" s="185"/>
      <c r="Y14" s="184"/>
      <c r="Z14" s="90">
        <f>SUM(AA14:AG14)</f>
        <v>0</v>
      </c>
      <c r="AA14" s="98"/>
      <c r="AB14" s="91"/>
      <c r="AC14" s="92"/>
      <c r="AD14" s="92"/>
      <c r="AE14" s="92"/>
      <c r="AF14" s="92"/>
      <c r="AG14" s="93"/>
      <c r="AH14" s="95"/>
      <c r="AI14" s="65"/>
      <c r="AJ14" s="65"/>
      <c r="AK14" s="65"/>
      <c r="AL14" s="65"/>
      <c r="AM14" s="65"/>
      <c r="AN14" s="94">
        <v>0</v>
      </c>
      <c r="AO14" s="94">
        <v>0</v>
      </c>
    </row>
    <row r="15" spans="1:42" ht="19.5" thickBot="1" x14ac:dyDescent="0.35">
      <c r="A15" s="18">
        <v>64</v>
      </c>
      <c r="B15" s="262"/>
      <c r="C15" s="1">
        <v>18</v>
      </c>
      <c r="D15" s="83">
        <f ca="1">67+$B$25-$B$27-602-50-112-112</f>
        <v>234</v>
      </c>
      <c r="E15" s="19"/>
      <c r="F15" s="84">
        <f t="shared" ca="1" si="7"/>
        <v>-346</v>
      </c>
      <c r="G15" s="85">
        <v>44334</v>
      </c>
      <c r="H15" s="96"/>
      <c r="I15" s="87"/>
      <c r="J15" s="88">
        <f t="shared" ref="J15:K15" si="9">COUNT(L15,N15,P15,R15,T15,V15,X15)</f>
        <v>0</v>
      </c>
      <c r="K15" s="89">
        <f t="shared" si="9"/>
        <v>0</v>
      </c>
      <c r="L15" s="215"/>
      <c r="M15" s="184"/>
      <c r="N15" s="185"/>
      <c r="O15" s="184"/>
      <c r="P15" s="323"/>
      <c r="Q15" s="322"/>
      <c r="R15" s="185"/>
      <c r="S15" s="184"/>
      <c r="T15" s="321"/>
      <c r="U15" s="322"/>
      <c r="V15" s="323"/>
      <c r="W15" s="322"/>
      <c r="X15" s="185"/>
      <c r="Y15" s="184"/>
      <c r="Z15" s="90">
        <f t="shared" si="8"/>
        <v>0</v>
      </c>
      <c r="AA15" s="98"/>
      <c r="AB15" s="91"/>
      <c r="AC15" s="92"/>
      <c r="AD15" s="92"/>
      <c r="AE15" s="92"/>
      <c r="AF15" s="92"/>
      <c r="AG15" s="93"/>
      <c r="AH15" s="95"/>
      <c r="AI15" s="65"/>
      <c r="AJ15" s="65"/>
      <c r="AK15" s="65"/>
      <c r="AL15" s="65"/>
      <c r="AM15" s="65"/>
      <c r="AN15" s="94">
        <v>0</v>
      </c>
      <c r="AO15" s="94">
        <v>0</v>
      </c>
    </row>
    <row r="16" spans="1:42" ht="19.5" thickBot="1" x14ac:dyDescent="0.35">
      <c r="A16" s="18">
        <v>52</v>
      </c>
      <c r="B16" s="262"/>
      <c r="C16" s="1">
        <v>16</v>
      </c>
      <c r="D16" s="83">
        <f ca="1">-417+$B$25-$B$27-310-112</f>
        <v>204</v>
      </c>
      <c r="E16" s="19"/>
      <c r="F16" s="84">
        <f ca="1">G16-TODAY()</f>
        <v>-495</v>
      </c>
      <c r="G16" s="85">
        <v>44185</v>
      </c>
      <c r="H16" s="87"/>
      <c r="I16" s="101"/>
      <c r="J16" s="88">
        <f>COUNT(L16,N16,P16,R16,T16,V16,X16)</f>
        <v>0</v>
      </c>
      <c r="K16" s="100">
        <f>COUNT(M16,O16,Q16,S16,U16,W16,Y16)</f>
        <v>0</v>
      </c>
      <c r="L16" s="215"/>
      <c r="M16" s="184"/>
      <c r="N16" s="185"/>
      <c r="O16" s="184"/>
      <c r="P16" s="185"/>
      <c r="Q16" s="184"/>
      <c r="R16" s="323"/>
      <c r="S16" s="322"/>
      <c r="T16" s="323"/>
      <c r="U16" s="322"/>
      <c r="V16" s="185"/>
      <c r="W16" s="184"/>
      <c r="X16" s="185"/>
      <c r="Y16" s="184"/>
      <c r="Z16" s="90">
        <f t="shared" ref="Z16" si="10">SUM(AA16:AG16)</f>
        <v>0</v>
      </c>
      <c r="AA16" s="98"/>
      <c r="AB16" s="91"/>
      <c r="AC16" s="92"/>
      <c r="AD16" s="92"/>
      <c r="AE16" s="92"/>
      <c r="AF16" s="92"/>
      <c r="AG16" s="93"/>
      <c r="AH16" s="95"/>
      <c r="AI16" s="65"/>
      <c r="AJ16" s="65"/>
      <c r="AK16" s="65"/>
      <c r="AL16" s="65"/>
      <c r="AM16" s="65"/>
      <c r="AN16" s="94">
        <v>0</v>
      </c>
      <c r="AO16" s="94">
        <v>0</v>
      </c>
    </row>
    <row r="17" spans="1:41" ht="19.5" thickBot="1" x14ac:dyDescent="0.35">
      <c r="A17" s="18">
        <v>42</v>
      </c>
      <c r="B17" s="262"/>
      <c r="C17" s="1">
        <v>17</v>
      </c>
      <c r="D17" s="83">
        <f ca="1">84+$B$25-$B$27-347-112-105-49-112-112-14-112</f>
        <v>164</v>
      </c>
      <c r="E17" s="19"/>
      <c r="F17" s="84">
        <f t="shared" ref="F17" ca="1" si="11">G17-TODAY()</f>
        <v>-69</v>
      </c>
      <c r="G17" s="85">
        <v>44611</v>
      </c>
      <c r="H17" s="96">
        <v>4</v>
      </c>
      <c r="I17" s="87"/>
      <c r="J17" s="88">
        <f t="shared" ref="J17:K17" si="12">COUNT(L17,N17,P17,R17,T17,V17,X17)</f>
        <v>0</v>
      </c>
      <c r="K17" s="89">
        <f t="shared" si="12"/>
        <v>0</v>
      </c>
      <c r="L17" s="215"/>
      <c r="M17" s="184"/>
      <c r="N17" s="215"/>
      <c r="O17" s="184"/>
      <c r="P17" s="215"/>
      <c r="Q17" s="184"/>
      <c r="R17" s="215"/>
      <c r="S17" s="184"/>
      <c r="T17" s="185"/>
      <c r="U17" s="184"/>
      <c r="V17" s="185"/>
      <c r="W17" s="184"/>
      <c r="X17" s="185"/>
      <c r="Y17" s="184"/>
      <c r="Z17" s="90">
        <f t="shared" ref="Z17" si="13">SUM(AA17:AG17)</f>
        <v>0</v>
      </c>
      <c r="AA17" s="91"/>
      <c r="AB17" s="91"/>
      <c r="AC17" s="92"/>
      <c r="AD17" s="92"/>
      <c r="AE17" s="92"/>
      <c r="AF17" s="92"/>
      <c r="AG17" s="93"/>
      <c r="AH17" s="95"/>
      <c r="AI17" s="65"/>
      <c r="AJ17" s="65"/>
      <c r="AK17" s="65"/>
      <c r="AL17" s="65"/>
      <c r="AM17" s="65"/>
      <c r="AN17" s="94">
        <v>0</v>
      </c>
      <c r="AO17" s="94">
        <v>0</v>
      </c>
    </row>
    <row r="18" spans="1:41" ht="19.5" thickBot="1" x14ac:dyDescent="0.35">
      <c r="A18" s="18">
        <v>20</v>
      </c>
      <c r="B18" s="262"/>
      <c r="C18" s="1">
        <v>16</v>
      </c>
      <c r="D18" s="83">
        <f ca="1">-340+$B$25-$B$27-433-112</f>
        <v>158</v>
      </c>
      <c r="E18" s="19"/>
      <c r="F18" s="84">
        <f ca="1">G18-TODAY()</f>
        <v>-46</v>
      </c>
      <c r="G18" s="85">
        <v>44634</v>
      </c>
      <c r="H18" s="96"/>
      <c r="I18" s="87"/>
      <c r="J18" s="88">
        <f t="shared" ref="J18:K18" si="14">COUNT(L18,N18,P18,R18,T18,V18,X18)</f>
        <v>0</v>
      </c>
      <c r="K18" s="89">
        <f t="shared" si="14"/>
        <v>0</v>
      </c>
      <c r="L18" s="218"/>
      <c r="M18" s="219"/>
      <c r="N18" s="185"/>
      <c r="O18" s="184"/>
      <c r="P18" s="185"/>
      <c r="Q18" s="184"/>
      <c r="R18" s="323"/>
      <c r="S18" s="322"/>
      <c r="T18" s="185"/>
      <c r="U18" s="184"/>
      <c r="V18" s="325"/>
      <c r="W18" s="326"/>
      <c r="X18" s="220"/>
      <c r="Y18" s="219"/>
      <c r="Z18" s="90">
        <f>SUM(AA18:AG18)</f>
        <v>0</v>
      </c>
      <c r="AA18" s="98"/>
      <c r="AB18" s="91"/>
      <c r="AC18" s="92"/>
      <c r="AD18" s="92"/>
      <c r="AE18" s="92"/>
      <c r="AF18" s="92"/>
      <c r="AG18" s="93"/>
      <c r="AH18" s="95"/>
      <c r="AI18" s="65"/>
      <c r="AJ18" s="65"/>
      <c r="AK18" s="65"/>
      <c r="AL18" s="65"/>
      <c r="AM18" s="65"/>
      <c r="AN18" s="94">
        <v>0</v>
      </c>
      <c r="AO18" s="94">
        <v>0</v>
      </c>
    </row>
    <row r="19" spans="1:41" ht="19.5" thickBot="1" x14ac:dyDescent="0.35">
      <c r="A19" s="18">
        <v>74</v>
      </c>
      <c r="B19" s="262"/>
      <c r="C19" s="1">
        <v>18</v>
      </c>
      <c r="D19" s="83">
        <f ca="1">-27+$B$25-$B$27-112-112-112-112-50-98-112-112</f>
        <v>196</v>
      </c>
      <c r="E19" s="19"/>
      <c r="F19" s="84">
        <f t="shared" ca="1" si="7"/>
        <v>-308</v>
      </c>
      <c r="G19" s="85">
        <v>44372</v>
      </c>
      <c r="H19" s="87"/>
      <c r="I19" s="87"/>
      <c r="J19" s="88">
        <f t="shared" ref="J19:K19" si="15">COUNT(L19,N19,P19,R19,T19,V19,X19)</f>
        <v>0</v>
      </c>
      <c r="K19" s="100">
        <f t="shared" si="15"/>
        <v>0</v>
      </c>
      <c r="L19" s="215"/>
      <c r="M19" s="184"/>
      <c r="N19" s="185"/>
      <c r="O19" s="184"/>
      <c r="P19" s="215"/>
      <c r="Q19" s="184"/>
      <c r="R19" s="185"/>
      <c r="S19" s="184"/>
      <c r="T19" s="185"/>
      <c r="U19" s="184"/>
      <c r="V19" s="185"/>
      <c r="W19" s="184"/>
      <c r="X19" s="185"/>
      <c r="Y19" s="184"/>
      <c r="Z19" s="90">
        <f>SUM(AA19:AG19)</f>
        <v>0</v>
      </c>
      <c r="AA19" s="98"/>
      <c r="AB19" s="91"/>
      <c r="AC19" s="92"/>
      <c r="AD19" s="92"/>
      <c r="AE19" s="92"/>
      <c r="AF19" s="92"/>
      <c r="AG19" s="93"/>
      <c r="AH19" s="95"/>
      <c r="AI19" s="65"/>
      <c r="AJ19" s="65"/>
      <c r="AK19" s="65"/>
      <c r="AL19" s="65"/>
      <c r="AM19" s="65"/>
      <c r="AN19" s="94">
        <v>0</v>
      </c>
      <c r="AO19" s="94">
        <v>0</v>
      </c>
    </row>
    <row r="20" spans="1:41" ht="19.5" thickBot="1" x14ac:dyDescent="0.35">
      <c r="A20" s="18">
        <v>43</v>
      </c>
      <c r="B20" s="262"/>
      <c r="C20" s="1">
        <v>16</v>
      </c>
      <c r="D20" s="83">
        <f ca="1">-825+$B$25-$B$27</f>
        <v>218</v>
      </c>
      <c r="E20" s="19"/>
      <c r="F20" s="84">
        <f t="shared" ref="F20" ca="1" si="16">G20-TODAY()</f>
        <v>-62</v>
      </c>
      <c r="G20" s="85">
        <v>44618</v>
      </c>
      <c r="H20" s="96">
        <v>3</v>
      </c>
      <c r="I20" s="87"/>
      <c r="J20" s="88">
        <f>COUNT(L20,N20,P20,R20,T20,V20,X20)</f>
        <v>0</v>
      </c>
      <c r="K20" s="89">
        <f>COUNT(M20,O20,Q20,S20,U20,W20,Y20)</f>
        <v>0</v>
      </c>
      <c r="L20" s="215"/>
      <c r="M20" s="184"/>
      <c r="N20" s="185"/>
      <c r="O20" s="184"/>
      <c r="P20" s="185"/>
      <c r="Q20" s="184"/>
      <c r="R20" s="185"/>
      <c r="S20" s="184"/>
      <c r="T20" s="185"/>
      <c r="U20" s="184"/>
      <c r="V20" s="185"/>
      <c r="W20" s="184"/>
      <c r="X20" s="185"/>
      <c r="Y20" s="184"/>
      <c r="Z20" s="90">
        <f>SUM(AA20:AG20)</f>
        <v>0</v>
      </c>
      <c r="AA20" s="91"/>
      <c r="AB20" s="91"/>
      <c r="AC20" s="92"/>
      <c r="AD20" s="92"/>
      <c r="AE20" s="92"/>
      <c r="AF20" s="92"/>
      <c r="AG20" s="93"/>
      <c r="AH20" s="95"/>
      <c r="AI20" s="65"/>
      <c r="AJ20" s="65"/>
      <c r="AK20" s="65"/>
      <c r="AL20" s="65"/>
      <c r="AM20" s="65"/>
      <c r="AN20" s="94">
        <v>0</v>
      </c>
      <c r="AO20" s="94">
        <v>0</v>
      </c>
    </row>
    <row r="21" spans="1:41" ht="19.5" thickBot="1" x14ac:dyDescent="0.35">
      <c r="A21" s="18">
        <v>40</v>
      </c>
      <c r="B21" s="262"/>
      <c r="C21" s="1">
        <v>16</v>
      </c>
      <c r="D21" s="83">
        <f ca="1">58+$B$25-$B$27-524-112-112-11-112</f>
        <v>230</v>
      </c>
      <c r="E21" s="19"/>
      <c r="F21" s="84">
        <f ca="1">G21-TODAY()</f>
        <v>-118</v>
      </c>
      <c r="G21" s="85">
        <v>44562</v>
      </c>
      <c r="H21" s="96"/>
      <c r="I21" s="97"/>
      <c r="J21" s="88">
        <f t="shared" ref="J21" si="17">COUNT(L21,N21,P21,R21,T21,V21,X21)</f>
        <v>0</v>
      </c>
      <c r="K21" s="89">
        <f t="shared" ref="K21" si="18">COUNT(M21,O21,Q21,S21,U21,W21,Y21)</f>
        <v>0</v>
      </c>
      <c r="L21" s="215"/>
      <c r="M21" s="184"/>
      <c r="N21" s="185"/>
      <c r="O21" s="184"/>
      <c r="P21" s="185"/>
      <c r="Q21" s="184"/>
      <c r="R21" s="323"/>
      <c r="S21" s="322"/>
      <c r="T21" s="185"/>
      <c r="U21" s="184"/>
      <c r="V21" s="185"/>
      <c r="W21" s="184"/>
      <c r="X21" s="185"/>
      <c r="Y21" s="184"/>
      <c r="Z21" s="90">
        <f t="shared" ref="Z21" si="19">SUM(AA21:AG21)</f>
        <v>0</v>
      </c>
      <c r="AA21" s="98"/>
      <c r="AB21" s="91"/>
      <c r="AC21" s="92"/>
      <c r="AD21" s="92"/>
      <c r="AE21" s="92"/>
      <c r="AF21" s="92"/>
      <c r="AG21" s="93"/>
      <c r="AH21" s="95"/>
      <c r="AI21" s="65"/>
      <c r="AJ21" s="65"/>
      <c r="AK21" s="65"/>
      <c r="AL21" s="65"/>
      <c r="AM21" s="65"/>
      <c r="AN21" s="94">
        <v>0</v>
      </c>
      <c r="AO21" s="94">
        <v>0</v>
      </c>
    </row>
    <row r="22" spans="1:41" ht="19.5" thickBot="1" x14ac:dyDescent="0.35">
      <c r="A22" s="18">
        <v>71</v>
      </c>
      <c r="B22" s="262"/>
      <c r="C22" s="1">
        <v>18</v>
      </c>
      <c r="D22" s="83">
        <f ca="1">-361+$B$25-$B$27-110-150-112</f>
        <v>310</v>
      </c>
      <c r="E22" s="19"/>
      <c r="F22" s="84">
        <f ca="1">G22-TODAY()</f>
        <v>-335</v>
      </c>
      <c r="G22" s="85">
        <v>44345</v>
      </c>
      <c r="H22" s="96"/>
      <c r="I22" s="87"/>
      <c r="J22" s="88">
        <f t="shared" ref="J22:K22" si="20">COUNT(L22,N22,P22,R22,T22,V22,X22)</f>
        <v>0</v>
      </c>
      <c r="K22" s="100">
        <f t="shared" si="20"/>
        <v>0</v>
      </c>
      <c r="L22" s="215"/>
      <c r="M22" s="184"/>
      <c r="N22" s="185"/>
      <c r="O22" s="184"/>
      <c r="P22" s="185"/>
      <c r="Q22" s="184"/>
      <c r="R22" s="215"/>
      <c r="S22" s="184"/>
      <c r="T22" s="185"/>
      <c r="U22" s="184"/>
      <c r="V22" s="185"/>
      <c r="W22" s="184"/>
      <c r="X22" s="185"/>
      <c r="Y22" s="184"/>
      <c r="Z22" s="90">
        <f>SUM(AA22:AG22)</f>
        <v>0</v>
      </c>
      <c r="AA22" s="98"/>
      <c r="AB22" s="91"/>
      <c r="AC22" s="92"/>
      <c r="AD22" s="92"/>
      <c r="AE22" s="92"/>
      <c r="AF22" s="92"/>
      <c r="AG22" s="93"/>
      <c r="AH22" s="95"/>
      <c r="AI22" s="65"/>
      <c r="AJ22" s="65"/>
      <c r="AK22" s="65"/>
      <c r="AL22" s="65"/>
      <c r="AM22" s="65"/>
      <c r="AN22" s="94">
        <v>0</v>
      </c>
      <c r="AO22" s="94">
        <v>0</v>
      </c>
    </row>
    <row r="23" spans="1:41" x14ac:dyDescent="0.3">
      <c r="B23" s="1"/>
      <c r="C23" s="1"/>
      <c r="D23" s="83"/>
      <c r="E23" s="19"/>
      <c r="F23" s="1"/>
      <c r="G23" s="94"/>
      <c r="H23" s="94"/>
      <c r="I23" s="94"/>
      <c r="J23" s="1"/>
      <c r="K23" s="94"/>
      <c r="L23" s="9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0"/>
      <c r="AB23" s="94"/>
      <c r="AC23" s="94"/>
      <c r="AH23" s="94"/>
      <c r="AO23" s="94"/>
    </row>
    <row r="24" spans="1:41" x14ac:dyDescent="0.3">
      <c r="B24" s="102" t="s">
        <v>96</v>
      </c>
      <c r="C24" s="1"/>
      <c r="D24" s="1"/>
      <c r="E24" s="20"/>
      <c r="F24" s="83"/>
      <c r="G24" s="103" t="s">
        <v>97</v>
      </c>
      <c r="H24" s="94"/>
      <c r="I24" s="94"/>
      <c r="J24" s="1"/>
      <c r="K24" s="94"/>
      <c r="L24" s="9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0"/>
      <c r="AB24" s="94"/>
      <c r="AC24" s="94"/>
      <c r="AH24" s="94"/>
      <c r="AO24" s="94"/>
    </row>
    <row r="25" spans="1:41" x14ac:dyDescent="0.3">
      <c r="B25" s="104">
        <f ca="1">TODAY()</f>
        <v>44680</v>
      </c>
      <c r="C25" s="105"/>
      <c r="D25" s="1"/>
      <c r="E25" s="20"/>
      <c r="F25" s="83"/>
      <c r="G25" s="106"/>
      <c r="H25" s="94"/>
      <c r="I25" s="94"/>
      <c r="J25" s="1"/>
      <c r="K25" s="94"/>
      <c r="L25" s="94"/>
      <c r="M25" s="94"/>
      <c r="N25" s="94"/>
      <c r="O25" s="94"/>
      <c r="P25" s="94"/>
      <c r="Q25" s="1"/>
      <c r="R25" s="1"/>
      <c r="S25" s="1"/>
      <c r="T25" s="1"/>
      <c r="U25" s="1"/>
      <c r="V25" s="1"/>
      <c r="W25" s="1"/>
      <c r="X25" s="1"/>
      <c r="Y25" s="1"/>
      <c r="Z25" s="100"/>
      <c r="AB25" s="94"/>
      <c r="AC25" s="94"/>
      <c r="AH25" s="94"/>
      <c r="AO25" s="94"/>
    </row>
    <row r="26" spans="1:41" x14ac:dyDescent="0.3">
      <c r="B26" s="107">
        <f ca="1">B27-B25</f>
        <v>-1043</v>
      </c>
      <c r="C26" s="105"/>
      <c r="D26" s="1"/>
      <c r="E26" s="20"/>
      <c r="F26" s="1"/>
      <c r="G26" s="103" t="s">
        <v>92</v>
      </c>
      <c r="H26" s="94"/>
      <c r="I26" s="1"/>
      <c r="J26" s="1"/>
      <c r="K26" s="94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0"/>
      <c r="AB26" s="94"/>
      <c r="AC26" s="94"/>
      <c r="AH26" s="94"/>
      <c r="AO26" s="94"/>
    </row>
    <row r="27" spans="1:41" x14ac:dyDescent="0.3">
      <c r="B27" s="108">
        <v>43637</v>
      </c>
      <c r="C27" s="105"/>
      <c r="D27" s="1"/>
      <c r="E27" s="20"/>
      <c r="F27" s="1"/>
      <c r="G27" s="106"/>
      <c r="H27" s="94"/>
      <c r="I27" s="94"/>
      <c r="J27" s="1"/>
      <c r="K27" s="94"/>
      <c r="L27" s="94"/>
      <c r="M27" s="94"/>
      <c r="N27" s="94"/>
      <c r="O27" s="94"/>
      <c r="P27" s="94"/>
      <c r="Q27" s="1"/>
      <c r="R27" s="1"/>
      <c r="S27" s="1"/>
      <c r="T27" s="1"/>
      <c r="U27" s="1"/>
      <c r="V27" s="1"/>
      <c r="W27" s="1"/>
      <c r="X27" s="1"/>
      <c r="Y27" s="1"/>
      <c r="Z27" s="100"/>
      <c r="AB27" s="94"/>
      <c r="AC27" s="94"/>
      <c r="AH27" s="94"/>
      <c r="AO27" s="94"/>
    </row>
    <row r="28" spans="1:41" x14ac:dyDescent="0.3">
      <c r="B28" s="1"/>
      <c r="C28" s="105"/>
      <c r="D28" s="1"/>
      <c r="E28" s="20"/>
      <c r="F28" s="1"/>
      <c r="G28" s="106"/>
      <c r="H28" s="94"/>
      <c r="I28" s="94"/>
      <c r="J28" s="1"/>
      <c r="K28" s="94"/>
      <c r="L28" s="94"/>
      <c r="M28" s="94"/>
      <c r="N28" s="94"/>
      <c r="O28" s="94"/>
      <c r="P28" s="1"/>
      <c r="Q28" s="1"/>
      <c r="R28" s="1"/>
      <c r="S28" s="1"/>
      <c r="T28" s="1"/>
      <c r="U28" s="1"/>
      <c r="V28" s="1"/>
      <c r="W28" s="1"/>
      <c r="X28" s="1"/>
      <c r="Y28" s="1"/>
      <c r="Z28" s="100"/>
      <c r="AB28" s="94"/>
      <c r="AC28" s="94"/>
      <c r="AH28" s="94"/>
      <c r="AO28" s="94"/>
    </row>
  </sheetData>
  <conditionalFormatting sqref="AN12:AO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Z12">
    <cfRule type="colorScale" priority="2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24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16">
      <colorScale>
        <cfvo type="min"/>
        <cfvo type="max"/>
        <color rgb="FFFFEF9C"/>
        <color rgb="FF63BE7B"/>
      </colorScale>
    </cfRule>
  </conditionalFormatting>
  <conditionalFormatting sqref="Z7">
    <cfRule type="colorScale" priority="122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A3:AG22">
    <cfRule type="colorScale" priority="2014">
      <colorScale>
        <cfvo type="min"/>
        <cfvo type="max"/>
        <color rgb="FFFFEF9C"/>
        <color rgb="FF63BE7B"/>
      </colorScale>
    </cfRule>
  </conditionalFormatting>
  <conditionalFormatting sqref="AH3:AM22">
    <cfRule type="colorScale" priority="2016">
      <colorScale>
        <cfvo type="min"/>
        <cfvo type="max"/>
        <color rgb="FFFCFCFF"/>
        <color rgb="FF63BE7B"/>
      </colorScale>
    </cfRule>
  </conditionalFormatting>
  <conditionalFormatting sqref="AN3:AO11 AN13:AO23">
    <cfRule type="colorScale" priority="2146">
      <colorScale>
        <cfvo type="min"/>
        <cfvo type="max"/>
        <color rgb="FFFCFCFF"/>
        <color rgb="FFF8696B"/>
      </colorScale>
    </cfRule>
  </conditionalFormatting>
  <conditionalFormatting sqref="L13:Y22 L3:Y11">
    <cfRule type="colorScale" priority="2149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2152">
      <colorScale>
        <cfvo type="min"/>
        <cfvo type="max"/>
        <color rgb="FFFFEF9C"/>
        <color rgb="FF63BE7B"/>
      </colorScale>
    </cfRule>
  </conditionalFormatting>
  <conditionalFormatting sqref="Z13:Z22 Z3:Z6 Z8:Z11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22 F3:F6 F8:F11">
    <cfRule type="dataBar" priority="2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F13:F22 F3:F6 F8:F11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1"/>
  <sheetViews>
    <sheetView zoomScale="120" zoomScaleNormal="120" workbookViewId="0">
      <selection activeCell="E7" sqref="E7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9.5703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PLANTILLA!B3</f>
        <v>POS</v>
      </c>
      <c r="C1" s="33" t="str">
        <f>PLANTILLA!C3</f>
        <v>Jugador</v>
      </c>
      <c r="D1" s="32" t="str">
        <f>PLANTILLA!D3</f>
        <v>Anys</v>
      </c>
      <c r="E1" s="32" t="str">
        <f>PLANTILLA!E3</f>
        <v>Dias</v>
      </c>
      <c r="F1" s="32" t="str">
        <f>PLANTILLA!F3</f>
        <v>PA</v>
      </c>
      <c r="G1" s="32" t="str">
        <f>PLANTILLA!G3</f>
        <v>Lid</v>
      </c>
      <c r="H1" s="32" t="str">
        <f>PLANTILLA!H3</f>
        <v>Exp</v>
      </c>
      <c r="I1" s="37" t="e">
        <f>PLANTILLA!#REF!</f>
        <v>#REF!</v>
      </c>
      <c r="J1" s="37" t="e">
        <f>PLANTILLA!#REF!</f>
        <v>#REF!</v>
      </c>
      <c r="K1" s="37" t="e">
        <f>PLANTILLA!#REF!</f>
        <v>#REF!</v>
      </c>
      <c r="L1" s="37" t="e">
        <f>PLANTILLA!#REF!</f>
        <v>#REF!</v>
      </c>
      <c r="M1" s="37" t="e">
        <f>PLANTILLA!#REF!</f>
        <v>#REF!</v>
      </c>
      <c r="N1" s="37" t="e">
        <f>PLANTILLA!#REF!</f>
        <v>#REF!</v>
      </c>
      <c r="O1" s="37" t="e">
        <f>PLANTILLA!#REF!</f>
        <v>#REF!</v>
      </c>
      <c r="P1" s="37" t="e">
        <f>PLANTILLA!#REF!</f>
        <v>#REF!</v>
      </c>
      <c r="Q1" s="38" t="e">
        <f>PLANTILLA!#REF!</f>
        <v>#REF!</v>
      </c>
      <c r="R1" s="38" t="e">
        <f>PLANTILLA!#REF!</f>
        <v>#REF!</v>
      </c>
      <c r="S1" s="38" t="e">
        <f>PLANTILLA!#REF!</f>
        <v>#REF!</v>
      </c>
      <c r="T1" s="38" t="e">
        <f>PLANTILLA!#REF!</f>
        <v>#REF!</v>
      </c>
      <c r="U1" s="38" t="e">
        <f>PLANTILLA!#REF!</f>
        <v>#REF!</v>
      </c>
      <c r="V1" s="38" t="e">
        <f>PLANTILLA!#REF!</f>
        <v>#REF!</v>
      </c>
      <c r="W1" s="38" t="e">
        <f>PLANTILLA!#REF!</f>
        <v>#REF!</v>
      </c>
      <c r="X1" s="38" t="e">
        <f>PLANTILLA!#REF!</f>
        <v>#REF!</v>
      </c>
      <c r="Y1" s="38" t="e">
        <f>PLANTILLA!#REF!</f>
        <v>#REF!</v>
      </c>
      <c r="Z1" s="38" t="e">
        <f>PLANTILLA!#REF!</f>
        <v>#REF!</v>
      </c>
      <c r="AA1" s="38" t="e">
        <f>PLANTILLA!#REF!</f>
        <v>#REF!</v>
      </c>
    </row>
    <row r="2" spans="1:27" x14ac:dyDescent="0.25">
      <c r="A2" t="str">
        <f>PLANTILLA!A22</f>
        <v>#9</v>
      </c>
      <c r="B2" s="41" t="str">
        <f>PLANTILLA!B22</f>
        <v>DAV</v>
      </c>
      <c r="C2" s="291" t="str">
        <f>PLANTILLA!C22</f>
        <v>Albert Millau</v>
      </c>
      <c r="D2" s="42">
        <f>PLANTILLA!D22</f>
        <v>26</v>
      </c>
      <c r="E2" s="43">
        <f ca="1">PLANTILLA!E22</f>
        <v>1</v>
      </c>
      <c r="F2" s="44">
        <f>PLANTILLA!F22</f>
        <v>0</v>
      </c>
      <c r="G2" s="45">
        <f>PLANTILLA!G22</f>
        <v>2</v>
      </c>
      <c r="H2" s="46">
        <f>PLANTILLA!H22</f>
        <v>3</v>
      </c>
      <c r="I2" s="55" t="e">
        <f>PLANTILLA!#REF!</f>
        <v>#REF!</v>
      </c>
      <c r="J2" s="56" t="e">
        <f>PLANTILLA!#REF!</f>
        <v>#REF!</v>
      </c>
      <c r="K2" s="56" t="e">
        <f>PLANTILLA!#REF!</f>
        <v>#REF!</v>
      </c>
      <c r="L2" s="56" t="e">
        <f>PLANTILLA!#REF!</f>
        <v>#REF!</v>
      </c>
      <c r="M2" s="56" t="e">
        <f>PLANTILLA!#REF!</f>
        <v>#REF!</v>
      </c>
      <c r="N2" s="56" t="e">
        <f>PLANTILLA!#REF!</f>
        <v>#REF!</v>
      </c>
      <c r="O2" s="56" t="e">
        <f>PLANTILLA!#REF!</f>
        <v>#REF!</v>
      </c>
      <c r="P2" s="56" t="e">
        <f>PLANTILLA!#REF!</f>
        <v>#REF!</v>
      </c>
      <c r="Q2" s="183" t="e">
        <f>PLANTILLA!#REF!</f>
        <v>#REF!</v>
      </c>
      <c r="R2" s="183" t="e">
        <f>PLANTILLA!#REF!</f>
        <v>#REF!</v>
      </c>
      <c r="S2" s="183" t="e">
        <f>PLANTILLA!#REF!</f>
        <v>#REF!</v>
      </c>
      <c r="T2" s="183" t="e">
        <f>PLANTILLA!#REF!</f>
        <v>#REF!</v>
      </c>
      <c r="U2" s="183" t="e">
        <f>PLANTILLA!#REF!</f>
        <v>#REF!</v>
      </c>
      <c r="V2" s="183" t="e">
        <f>PLANTILLA!#REF!</f>
        <v>#REF!</v>
      </c>
      <c r="W2" s="183" t="e">
        <f>PLANTILLA!#REF!</f>
        <v>#REF!</v>
      </c>
      <c r="X2" s="183" t="e">
        <f>PLANTILLA!#REF!</f>
        <v>#REF!</v>
      </c>
      <c r="Y2" s="183" t="e">
        <f>PLANTILLA!#REF!</f>
        <v>#REF!</v>
      </c>
      <c r="Z2" s="183" t="e">
        <f>PLANTILLA!#REF!</f>
        <v>#REF!</v>
      </c>
      <c r="AA2" s="183" t="e">
        <f>PLANTILLA!#REF!</f>
        <v>#REF!</v>
      </c>
    </row>
    <row r="3" spans="1:27" x14ac:dyDescent="0.25">
      <c r="A3" t="str">
        <f>PLANTILLA!A12</f>
        <v>#4</v>
      </c>
      <c r="B3" s="41" t="str">
        <f>PLANTILLA!B12</f>
        <v>MED</v>
      </c>
      <c r="C3" s="291" t="str">
        <f>PLANTILLA!C12</f>
        <v>Calogero Coluccio</v>
      </c>
      <c r="D3" s="42">
        <f>PLANTILLA!D12</f>
        <v>24</v>
      </c>
      <c r="E3" s="43">
        <f ca="1">PLANTILLA!E12</f>
        <v>19</v>
      </c>
      <c r="F3" s="44" t="str">
        <f>PLANTILLA!F12</f>
        <v>RAP</v>
      </c>
      <c r="G3" s="45">
        <f>PLANTILLA!G12</f>
        <v>0</v>
      </c>
      <c r="H3" s="46">
        <f>PLANTILLA!H12</f>
        <v>2</v>
      </c>
      <c r="I3" s="55" t="e">
        <f>PLANTILLA!#REF!</f>
        <v>#REF!</v>
      </c>
      <c r="J3" s="56" t="e">
        <f>PLANTILLA!#REF!</f>
        <v>#REF!</v>
      </c>
      <c r="K3" s="56" t="e">
        <f>PLANTILLA!#REF!</f>
        <v>#REF!</v>
      </c>
      <c r="L3" s="56" t="e">
        <f>PLANTILLA!#REF!</f>
        <v>#REF!</v>
      </c>
      <c r="M3" s="56" t="e">
        <f>PLANTILLA!#REF!</f>
        <v>#REF!</v>
      </c>
      <c r="N3" s="56" t="e">
        <f>PLANTILLA!#REF!</f>
        <v>#REF!</v>
      </c>
      <c r="O3" s="56" t="e">
        <f>PLANTILLA!#REF!</f>
        <v>#REF!</v>
      </c>
      <c r="P3" s="56" t="e">
        <f>PLANTILLA!#REF!</f>
        <v>#REF!</v>
      </c>
      <c r="Q3" s="183" t="e">
        <f>PLANTILLA!#REF!</f>
        <v>#REF!</v>
      </c>
      <c r="R3" s="183" t="e">
        <f>PLANTILLA!#REF!</f>
        <v>#REF!</v>
      </c>
      <c r="S3" s="183" t="e">
        <f>PLANTILLA!#REF!</f>
        <v>#REF!</v>
      </c>
      <c r="T3" s="183" t="e">
        <f>PLANTILLA!#REF!</f>
        <v>#REF!</v>
      </c>
      <c r="U3" s="183" t="e">
        <f>PLANTILLA!#REF!</f>
        <v>#REF!</v>
      </c>
      <c r="V3" s="183" t="e">
        <f>PLANTILLA!#REF!</f>
        <v>#REF!</v>
      </c>
      <c r="W3" s="183" t="e">
        <f>PLANTILLA!#REF!</f>
        <v>#REF!</v>
      </c>
      <c r="X3" s="183" t="e">
        <f>PLANTILLA!#REF!</f>
        <v>#REF!</v>
      </c>
      <c r="Y3" s="183" t="e">
        <f>PLANTILLA!#REF!</f>
        <v>#REF!</v>
      </c>
      <c r="Z3" s="183" t="e">
        <f>PLANTILLA!#REF!</f>
        <v>#REF!</v>
      </c>
      <c r="AA3" s="183" t="e">
        <f>PLANTILLA!#REF!</f>
        <v>#REF!</v>
      </c>
    </row>
    <row r="4" spans="1:27" x14ac:dyDescent="0.25">
      <c r="A4" t="str">
        <f>PLANTILLA!A11</f>
        <v>#2</v>
      </c>
      <c r="B4" s="41" t="str">
        <f>PLANTILLA!B11</f>
        <v>MED</v>
      </c>
      <c r="C4" s="291" t="str">
        <f>PLANTILLA!C11</f>
        <v>Mauro Ascariz</v>
      </c>
      <c r="D4" s="42">
        <f>PLANTILLA!D11</f>
        <v>19</v>
      </c>
      <c r="E4" s="43">
        <f ca="1">PLANTILLA!E11</f>
        <v>84</v>
      </c>
      <c r="F4" s="44">
        <f>PLANTILLA!F11</f>
        <v>0</v>
      </c>
      <c r="G4" s="45">
        <f>PLANTILLA!G11</f>
        <v>4</v>
      </c>
      <c r="H4" s="46">
        <f>PLANTILLA!H11</f>
        <v>1</v>
      </c>
      <c r="I4" s="55" t="e">
        <f>PLANTILLA!#REF!</f>
        <v>#REF!</v>
      </c>
      <c r="J4" s="56" t="e">
        <f>PLANTILLA!#REF!</f>
        <v>#REF!</v>
      </c>
      <c r="K4" s="56" t="e">
        <f>PLANTILLA!#REF!</f>
        <v>#REF!</v>
      </c>
      <c r="L4" s="56" t="e">
        <f>PLANTILLA!#REF!</f>
        <v>#REF!</v>
      </c>
      <c r="M4" s="56" t="e">
        <f>PLANTILLA!#REF!</f>
        <v>#REF!</v>
      </c>
      <c r="N4" s="56" t="e">
        <f>PLANTILLA!#REF!</f>
        <v>#REF!</v>
      </c>
      <c r="O4" s="56" t="e">
        <f>PLANTILLA!#REF!</f>
        <v>#REF!</v>
      </c>
      <c r="P4" s="56" t="e">
        <f>PLANTILLA!#REF!</f>
        <v>#REF!</v>
      </c>
      <c r="Q4" s="183" t="e">
        <f>PLANTILLA!#REF!</f>
        <v>#REF!</v>
      </c>
      <c r="R4" s="183" t="e">
        <f>PLANTILLA!#REF!</f>
        <v>#REF!</v>
      </c>
      <c r="S4" s="183" t="e">
        <f>PLANTILLA!#REF!</f>
        <v>#REF!</v>
      </c>
      <c r="T4" s="183" t="e">
        <f>PLANTILLA!#REF!</f>
        <v>#REF!</v>
      </c>
      <c r="U4" s="183" t="e">
        <f>PLANTILLA!#REF!</f>
        <v>#REF!</v>
      </c>
      <c r="V4" s="183" t="e">
        <f>PLANTILLA!#REF!</f>
        <v>#REF!</v>
      </c>
      <c r="W4" s="183" t="e">
        <f>PLANTILLA!#REF!</f>
        <v>#REF!</v>
      </c>
      <c r="X4" s="183" t="e">
        <f>PLANTILLA!#REF!</f>
        <v>#REF!</v>
      </c>
      <c r="Y4" s="183" t="e">
        <f>PLANTILLA!#REF!</f>
        <v>#REF!</v>
      </c>
      <c r="Z4" s="183" t="e">
        <f>PLANTILLA!#REF!</f>
        <v>#REF!</v>
      </c>
      <c r="AA4" s="183" t="e">
        <f>PLANTILLA!#REF!</f>
        <v>#REF!</v>
      </c>
    </row>
    <row r="5" spans="1:27" x14ac:dyDescent="0.25">
      <c r="A5" t="e">
        <f>PLANTILLA!#REF!</f>
        <v>#REF!</v>
      </c>
      <c r="B5" s="41" t="e">
        <f>PLANTILLA!#REF!</f>
        <v>#REF!</v>
      </c>
      <c r="C5" s="291" t="e">
        <f>PLANTILLA!#REF!</f>
        <v>#REF!</v>
      </c>
      <c r="D5" s="42" t="e">
        <f>PLANTILLA!#REF!</f>
        <v>#REF!</v>
      </c>
      <c r="E5" s="43" t="e">
        <f>PLANTILLA!#REF!</f>
        <v>#REF!</v>
      </c>
      <c r="F5" s="44" t="e">
        <f>PLANTILLA!#REF!</f>
        <v>#REF!</v>
      </c>
      <c r="G5" s="45" t="e">
        <f>PLANTILLA!#REF!</f>
        <v>#REF!</v>
      </c>
      <c r="H5" s="46" t="e">
        <f>PLANTILLA!#REF!</f>
        <v>#REF!</v>
      </c>
      <c r="I5" s="55" t="e">
        <f>PLANTILLA!#REF!</f>
        <v>#REF!</v>
      </c>
      <c r="J5" s="56" t="e">
        <f>PLANTILLA!#REF!</f>
        <v>#REF!</v>
      </c>
      <c r="K5" s="56" t="e">
        <f>PLANTILLA!#REF!</f>
        <v>#REF!</v>
      </c>
      <c r="L5" s="56" t="e">
        <f>PLANTILLA!#REF!</f>
        <v>#REF!</v>
      </c>
      <c r="M5" s="56" t="e">
        <f>PLANTILLA!#REF!</f>
        <v>#REF!</v>
      </c>
      <c r="N5" s="56" t="e">
        <f>PLANTILLA!#REF!</f>
        <v>#REF!</v>
      </c>
      <c r="O5" s="56" t="e">
        <f>PLANTILLA!#REF!</f>
        <v>#REF!</v>
      </c>
      <c r="P5" s="56" t="e">
        <f>PLANTILLA!#REF!</f>
        <v>#REF!</v>
      </c>
      <c r="Q5" s="183" t="e">
        <f>PLANTILLA!#REF!</f>
        <v>#REF!</v>
      </c>
      <c r="R5" s="183" t="e">
        <f>PLANTILLA!#REF!</f>
        <v>#REF!</v>
      </c>
      <c r="S5" s="183" t="e">
        <f>PLANTILLA!#REF!</f>
        <v>#REF!</v>
      </c>
      <c r="T5" s="183" t="e">
        <f>PLANTILLA!#REF!</f>
        <v>#REF!</v>
      </c>
      <c r="U5" s="183" t="e">
        <f>PLANTILLA!#REF!</f>
        <v>#REF!</v>
      </c>
      <c r="V5" s="183" t="e">
        <f>PLANTILLA!#REF!</f>
        <v>#REF!</v>
      </c>
      <c r="W5" s="183" t="e">
        <f>PLANTILLA!#REF!</f>
        <v>#REF!</v>
      </c>
      <c r="X5" s="183" t="e">
        <f>PLANTILLA!#REF!</f>
        <v>#REF!</v>
      </c>
      <c r="Y5" s="183" t="e">
        <f>PLANTILLA!#REF!</f>
        <v>#REF!</v>
      </c>
      <c r="Z5" s="183" t="e">
        <f>PLANTILLA!#REF!</f>
        <v>#REF!</v>
      </c>
      <c r="AA5" s="183" t="e">
        <f>PLANTILLA!#REF!</f>
        <v>#REF!</v>
      </c>
    </row>
    <row r="6" spans="1:27" x14ac:dyDescent="0.25">
      <c r="A6" t="str">
        <f>PLANTILLA!A13</f>
        <v>#5</v>
      </c>
      <c r="B6" s="41" t="str">
        <f>PLANTILLA!B13</f>
        <v>MED</v>
      </c>
      <c r="C6" s="291" t="str">
        <f>PLANTILLA!C13</f>
        <v>Julian Blanco</v>
      </c>
      <c r="D6" s="42">
        <f>PLANTILLA!D13</f>
        <v>24</v>
      </c>
      <c r="E6" s="43">
        <f ca="1">PLANTILLA!E13</f>
        <v>73</v>
      </c>
      <c r="F6" s="44" t="str">
        <f>PLANTILLA!F13</f>
        <v>TEC</v>
      </c>
      <c r="G6" s="45">
        <f>PLANTILLA!G13</f>
        <v>4</v>
      </c>
      <c r="H6" s="46">
        <f>PLANTILLA!H13</f>
        <v>3</v>
      </c>
      <c r="I6" s="55" t="e">
        <f>PLANTILLA!#REF!</f>
        <v>#REF!</v>
      </c>
      <c r="J6" s="56" t="e">
        <f>PLANTILLA!#REF!</f>
        <v>#REF!</v>
      </c>
      <c r="K6" s="56" t="e">
        <f>PLANTILLA!#REF!</f>
        <v>#REF!</v>
      </c>
      <c r="L6" s="56" t="e">
        <f>PLANTILLA!#REF!</f>
        <v>#REF!</v>
      </c>
      <c r="M6" s="56" t="e">
        <f>PLANTILLA!#REF!</f>
        <v>#REF!</v>
      </c>
      <c r="N6" s="56" t="e">
        <f>PLANTILLA!#REF!</f>
        <v>#REF!</v>
      </c>
      <c r="O6" s="56" t="e">
        <f>PLANTILLA!#REF!</f>
        <v>#REF!</v>
      </c>
      <c r="P6" s="56" t="e">
        <f>PLANTILLA!#REF!</f>
        <v>#REF!</v>
      </c>
      <c r="Q6" s="183" t="e">
        <f>PLANTILLA!#REF!</f>
        <v>#REF!</v>
      </c>
      <c r="R6" s="183" t="e">
        <f>PLANTILLA!#REF!</f>
        <v>#REF!</v>
      </c>
      <c r="S6" s="183" t="e">
        <f>PLANTILLA!#REF!</f>
        <v>#REF!</v>
      </c>
      <c r="T6" s="183" t="e">
        <f>PLANTILLA!#REF!</f>
        <v>#REF!</v>
      </c>
      <c r="U6" s="183" t="e">
        <f>PLANTILLA!#REF!</f>
        <v>#REF!</v>
      </c>
      <c r="V6" s="183" t="e">
        <f>PLANTILLA!#REF!</f>
        <v>#REF!</v>
      </c>
      <c r="W6" s="183" t="e">
        <f>PLANTILLA!#REF!</f>
        <v>#REF!</v>
      </c>
      <c r="X6" s="183" t="e">
        <f>PLANTILLA!#REF!</f>
        <v>#REF!</v>
      </c>
      <c r="Y6" s="183" t="e">
        <f>PLANTILLA!#REF!</f>
        <v>#REF!</v>
      </c>
      <c r="Z6" s="183" t="e">
        <f>PLANTILLA!#REF!</f>
        <v>#REF!</v>
      </c>
      <c r="AA6" s="183" t="e">
        <f>PLANTILLA!#REF!</f>
        <v>#REF!</v>
      </c>
    </row>
    <row r="7" spans="1:27" x14ac:dyDescent="0.25">
      <c r="A7" t="str">
        <f>PLANTILLA!A18</f>
        <v>#7</v>
      </c>
      <c r="B7" s="41" t="str">
        <f>PLANTILLA!B18</f>
        <v>EXT</v>
      </c>
      <c r="C7" s="291" t="str">
        <f>PLANTILLA!C18</f>
        <v>Fernan de Caranza</v>
      </c>
      <c r="D7" s="42">
        <f>PLANTILLA!D18</f>
        <v>20</v>
      </c>
      <c r="E7" s="43">
        <f ca="1">PLANTILLA!E18</f>
        <v>54</v>
      </c>
      <c r="F7" s="44" t="str">
        <f>PLANTILLA!F18</f>
        <v>POT</v>
      </c>
      <c r="G7" s="45">
        <f>PLANTILLA!G18</f>
        <v>4</v>
      </c>
      <c r="H7" s="46">
        <f>PLANTILLA!H18</f>
        <v>1</v>
      </c>
      <c r="I7" s="55" t="e">
        <f>PLANTILLA!#REF!</f>
        <v>#REF!</v>
      </c>
      <c r="J7" s="56" t="e">
        <f>PLANTILLA!#REF!</f>
        <v>#REF!</v>
      </c>
      <c r="K7" s="56" t="e">
        <f>PLANTILLA!#REF!</f>
        <v>#REF!</v>
      </c>
      <c r="L7" s="56" t="e">
        <f>PLANTILLA!#REF!</f>
        <v>#REF!</v>
      </c>
      <c r="M7" s="56" t="e">
        <f>PLANTILLA!#REF!</f>
        <v>#REF!</v>
      </c>
      <c r="N7" s="56" t="e">
        <f>PLANTILLA!#REF!</f>
        <v>#REF!</v>
      </c>
      <c r="O7" s="56" t="e">
        <f>PLANTILLA!#REF!</f>
        <v>#REF!</v>
      </c>
      <c r="P7" s="56" t="e">
        <f>PLANTILLA!#REF!</f>
        <v>#REF!</v>
      </c>
      <c r="Q7" s="183" t="e">
        <f>PLANTILLA!#REF!</f>
        <v>#REF!</v>
      </c>
      <c r="R7" s="183" t="e">
        <f>PLANTILLA!#REF!</f>
        <v>#REF!</v>
      </c>
      <c r="S7" s="183" t="e">
        <f>PLANTILLA!#REF!</f>
        <v>#REF!</v>
      </c>
      <c r="T7" s="183" t="e">
        <f>PLANTILLA!#REF!</f>
        <v>#REF!</v>
      </c>
      <c r="U7" s="183" t="e">
        <f>PLANTILLA!#REF!</f>
        <v>#REF!</v>
      </c>
      <c r="V7" s="183" t="e">
        <f>PLANTILLA!#REF!</f>
        <v>#REF!</v>
      </c>
      <c r="W7" s="183" t="e">
        <f>PLANTILLA!#REF!</f>
        <v>#REF!</v>
      </c>
      <c r="X7" s="183" t="e">
        <f>PLANTILLA!#REF!</f>
        <v>#REF!</v>
      </c>
      <c r="Y7" s="183" t="e">
        <f>PLANTILLA!#REF!</f>
        <v>#REF!</v>
      </c>
      <c r="Z7" s="183" t="e">
        <f>PLANTILLA!#REF!</f>
        <v>#REF!</v>
      </c>
      <c r="AA7" s="183" t="e">
        <f>PLANTILLA!#REF!</f>
        <v>#REF!</v>
      </c>
    </row>
    <row r="8" spans="1:27" x14ac:dyDescent="0.25">
      <c r="A8" t="str">
        <f>PLANTILLA!A20</f>
        <v>#11</v>
      </c>
      <c r="B8" s="41" t="str">
        <f>PLANTILLA!B20</f>
        <v>EXT</v>
      </c>
      <c r="C8" s="291" t="str">
        <f>PLANTILLA!C20</f>
        <v>Hemmu Ramchi</v>
      </c>
      <c r="D8" s="42">
        <f>PLANTILLA!D20</f>
        <v>22</v>
      </c>
      <c r="E8" s="43">
        <f ca="1">PLANTILLA!E20</f>
        <v>105</v>
      </c>
      <c r="F8" s="44">
        <f>PLANTILLA!F20</f>
        <v>0</v>
      </c>
      <c r="G8" s="45">
        <f>PLANTILLA!G20</f>
        <v>2</v>
      </c>
      <c r="H8" s="46">
        <f>PLANTILLA!H20</f>
        <v>2</v>
      </c>
      <c r="I8" s="55" t="e">
        <f>PLANTILLA!#REF!</f>
        <v>#REF!</v>
      </c>
      <c r="J8" s="56" t="e">
        <f>PLANTILLA!#REF!</f>
        <v>#REF!</v>
      </c>
      <c r="K8" s="56" t="e">
        <f>PLANTILLA!#REF!</f>
        <v>#REF!</v>
      </c>
      <c r="L8" s="56" t="e">
        <f>PLANTILLA!#REF!</f>
        <v>#REF!</v>
      </c>
      <c r="M8" s="56" t="e">
        <f>PLANTILLA!#REF!</f>
        <v>#REF!</v>
      </c>
      <c r="N8" s="56" t="e">
        <f>PLANTILLA!#REF!</f>
        <v>#REF!</v>
      </c>
      <c r="O8" s="56" t="e">
        <f>PLANTILLA!#REF!</f>
        <v>#REF!</v>
      </c>
      <c r="P8" s="56" t="e">
        <f>PLANTILLA!#REF!</f>
        <v>#REF!</v>
      </c>
      <c r="Q8" s="183" t="e">
        <f>PLANTILLA!#REF!</f>
        <v>#REF!</v>
      </c>
      <c r="R8" s="183" t="e">
        <f>PLANTILLA!#REF!</f>
        <v>#REF!</v>
      </c>
      <c r="S8" s="183" t="e">
        <f>PLANTILLA!#REF!</f>
        <v>#REF!</v>
      </c>
      <c r="T8" s="183" t="e">
        <f>PLANTILLA!#REF!</f>
        <v>#REF!</v>
      </c>
      <c r="U8" s="183" t="e">
        <f>PLANTILLA!#REF!</f>
        <v>#REF!</v>
      </c>
      <c r="V8" s="183" t="e">
        <f>PLANTILLA!#REF!</f>
        <v>#REF!</v>
      </c>
      <c r="W8" s="183" t="e">
        <f>PLANTILLA!#REF!</f>
        <v>#REF!</v>
      </c>
      <c r="X8" s="183" t="e">
        <f>PLANTILLA!#REF!</f>
        <v>#REF!</v>
      </c>
      <c r="Y8" s="183" t="e">
        <f>PLANTILLA!#REF!</f>
        <v>#REF!</v>
      </c>
      <c r="Z8" s="183" t="e">
        <f>PLANTILLA!#REF!</f>
        <v>#REF!</v>
      </c>
      <c r="AA8" s="183" t="e">
        <f>PLANTILLA!#REF!</f>
        <v>#REF!</v>
      </c>
    </row>
    <row r="9" spans="1:27" x14ac:dyDescent="0.25">
      <c r="A9" t="str">
        <f>PLANTILLA!A23</f>
        <v>#6</v>
      </c>
      <c r="B9" s="41" t="str">
        <f>PLANTILLA!B23</f>
        <v>DAV</v>
      </c>
      <c r="C9" s="291" t="str">
        <f>PLANTILLA!C23</f>
        <v>Pablo Carbo</v>
      </c>
      <c r="D9" s="42">
        <f>PLANTILLA!D23</f>
        <v>34</v>
      </c>
      <c r="E9" s="43">
        <f ca="1">PLANTILLA!E23</f>
        <v>12</v>
      </c>
      <c r="F9" s="44">
        <f>PLANTILLA!F23</f>
        <v>0</v>
      </c>
      <c r="G9" s="45">
        <f>PLANTILLA!G23</f>
        <v>2</v>
      </c>
      <c r="H9" s="46">
        <f>PLANTILLA!H23</f>
        <v>5</v>
      </c>
      <c r="I9" s="55" t="e">
        <f>PLANTILLA!#REF!</f>
        <v>#REF!</v>
      </c>
      <c r="J9" s="56" t="e">
        <f>PLANTILLA!#REF!</f>
        <v>#REF!</v>
      </c>
      <c r="K9" s="56" t="e">
        <f>PLANTILLA!#REF!</f>
        <v>#REF!</v>
      </c>
      <c r="L9" s="56" t="e">
        <f>PLANTILLA!#REF!</f>
        <v>#REF!</v>
      </c>
      <c r="M9" s="56" t="e">
        <f>PLANTILLA!#REF!</f>
        <v>#REF!</v>
      </c>
      <c r="N9" s="56" t="e">
        <f>PLANTILLA!#REF!</f>
        <v>#REF!</v>
      </c>
      <c r="O9" s="56" t="e">
        <f>PLANTILLA!#REF!</f>
        <v>#REF!</v>
      </c>
      <c r="P9" s="56" t="e">
        <f>PLANTILLA!#REF!</f>
        <v>#REF!</v>
      </c>
      <c r="Q9" s="183" t="e">
        <f>PLANTILLA!#REF!</f>
        <v>#REF!</v>
      </c>
      <c r="R9" s="183" t="e">
        <f>PLANTILLA!#REF!</f>
        <v>#REF!</v>
      </c>
      <c r="S9" s="183" t="e">
        <f>PLANTILLA!#REF!</f>
        <v>#REF!</v>
      </c>
      <c r="T9" s="183" t="e">
        <f>PLANTILLA!#REF!</f>
        <v>#REF!</v>
      </c>
      <c r="U9" s="183" t="e">
        <f>PLANTILLA!#REF!</f>
        <v>#REF!</v>
      </c>
      <c r="V9" s="183" t="e">
        <f>PLANTILLA!#REF!</f>
        <v>#REF!</v>
      </c>
      <c r="W9" s="183" t="e">
        <f>PLANTILLA!#REF!</f>
        <v>#REF!</v>
      </c>
      <c r="X9" s="183" t="e">
        <f>PLANTILLA!#REF!</f>
        <v>#REF!</v>
      </c>
      <c r="Y9" s="183" t="e">
        <f>PLANTILLA!#REF!</f>
        <v>#REF!</v>
      </c>
      <c r="Z9" s="183" t="e">
        <f>PLANTILLA!#REF!</f>
        <v>#REF!</v>
      </c>
      <c r="AA9" s="183" t="e">
        <f>PLANTILLA!#REF!</f>
        <v>#REF!</v>
      </c>
    </row>
    <row r="10" spans="1:27" x14ac:dyDescent="0.25">
      <c r="A10" t="e">
        <f>PLANTILLA!#REF!</f>
        <v>#REF!</v>
      </c>
      <c r="B10" s="41" t="e">
        <f>PLANTILLA!#REF!</f>
        <v>#REF!</v>
      </c>
      <c r="C10" s="291" t="e">
        <f>PLANTILLA!#REF!</f>
        <v>#REF!</v>
      </c>
      <c r="D10" s="42" t="e">
        <f>PLANTILLA!#REF!</f>
        <v>#REF!</v>
      </c>
      <c r="E10" s="43" t="e">
        <f>PLANTILLA!#REF!</f>
        <v>#REF!</v>
      </c>
      <c r="F10" s="44" t="e">
        <f>PLANTILLA!#REF!</f>
        <v>#REF!</v>
      </c>
      <c r="G10" s="45" t="e">
        <f>PLANTILLA!#REF!</f>
        <v>#REF!</v>
      </c>
      <c r="H10" s="46" t="e">
        <f>PLANTILLA!#REF!</f>
        <v>#REF!</v>
      </c>
      <c r="I10" s="55" t="e">
        <f>PLANTILLA!#REF!</f>
        <v>#REF!</v>
      </c>
      <c r="J10" s="56" t="e">
        <f>PLANTILLA!#REF!</f>
        <v>#REF!</v>
      </c>
      <c r="K10" s="56" t="e">
        <f>PLANTILLA!#REF!</f>
        <v>#REF!</v>
      </c>
      <c r="L10" s="56" t="e">
        <f>PLANTILLA!#REF!</f>
        <v>#REF!</v>
      </c>
      <c r="M10" s="56" t="e">
        <f>PLANTILLA!#REF!</f>
        <v>#REF!</v>
      </c>
      <c r="N10" s="56" t="e">
        <f>PLANTILLA!#REF!</f>
        <v>#REF!</v>
      </c>
      <c r="O10" s="56" t="e">
        <f>PLANTILLA!#REF!</f>
        <v>#REF!</v>
      </c>
      <c r="P10" s="56" t="e">
        <f>PLANTILLA!#REF!</f>
        <v>#REF!</v>
      </c>
      <c r="Q10" s="183" t="e">
        <f>PLANTILLA!#REF!</f>
        <v>#REF!</v>
      </c>
      <c r="R10" s="183" t="e">
        <f>PLANTILLA!#REF!</f>
        <v>#REF!</v>
      </c>
      <c r="S10" s="183" t="e">
        <f>PLANTILLA!#REF!</f>
        <v>#REF!</v>
      </c>
      <c r="T10" s="183" t="e">
        <f>PLANTILLA!#REF!</f>
        <v>#REF!</v>
      </c>
      <c r="U10" s="183" t="e">
        <f>PLANTILLA!#REF!</f>
        <v>#REF!</v>
      </c>
      <c r="V10" s="183" t="e">
        <f>PLANTILLA!#REF!</f>
        <v>#REF!</v>
      </c>
      <c r="W10" s="183" t="e">
        <f>PLANTILLA!#REF!</f>
        <v>#REF!</v>
      </c>
      <c r="X10" s="183" t="e">
        <f>PLANTILLA!#REF!</f>
        <v>#REF!</v>
      </c>
      <c r="Y10" s="183" t="e">
        <f>PLANTILLA!#REF!</f>
        <v>#REF!</v>
      </c>
      <c r="Z10" s="183" t="e">
        <f>PLANTILLA!#REF!</f>
        <v>#REF!</v>
      </c>
      <c r="AA10" s="183" t="e">
        <f>PLANTILLA!#REF!</f>
        <v>#REF!</v>
      </c>
    </row>
    <row r="11" spans="1:27" x14ac:dyDescent="0.25">
      <c r="A11" t="e">
        <f>PLANTILLA!#REF!</f>
        <v>#REF!</v>
      </c>
      <c r="B11" s="41" t="e">
        <f>PLANTILLA!#REF!</f>
        <v>#REF!</v>
      </c>
      <c r="C11" s="291" t="e">
        <f>PLANTILLA!#REF!</f>
        <v>#REF!</v>
      </c>
      <c r="D11" s="42" t="e">
        <f>PLANTILLA!#REF!</f>
        <v>#REF!</v>
      </c>
      <c r="E11" s="43" t="e">
        <f>PLANTILLA!#REF!</f>
        <v>#REF!</v>
      </c>
      <c r="F11" s="44" t="e">
        <f>PLANTILLA!#REF!</f>
        <v>#REF!</v>
      </c>
      <c r="G11" s="45" t="e">
        <f>PLANTILLA!#REF!</f>
        <v>#REF!</v>
      </c>
      <c r="H11" s="46" t="e">
        <f>PLANTILLA!#REF!</f>
        <v>#REF!</v>
      </c>
      <c r="I11" s="55" t="e">
        <f>PLANTILLA!#REF!</f>
        <v>#REF!</v>
      </c>
      <c r="J11" s="56" t="e">
        <f>PLANTILLA!#REF!</f>
        <v>#REF!</v>
      </c>
      <c r="K11" s="56" t="e">
        <f>PLANTILLA!#REF!</f>
        <v>#REF!</v>
      </c>
      <c r="L11" s="56" t="e">
        <f>PLANTILLA!#REF!</f>
        <v>#REF!</v>
      </c>
      <c r="M11" s="56" t="e">
        <f>PLANTILLA!#REF!</f>
        <v>#REF!</v>
      </c>
      <c r="N11" s="56" t="e">
        <f>PLANTILLA!#REF!</f>
        <v>#REF!</v>
      </c>
      <c r="O11" s="56" t="e">
        <f>PLANTILLA!#REF!</f>
        <v>#REF!</v>
      </c>
      <c r="P11" s="56" t="e">
        <f>PLANTILLA!#REF!</f>
        <v>#REF!</v>
      </c>
      <c r="Q11" s="183" t="e">
        <f>PLANTILLA!#REF!</f>
        <v>#REF!</v>
      </c>
      <c r="R11" s="183" t="e">
        <f>PLANTILLA!#REF!</f>
        <v>#REF!</v>
      </c>
      <c r="S11" s="183" t="e">
        <f>PLANTILLA!#REF!</f>
        <v>#REF!</v>
      </c>
      <c r="T11" s="183" t="e">
        <f>PLANTILLA!#REF!</f>
        <v>#REF!</v>
      </c>
      <c r="U11" s="183" t="e">
        <f>PLANTILLA!#REF!</f>
        <v>#REF!</v>
      </c>
      <c r="V11" s="183" t="e">
        <f>PLANTILLA!#REF!</f>
        <v>#REF!</v>
      </c>
      <c r="W11" s="183" t="e">
        <f>PLANTILLA!#REF!</f>
        <v>#REF!</v>
      </c>
      <c r="X11" s="183" t="e">
        <f>PLANTILLA!#REF!</f>
        <v>#REF!</v>
      </c>
      <c r="Y11" s="183" t="e">
        <f>PLANTILLA!#REF!</f>
        <v>#REF!</v>
      </c>
      <c r="Z11" s="183" t="e">
        <f>PLANTILLA!#REF!</f>
        <v>#REF!</v>
      </c>
      <c r="AA11" s="183" t="e">
        <f>PLANTILLA!#REF!</f>
        <v>#REF!</v>
      </c>
    </row>
    <row r="12" spans="1:27" x14ac:dyDescent="0.25">
      <c r="A12" t="str">
        <f>PLANTILLA!A4</f>
        <v>#1</v>
      </c>
      <c r="B12" s="41" t="str">
        <f>PLANTILLA!B4</f>
        <v>POR</v>
      </c>
      <c r="C12" s="291" t="str">
        <f>PLANTILLA!C4</f>
        <v>Jordi Ricart</v>
      </c>
      <c r="D12" s="42">
        <f>PLANTILLA!D4</f>
        <v>22</v>
      </c>
      <c r="E12" s="43">
        <f ca="1">PLANTILLA!E4</f>
        <v>7</v>
      </c>
      <c r="F12" s="44">
        <f>PLANTILLA!F4</f>
        <v>0</v>
      </c>
      <c r="G12" s="45">
        <f>PLANTILLA!G4</f>
        <v>3</v>
      </c>
      <c r="H12" s="46">
        <f>PLANTILLA!H4</f>
        <v>2</v>
      </c>
      <c r="I12" s="55" t="e">
        <f>PLANTILLA!#REF!</f>
        <v>#REF!</v>
      </c>
      <c r="J12" s="56" t="e">
        <f>PLANTILLA!#REF!</f>
        <v>#REF!</v>
      </c>
      <c r="K12" s="56" t="e">
        <f>PLANTILLA!#REF!</f>
        <v>#REF!</v>
      </c>
      <c r="L12" s="56" t="e">
        <f>PLANTILLA!#REF!</f>
        <v>#REF!</v>
      </c>
      <c r="M12" s="56" t="e">
        <f>PLANTILLA!#REF!</f>
        <v>#REF!</v>
      </c>
      <c r="N12" s="56" t="e">
        <f>PLANTILLA!#REF!</f>
        <v>#REF!</v>
      </c>
      <c r="O12" s="56" t="e">
        <f>PLANTILLA!#REF!</f>
        <v>#REF!</v>
      </c>
      <c r="P12" s="56" t="e">
        <f>PLANTILLA!#REF!</f>
        <v>#REF!</v>
      </c>
      <c r="Q12" s="183" t="e">
        <f>PLANTILLA!#REF!</f>
        <v>#REF!</v>
      </c>
      <c r="R12" s="183" t="e">
        <f>PLANTILLA!#REF!</f>
        <v>#REF!</v>
      </c>
      <c r="S12" s="183" t="e">
        <f>PLANTILLA!#REF!</f>
        <v>#REF!</v>
      </c>
      <c r="T12" s="183" t="e">
        <f>PLANTILLA!#REF!</f>
        <v>#REF!</v>
      </c>
      <c r="U12" s="183" t="e">
        <f>PLANTILLA!#REF!</f>
        <v>#REF!</v>
      </c>
      <c r="V12" s="183" t="e">
        <f>PLANTILLA!#REF!</f>
        <v>#REF!</v>
      </c>
      <c r="W12" s="183" t="e">
        <f>PLANTILLA!#REF!</f>
        <v>#REF!</v>
      </c>
      <c r="X12" s="183" t="e">
        <f>PLANTILLA!#REF!</f>
        <v>#REF!</v>
      </c>
      <c r="Y12" s="183" t="e">
        <f>PLANTILLA!#REF!</f>
        <v>#REF!</v>
      </c>
      <c r="Z12" s="183" t="e">
        <f>PLANTILLA!#REF!</f>
        <v>#REF!</v>
      </c>
      <c r="AA12" s="183" t="e">
        <f>PLANTILLA!#REF!</f>
        <v>#REF!</v>
      </c>
    </row>
    <row r="13" spans="1:27" x14ac:dyDescent="0.25">
      <c r="A13" t="str">
        <f>PLANTILLA!A6</f>
        <v>#13</v>
      </c>
      <c r="B13" s="41" t="str">
        <f>PLANTILLA!B6</f>
        <v>LAT</v>
      </c>
      <c r="C13" s="293" t="str">
        <f>PLANTILLA!C6</f>
        <v>Antero Lombo</v>
      </c>
      <c r="D13" s="42">
        <f>PLANTILLA!D6</f>
        <v>31</v>
      </c>
      <c r="E13" s="43">
        <f ca="1">PLANTILLA!E6</f>
        <v>56</v>
      </c>
      <c r="F13" s="44">
        <f>PLANTILLA!F6</f>
        <v>0</v>
      </c>
      <c r="G13" s="45">
        <f>PLANTILLA!G6</f>
        <v>1</v>
      </c>
      <c r="H13" s="46">
        <f>PLANTILLA!H6</f>
        <v>5</v>
      </c>
      <c r="I13" s="55" t="e">
        <f>PLANTILLA!#REF!</f>
        <v>#REF!</v>
      </c>
      <c r="J13" s="56" t="e">
        <f>PLANTILLA!#REF!</f>
        <v>#REF!</v>
      </c>
      <c r="K13" s="56" t="e">
        <f>PLANTILLA!#REF!</f>
        <v>#REF!</v>
      </c>
      <c r="L13" s="56" t="e">
        <f>PLANTILLA!#REF!</f>
        <v>#REF!</v>
      </c>
      <c r="M13" s="56" t="e">
        <f>PLANTILLA!#REF!</f>
        <v>#REF!</v>
      </c>
      <c r="N13" s="56" t="e">
        <f>PLANTILLA!#REF!</f>
        <v>#REF!</v>
      </c>
      <c r="O13" s="56" t="e">
        <f>PLANTILLA!#REF!</f>
        <v>#REF!</v>
      </c>
      <c r="P13" s="56" t="e">
        <f>PLANTILLA!#REF!</f>
        <v>#REF!</v>
      </c>
      <c r="Q13" s="183" t="e">
        <f>PLANTILLA!#REF!</f>
        <v>#REF!</v>
      </c>
      <c r="R13" s="183" t="e">
        <f>PLANTILLA!#REF!</f>
        <v>#REF!</v>
      </c>
      <c r="S13" s="183" t="e">
        <f>PLANTILLA!#REF!</f>
        <v>#REF!</v>
      </c>
      <c r="T13" s="183" t="e">
        <f>PLANTILLA!#REF!</f>
        <v>#REF!</v>
      </c>
      <c r="U13" s="183" t="e">
        <f>PLANTILLA!#REF!</f>
        <v>#REF!</v>
      </c>
      <c r="V13" s="183" t="e">
        <f>PLANTILLA!#REF!</f>
        <v>#REF!</v>
      </c>
      <c r="W13" s="183" t="e">
        <f>PLANTILLA!#REF!</f>
        <v>#REF!</v>
      </c>
      <c r="X13" s="183" t="e">
        <f>PLANTILLA!#REF!</f>
        <v>#REF!</v>
      </c>
      <c r="Y13" s="183" t="e">
        <f>PLANTILLA!#REF!</f>
        <v>#REF!</v>
      </c>
      <c r="Z13" s="183" t="e">
        <f>PLANTILLA!#REF!</f>
        <v>#REF!</v>
      </c>
      <c r="AA13" s="183" t="e">
        <f>PLANTILLA!#REF!</f>
        <v>#REF!</v>
      </c>
    </row>
    <row r="14" spans="1:27" x14ac:dyDescent="0.25">
      <c r="A14" t="e">
        <f>PLANTILLA!#REF!</f>
        <v>#REF!</v>
      </c>
      <c r="B14" s="41" t="e">
        <f>PLANTILLA!#REF!</f>
        <v>#REF!</v>
      </c>
      <c r="C14" s="293" t="e">
        <f>PLANTILLA!#REF!</f>
        <v>#REF!</v>
      </c>
      <c r="D14" s="42" t="e">
        <f>PLANTILLA!#REF!</f>
        <v>#REF!</v>
      </c>
      <c r="E14" s="43" t="e">
        <f>PLANTILLA!#REF!</f>
        <v>#REF!</v>
      </c>
      <c r="F14" s="44" t="e">
        <f>PLANTILLA!#REF!</f>
        <v>#REF!</v>
      </c>
      <c r="G14" s="45" t="e">
        <f>PLANTILLA!#REF!</f>
        <v>#REF!</v>
      </c>
      <c r="H14" s="46" t="e">
        <f>PLANTILLA!#REF!</f>
        <v>#REF!</v>
      </c>
      <c r="I14" s="55" t="e">
        <f>PLANTILLA!#REF!</f>
        <v>#REF!</v>
      </c>
      <c r="J14" s="56" t="e">
        <f>PLANTILLA!#REF!</f>
        <v>#REF!</v>
      </c>
      <c r="K14" s="56" t="e">
        <f>PLANTILLA!#REF!</f>
        <v>#REF!</v>
      </c>
      <c r="L14" s="56" t="e">
        <f>PLANTILLA!#REF!</f>
        <v>#REF!</v>
      </c>
      <c r="M14" s="56" t="e">
        <f>PLANTILLA!#REF!</f>
        <v>#REF!</v>
      </c>
      <c r="N14" s="56" t="e">
        <f>PLANTILLA!#REF!</f>
        <v>#REF!</v>
      </c>
      <c r="O14" s="56" t="e">
        <f>PLANTILLA!#REF!</f>
        <v>#REF!</v>
      </c>
      <c r="P14" s="56" t="e">
        <f>PLANTILLA!#REF!</f>
        <v>#REF!</v>
      </c>
      <c r="Q14" s="183" t="e">
        <f>PLANTILLA!#REF!</f>
        <v>#REF!</v>
      </c>
      <c r="R14" s="183" t="e">
        <f>PLANTILLA!#REF!</f>
        <v>#REF!</v>
      </c>
      <c r="S14" s="183" t="e">
        <f>PLANTILLA!#REF!</f>
        <v>#REF!</v>
      </c>
      <c r="T14" s="183" t="e">
        <f>PLANTILLA!#REF!</f>
        <v>#REF!</v>
      </c>
      <c r="U14" s="183" t="e">
        <f>PLANTILLA!#REF!</f>
        <v>#REF!</v>
      </c>
      <c r="V14" s="183" t="e">
        <f>PLANTILLA!#REF!</f>
        <v>#REF!</v>
      </c>
      <c r="W14" s="183" t="e">
        <f>PLANTILLA!#REF!</f>
        <v>#REF!</v>
      </c>
      <c r="X14" s="183" t="e">
        <f>PLANTILLA!#REF!</f>
        <v>#REF!</v>
      </c>
      <c r="Y14" s="183" t="e">
        <f>PLANTILLA!#REF!</f>
        <v>#REF!</v>
      </c>
      <c r="Z14" s="183" t="e">
        <f>PLANTILLA!#REF!</f>
        <v>#REF!</v>
      </c>
      <c r="AA14" s="183" t="e">
        <f>PLANTILLA!#REF!</f>
        <v>#REF!</v>
      </c>
    </row>
    <row r="15" spans="1:27" x14ac:dyDescent="0.25">
      <c r="A15" t="str">
        <f>PLANTILLA!A9</f>
        <v>#3</v>
      </c>
      <c r="B15" s="41" t="str">
        <f>PLANTILLA!B9</f>
        <v>CEN</v>
      </c>
      <c r="C15" s="293" t="str">
        <f>PLANTILLA!C9</f>
        <v>Juan Carlos Morata</v>
      </c>
      <c r="D15" s="42">
        <f>PLANTILLA!D9</f>
        <v>18</v>
      </c>
      <c r="E15" s="43">
        <f ca="1">PLANTILLA!E9</f>
        <v>91</v>
      </c>
      <c r="F15" s="44" t="str">
        <f>PLANTILLA!F9</f>
        <v>CAB</v>
      </c>
      <c r="G15" s="45">
        <f>PLANTILLA!G9</f>
        <v>2</v>
      </c>
      <c r="H15" s="46">
        <f>PLANTILLA!H9</f>
        <v>1</v>
      </c>
      <c r="I15" s="55" t="e">
        <f>PLANTILLA!#REF!</f>
        <v>#REF!</v>
      </c>
      <c r="J15" s="56" t="e">
        <f>PLANTILLA!#REF!</f>
        <v>#REF!</v>
      </c>
      <c r="K15" s="56" t="e">
        <f>PLANTILLA!#REF!</f>
        <v>#REF!</v>
      </c>
      <c r="L15" s="56" t="e">
        <f>PLANTILLA!#REF!</f>
        <v>#REF!</v>
      </c>
      <c r="M15" s="56" t="e">
        <f>PLANTILLA!#REF!</f>
        <v>#REF!</v>
      </c>
      <c r="N15" s="56" t="e">
        <f>PLANTILLA!#REF!</f>
        <v>#REF!</v>
      </c>
      <c r="O15" s="56" t="e">
        <f>PLANTILLA!#REF!</f>
        <v>#REF!</v>
      </c>
      <c r="P15" s="56" t="e">
        <f>PLANTILLA!#REF!</f>
        <v>#REF!</v>
      </c>
      <c r="Q15" s="183" t="e">
        <f>PLANTILLA!#REF!</f>
        <v>#REF!</v>
      </c>
      <c r="R15" s="183" t="e">
        <f>PLANTILLA!#REF!</f>
        <v>#REF!</v>
      </c>
      <c r="S15" s="183" t="e">
        <f>PLANTILLA!#REF!</f>
        <v>#REF!</v>
      </c>
      <c r="T15" s="183" t="e">
        <f>PLANTILLA!#REF!</f>
        <v>#REF!</v>
      </c>
      <c r="U15" s="183" t="e">
        <f>PLANTILLA!#REF!</f>
        <v>#REF!</v>
      </c>
      <c r="V15" s="183" t="e">
        <f>PLANTILLA!#REF!</f>
        <v>#REF!</v>
      </c>
      <c r="W15" s="183" t="e">
        <f>PLANTILLA!#REF!</f>
        <v>#REF!</v>
      </c>
      <c r="X15" s="183" t="e">
        <f>PLANTILLA!#REF!</f>
        <v>#REF!</v>
      </c>
      <c r="Y15" s="183" t="e">
        <f>PLANTILLA!#REF!</f>
        <v>#REF!</v>
      </c>
      <c r="Z15" s="183" t="e">
        <f>PLANTILLA!#REF!</f>
        <v>#REF!</v>
      </c>
      <c r="AA15" s="183" t="e">
        <f>PLANTILLA!#REF!</f>
        <v>#REF!</v>
      </c>
    </row>
    <row r="16" spans="1:27" x14ac:dyDescent="0.25">
      <c r="A16" t="str">
        <f>PLANTILLA!A21</f>
        <v>#15</v>
      </c>
      <c r="B16" s="41" t="str">
        <f>PLANTILLA!B21</f>
        <v>DAV</v>
      </c>
      <c r="C16" s="293" t="str">
        <f>PLANTILLA!C21</f>
        <v>Marc Costa</v>
      </c>
      <c r="D16" s="42">
        <f>PLANTILLA!D21</f>
        <v>19</v>
      </c>
      <c r="E16" s="43">
        <f ca="1">PLANTILLA!E21</f>
        <v>20</v>
      </c>
      <c r="F16" s="44">
        <f>PLANTILLA!F21</f>
        <v>0</v>
      </c>
      <c r="G16" s="45">
        <f>PLANTILLA!G21</f>
        <v>3</v>
      </c>
      <c r="H16" s="46">
        <f>PLANTILLA!H21</f>
        <v>1</v>
      </c>
      <c r="I16" s="55" t="e">
        <f>PLANTILLA!#REF!</f>
        <v>#REF!</v>
      </c>
      <c r="J16" s="56" t="e">
        <f>PLANTILLA!#REF!</f>
        <v>#REF!</v>
      </c>
      <c r="K16" s="56" t="e">
        <f>PLANTILLA!#REF!</f>
        <v>#REF!</v>
      </c>
      <c r="L16" s="56" t="e">
        <f>PLANTILLA!#REF!</f>
        <v>#REF!</v>
      </c>
      <c r="M16" s="56" t="e">
        <f>PLANTILLA!#REF!</f>
        <v>#REF!</v>
      </c>
      <c r="N16" s="56" t="e">
        <f>PLANTILLA!#REF!</f>
        <v>#REF!</v>
      </c>
      <c r="O16" s="56" t="e">
        <f>PLANTILLA!#REF!</f>
        <v>#REF!</v>
      </c>
      <c r="P16" s="56" t="e">
        <f>PLANTILLA!#REF!</f>
        <v>#REF!</v>
      </c>
      <c r="Q16" s="183" t="e">
        <f>PLANTILLA!#REF!</f>
        <v>#REF!</v>
      </c>
      <c r="R16" s="183" t="e">
        <f>PLANTILLA!#REF!</f>
        <v>#REF!</v>
      </c>
      <c r="S16" s="183" t="e">
        <f>PLANTILLA!#REF!</f>
        <v>#REF!</v>
      </c>
      <c r="T16" s="183" t="e">
        <f>PLANTILLA!#REF!</f>
        <v>#REF!</v>
      </c>
      <c r="U16" s="183" t="e">
        <f>PLANTILLA!#REF!</f>
        <v>#REF!</v>
      </c>
      <c r="V16" s="183" t="e">
        <f>PLANTILLA!#REF!</f>
        <v>#REF!</v>
      </c>
      <c r="W16" s="183" t="e">
        <f>PLANTILLA!#REF!</f>
        <v>#REF!</v>
      </c>
      <c r="X16" s="183" t="e">
        <f>PLANTILLA!#REF!</f>
        <v>#REF!</v>
      </c>
      <c r="Y16" s="183" t="e">
        <f>PLANTILLA!#REF!</f>
        <v>#REF!</v>
      </c>
      <c r="Z16" s="183" t="e">
        <f>PLANTILLA!#REF!</f>
        <v>#REF!</v>
      </c>
      <c r="AA16" s="183" t="e">
        <f>PLANTILLA!#REF!</f>
        <v>#REF!</v>
      </c>
    </row>
    <row r="17" spans="1:27" x14ac:dyDescent="0.25">
      <c r="A17" t="e">
        <f>PLANTILLA!#REF!</f>
        <v>#REF!</v>
      </c>
      <c r="B17" s="41" t="e">
        <f>PLANTILLA!#REF!</f>
        <v>#REF!</v>
      </c>
      <c r="C17" s="292" t="e">
        <f>PLANTILLA!#REF!</f>
        <v>#REF!</v>
      </c>
      <c r="D17" s="42" t="e">
        <f>PLANTILLA!#REF!</f>
        <v>#REF!</v>
      </c>
      <c r="E17" s="43" t="e">
        <f>PLANTILLA!#REF!</f>
        <v>#REF!</v>
      </c>
      <c r="F17" s="44" t="e">
        <f>PLANTILLA!#REF!</f>
        <v>#REF!</v>
      </c>
      <c r="G17" s="45" t="e">
        <f>PLANTILLA!#REF!</f>
        <v>#REF!</v>
      </c>
      <c r="H17" s="46" t="e">
        <f>PLANTILLA!#REF!</f>
        <v>#REF!</v>
      </c>
      <c r="I17" s="55" t="e">
        <f>PLANTILLA!#REF!</f>
        <v>#REF!</v>
      </c>
      <c r="J17" s="56" t="e">
        <f>PLANTILLA!#REF!</f>
        <v>#REF!</v>
      </c>
      <c r="K17" s="56" t="e">
        <f>PLANTILLA!#REF!</f>
        <v>#REF!</v>
      </c>
      <c r="L17" s="56" t="e">
        <f>PLANTILLA!#REF!</f>
        <v>#REF!</v>
      </c>
      <c r="M17" s="56" t="e">
        <f>PLANTILLA!#REF!</f>
        <v>#REF!</v>
      </c>
      <c r="N17" s="56" t="e">
        <f>PLANTILLA!#REF!</f>
        <v>#REF!</v>
      </c>
      <c r="O17" s="56" t="e">
        <f>PLANTILLA!#REF!</f>
        <v>#REF!</v>
      </c>
      <c r="P17" s="56" t="e">
        <f>PLANTILLA!#REF!</f>
        <v>#REF!</v>
      </c>
      <c r="Q17" s="183" t="e">
        <f>PLANTILLA!#REF!</f>
        <v>#REF!</v>
      </c>
      <c r="R17" s="183" t="e">
        <f>PLANTILLA!#REF!</f>
        <v>#REF!</v>
      </c>
      <c r="S17" s="183" t="e">
        <f>PLANTILLA!#REF!</f>
        <v>#REF!</v>
      </c>
      <c r="T17" s="183" t="e">
        <f>PLANTILLA!#REF!</f>
        <v>#REF!</v>
      </c>
      <c r="U17" s="183" t="e">
        <f>PLANTILLA!#REF!</f>
        <v>#REF!</v>
      </c>
      <c r="V17" s="183" t="e">
        <f>PLANTILLA!#REF!</f>
        <v>#REF!</v>
      </c>
      <c r="W17" s="183" t="e">
        <f>PLANTILLA!#REF!</f>
        <v>#REF!</v>
      </c>
      <c r="X17" s="183" t="e">
        <f>PLANTILLA!#REF!</f>
        <v>#REF!</v>
      </c>
      <c r="Y17" s="183" t="e">
        <f>PLANTILLA!#REF!</f>
        <v>#REF!</v>
      </c>
      <c r="Z17" s="183" t="e">
        <f>PLANTILLA!#REF!</f>
        <v>#REF!</v>
      </c>
      <c r="AA17" s="183" t="e">
        <f>PLANTILLA!#REF!</f>
        <v>#REF!</v>
      </c>
    </row>
    <row r="18" spans="1:27" x14ac:dyDescent="0.25">
      <c r="A18" t="e">
        <f>PLANTILLA!#REF!</f>
        <v>#REF!</v>
      </c>
      <c r="B18" s="41" t="e">
        <f>PLANTILLA!#REF!</f>
        <v>#REF!</v>
      </c>
      <c r="C18" s="292" t="e">
        <f>PLANTILLA!#REF!</f>
        <v>#REF!</v>
      </c>
      <c r="D18" s="42" t="e">
        <f>PLANTILLA!#REF!</f>
        <v>#REF!</v>
      </c>
      <c r="E18" s="43" t="e">
        <f>PLANTILLA!#REF!</f>
        <v>#REF!</v>
      </c>
      <c r="F18" s="44" t="e">
        <f>PLANTILLA!#REF!</f>
        <v>#REF!</v>
      </c>
      <c r="G18" s="45" t="e">
        <f>PLANTILLA!#REF!</f>
        <v>#REF!</v>
      </c>
      <c r="H18" s="46" t="e">
        <f>PLANTILLA!#REF!</f>
        <v>#REF!</v>
      </c>
      <c r="I18" s="55" t="e">
        <f>PLANTILLA!#REF!</f>
        <v>#REF!</v>
      </c>
      <c r="J18" s="56" t="e">
        <f>PLANTILLA!#REF!</f>
        <v>#REF!</v>
      </c>
      <c r="K18" s="56" t="e">
        <f>PLANTILLA!#REF!</f>
        <v>#REF!</v>
      </c>
      <c r="L18" s="56" t="e">
        <f>PLANTILLA!#REF!</f>
        <v>#REF!</v>
      </c>
      <c r="M18" s="56" t="e">
        <f>PLANTILLA!#REF!</f>
        <v>#REF!</v>
      </c>
      <c r="N18" s="56" t="e">
        <f>PLANTILLA!#REF!</f>
        <v>#REF!</v>
      </c>
      <c r="O18" s="56" t="e">
        <f>PLANTILLA!#REF!</f>
        <v>#REF!</v>
      </c>
      <c r="P18" s="56" t="e">
        <f>PLANTILLA!#REF!</f>
        <v>#REF!</v>
      </c>
      <c r="Q18" s="183" t="e">
        <f>PLANTILLA!#REF!</f>
        <v>#REF!</v>
      </c>
      <c r="R18" s="183" t="e">
        <f>PLANTILLA!#REF!</f>
        <v>#REF!</v>
      </c>
      <c r="S18" s="183" t="e">
        <f>PLANTILLA!#REF!</f>
        <v>#REF!</v>
      </c>
      <c r="T18" s="183" t="e">
        <f>PLANTILLA!#REF!</f>
        <v>#REF!</v>
      </c>
      <c r="U18" s="183" t="e">
        <f>PLANTILLA!#REF!</f>
        <v>#REF!</v>
      </c>
      <c r="V18" s="183" t="e">
        <f>PLANTILLA!#REF!</f>
        <v>#REF!</v>
      </c>
      <c r="W18" s="183" t="e">
        <f>PLANTILLA!#REF!</f>
        <v>#REF!</v>
      </c>
      <c r="X18" s="183" t="e">
        <f>PLANTILLA!#REF!</f>
        <v>#REF!</v>
      </c>
      <c r="Y18" s="183" t="e">
        <f>PLANTILLA!#REF!</f>
        <v>#REF!</v>
      </c>
      <c r="Z18" s="183" t="e">
        <f>PLANTILLA!#REF!</f>
        <v>#REF!</v>
      </c>
      <c r="AA18" s="183" t="e">
        <f>PLANTILLA!#REF!</f>
        <v>#REF!</v>
      </c>
    </row>
    <row r="19" spans="1:27" x14ac:dyDescent="0.25">
      <c r="A19" t="e">
        <f>PLANTILLA!#REF!</f>
        <v>#REF!</v>
      </c>
      <c r="B19" s="41" t="e">
        <f>PLANTILLA!#REF!</f>
        <v>#REF!</v>
      </c>
      <c r="C19" s="293" t="e">
        <f>PLANTILLA!#REF!</f>
        <v>#REF!</v>
      </c>
      <c r="D19" s="42" t="e">
        <f>PLANTILLA!#REF!</f>
        <v>#REF!</v>
      </c>
      <c r="E19" s="43" t="e">
        <f>PLANTILLA!#REF!</f>
        <v>#REF!</v>
      </c>
      <c r="F19" s="44" t="e">
        <f>PLANTILLA!#REF!</f>
        <v>#REF!</v>
      </c>
      <c r="G19" s="45" t="e">
        <f>PLANTILLA!#REF!</f>
        <v>#REF!</v>
      </c>
      <c r="H19" s="46" t="e">
        <f>PLANTILLA!#REF!</f>
        <v>#REF!</v>
      </c>
      <c r="I19" s="55" t="e">
        <f>PLANTILLA!#REF!</f>
        <v>#REF!</v>
      </c>
      <c r="J19" s="56" t="e">
        <f>PLANTILLA!#REF!</f>
        <v>#REF!</v>
      </c>
      <c r="K19" s="56" t="e">
        <f>PLANTILLA!#REF!</f>
        <v>#REF!</v>
      </c>
      <c r="L19" s="56" t="e">
        <f>PLANTILLA!#REF!</f>
        <v>#REF!</v>
      </c>
      <c r="M19" s="56" t="e">
        <f>PLANTILLA!#REF!</f>
        <v>#REF!</v>
      </c>
      <c r="N19" s="56" t="e">
        <f>PLANTILLA!#REF!</f>
        <v>#REF!</v>
      </c>
      <c r="O19" s="56" t="e">
        <f>PLANTILLA!#REF!</f>
        <v>#REF!</v>
      </c>
      <c r="P19" s="56" t="e">
        <f>PLANTILLA!#REF!</f>
        <v>#REF!</v>
      </c>
      <c r="Q19" s="183" t="e">
        <f>PLANTILLA!#REF!</f>
        <v>#REF!</v>
      </c>
      <c r="R19" s="183" t="e">
        <f>PLANTILLA!#REF!</f>
        <v>#REF!</v>
      </c>
      <c r="S19" s="183" t="e">
        <f>PLANTILLA!#REF!</f>
        <v>#REF!</v>
      </c>
      <c r="T19" s="183" t="e">
        <f>PLANTILLA!#REF!</f>
        <v>#REF!</v>
      </c>
      <c r="U19" s="183" t="e">
        <f>PLANTILLA!#REF!</f>
        <v>#REF!</v>
      </c>
      <c r="V19" s="183" t="e">
        <f>PLANTILLA!#REF!</f>
        <v>#REF!</v>
      </c>
      <c r="W19" s="183" t="e">
        <f>PLANTILLA!#REF!</f>
        <v>#REF!</v>
      </c>
      <c r="X19" s="183" t="e">
        <f>PLANTILLA!#REF!</f>
        <v>#REF!</v>
      </c>
      <c r="Y19" s="183" t="e">
        <f>PLANTILLA!#REF!</f>
        <v>#REF!</v>
      </c>
      <c r="Z19" s="183" t="e">
        <f>PLANTILLA!#REF!</f>
        <v>#REF!</v>
      </c>
      <c r="AA19" s="183" t="e">
        <f>PLANTILLA!#REF!</f>
        <v>#REF!</v>
      </c>
    </row>
    <row r="20" spans="1:27" x14ac:dyDescent="0.25">
      <c r="A20" t="str">
        <f>PLANTILLA!A8</f>
        <v>#18</v>
      </c>
      <c r="B20" s="41" t="str">
        <f>PLANTILLA!B8</f>
        <v>CEN</v>
      </c>
      <c r="C20" s="292" t="str">
        <f>PLANTILLA!C8</f>
        <v>Marcelino Velunza</v>
      </c>
      <c r="D20" s="42">
        <f>PLANTILLA!D8</f>
        <v>30</v>
      </c>
      <c r="E20" s="43">
        <f ca="1">PLANTILLA!E8</f>
        <v>64</v>
      </c>
      <c r="F20" s="44" t="str">
        <f>PLANTILLA!F8</f>
        <v>RAP</v>
      </c>
      <c r="G20" s="45">
        <f>PLANTILLA!G8</f>
        <v>0</v>
      </c>
      <c r="H20" s="46">
        <f>PLANTILLA!H8</f>
        <v>4</v>
      </c>
      <c r="I20" s="55" t="e">
        <f>PLANTILLA!#REF!</f>
        <v>#REF!</v>
      </c>
      <c r="J20" s="56" t="e">
        <f>PLANTILLA!#REF!</f>
        <v>#REF!</v>
      </c>
      <c r="K20" s="56" t="e">
        <f>PLANTILLA!#REF!</f>
        <v>#REF!</v>
      </c>
      <c r="L20" s="56" t="e">
        <f>PLANTILLA!#REF!</f>
        <v>#REF!</v>
      </c>
      <c r="M20" s="56" t="e">
        <f>PLANTILLA!#REF!</f>
        <v>#REF!</v>
      </c>
      <c r="N20" s="56" t="e">
        <f>PLANTILLA!#REF!</f>
        <v>#REF!</v>
      </c>
      <c r="O20" s="56" t="e">
        <f>PLANTILLA!#REF!</f>
        <v>#REF!</v>
      </c>
      <c r="P20" s="56" t="e">
        <f>PLANTILLA!#REF!</f>
        <v>#REF!</v>
      </c>
      <c r="Q20" s="183" t="e">
        <f>PLANTILLA!#REF!</f>
        <v>#REF!</v>
      </c>
      <c r="R20" s="183" t="e">
        <f>PLANTILLA!#REF!</f>
        <v>#REF!</v>
      </c>
      <c r="S20" s="183" t="e">
        <f>PLANTILLA!#REF!</f>
        <v>#REF!</v>
      </c>
      <c r="T20" s="183" t="e">
        <f>PLANTILLA!#REF!</f>
        <v>#REF!</v>
      </c>
      <c r="U20" s="183" t="e">
        <f>PLANTILLA!#REF!</f>
        <v>#REF!</v>
      </c>
      <c r="V20" s="183" t="e">
        <f>PLANTILLA!#REF!</f>
        <v>#REF!</v>
      </c>
      <c r="W20" s="183" t="e">
        <f>PLANTILLA!#REF!</f>
        <v>#REF!</v>
      </c>
      <c r="X20" s="183" t="e">
        <f>PLANTILLA!#REF!</f>
        <v>#REF!</v>
      </c>
      <c r="Y20" s="183" t="e">
        <f>PLANTILLA!#REF!</f>
        <v>#REF!</v>
      </c>
      <c r="Z20" s="183" t="e">
        <f>PLANTILLA!#REF!</f>
        <v>#REF!</v>
      </c>
      <c r="AA20" s="183" t="e">
        <f>PLANTILLA!#REF!</f>
        <v>#REF!</v>
      </c>
    </row>
    <row r="21" spans="1:27" x14ac:dyDescent="0.25">
      <c r="A21" t="str">
        <f>PLANTILLA!A7</f>
        <v>#21</v>
      </c>
      <c r="B21" s="41" t="str">
        <f>PLANTILLA!B7</f>
        <v>LAT</v>
      </c>
      <c r="C21" s="292" t="str">
        <f>PLANTILLA!C7</f>
        <v>Loris Puppa</v>
      </c>
      <c r="D21" s="42">
        <f>PLANTILLA!D7</f>
        <v>27</v>
      </c>
      <c r="E21" s="43">
        <f ca="1">PLANTILLA!E7</f>
        <v>9</v>
      </c>
      <c r="F21" s="44">
        <f>PLANTILLA!F7</f>
        <v>0</v>
      </c>
      <c r="G21" s="45">
        <f>PLANTILLA!G7</f>
        <v>0</v>
      </c>
      <c r="H21" s="46">
        <f>PLANTILLA!H7</f>
        <v>3</v>
      </c>
      <c r="I21" s="55" t="e">
        <f>PLANTILLA!#REF!</f>
        <v>#REF!</v>
      </c>
      <c r="J21" s="56" t="e">
        <f>PLANTILLA!#REF!</f>
        <v>#REF!</v>
      </c>
      <c r="K21" s="56" t="e">
        <f>PLANTILLA!#REF!</f>
        <v>#REF!</v>
      </c>
      <c r="L21" s="56" t="e">
        <f>PLANTILLA!#REF!</f>
        <v>#REF!</v>
      </c>
      <c r="M21" s="56" t="e">
        <f>PLANTILLA!#REF!</f>
        <v>#REF!</v>
      </c>
      <c r="N21" s="56" t="e">
        <f>PLANTILLA!#REF!</f>
        <v>#REF!</v>
      </c>
      <c r="O21" s="56" t="e">
        <f>PLANTILLA!#REF!</f>
        <v>#REF!</v>
      </c>
      <c r="P21" s="56" t="e">
        <f>PLANTILLA!#REF!</f>
        <v>#REF!</v>
      </c>
      <c r="Q21" s="183" t="e">
        <f>PLANTILLA!#REF!</f>
        <v>#REF!</v>
      </c>
      <c r="R21" s="183" t="e">
        <f>PLANTILLA!#REF!</f>
        <v>#REF!</v>
      </c>
      <c r="S21" s="183" t="e">
        <f>PLANTILLA!#REF!</f>
        <v>#REF!</v>
      </c>
      <c r="T21" s="183" t="e">
        <f>PLANTILLA!#REF!</f>
        <v>#REF!</v>
      </c>
      <c r="U21" s="183" t="e">
        <f>PLANTILLA!#REF!</f>
        <v>#REF!</v>
      </c>
      <c r="V21" s="183" t="e">
        <f>PLANTILLA!#REF!</f>
        <v>#REF!</v>
      </c>
      <c r="W21" s="183" t="e">
        <f>PLANTILLA!#REF!</f>
        <v>#REF!</v>
      </c>
      <c r="X21" s="183" t="e">
        <f>PLANTILLA!#REF!</f>
        <v>#REF!</v>
      </c>
      <c r="Y21" s="183" t="e">
        <f>PLANTILLA!#REF!</f>
        <v>#REF!</v>
      </c>
      <c r="Z21" s="183" t="e">
        <f>PLANTILLA!#REF!</f>
        <v>#REF!</v>
      </c>
      <c r="AA21" s="183" t="e">
        <f>PLANTILLA!#REF!</f>
        <v>#REF!</v>
      </c>
    </row>
  </sheetData>
  <autoFilter ref="Q1:AA21" xr:uid="{24C40821-DD64-488D-A5E3-E11A804F4BDD}"/>
  <sortState xmlns:xlrd2="http://schemas.microsoft.com/office/spreadsheetml/2017/richdata2" ref="A2:AA21">
    <sortCondition descending="1" ref="I2"/>
  </sortState>
  <conditionalFormatting sqref="R2:T2">
    <cfRule type="colorScale" priority="1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">
    <cfRule type="colorScale" priority="1547">
      <colorScale>
        <cfvo type="min"/>
        <cfvo type="max"/>
        <color rgb="FFFFEF9C"/>
        <color rgb="FF63BE7B"/>
      </colorScale>
    </cfRule>
  </conditionalFormatting>
  <conditionalFormatting sqref="X2:Y2">
    <cfRule type="colorScale" priority="1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">
    <cfRule type="colorScale" priority="1553">
      <colorScale>
        <cfvo type="min"/>
        <cfvo type="max"/>
        <color rgb="FFFFEF9C"/>
        <color rgb="FF63BE7B"/>
      </colorScale>
    </cfRule>
  </conditionalFormatting>
  <conditionalFormatting sqref="Q2">
    <cfRule type="colorScale" priority="1556">
      <colorScale>
        <cfvo type="min"/>
        <cfvo type="max"/>
        <color rgb="FFFFEF9C"/>
        <color rgb="FF63BE7B"/>
      </colorScale>
    </cfRule>
  </conditionalFormatting>
  <conditionalFormatting sqref="I2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">
    <cfRule type="colorScale" priority="1559">
      <colorScale>
        <cfvo type="min"/>
        <cfvo type="max"/>
        <color rgb="FFFCFCFF"/>
        <color rgb="FFF8696B"/>
      </colorScale>
    </cfRule>
  </conditionalFormatting>
  <conditionalFormatting sqref="H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1">
    <cfRule type="colorScale" priority="2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W21">
    <cfRule type="colorScale" priority="2195">
      <colorScale>
        <cfvo type="min"/>
        <cfvo type="max"/>
        <color rgb="FFFFEF9C"/>
        <color rgb="FF63BE7B"/>
      </colorScale>
    </cfRule>
  </conditionalFormatting>
  <conditionalFormatting sqref="X3:Y21">
    <cfRule type="colorScale" priority="2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:AA21">
    <cfRule type="colorScale" priority="2199">
      <colorScale>
        <cfvo type="min"/>
        <cfvo type="max"/>
        <color rgb="FFFFEF9C"/>
        <color rgb="FF63BE7B"/>
      </colorScale>
    </cfRule>
  </conditionalFormatting>
  <conditionalFormatting sqref="Q3:Q21">
    <cfRule type="colorScale" priority="2201">
      <colorScale>
        <cfvo type="min"/>
        <cfvo type="max"/>
        <color rgb="FFFFEF9C"/>
        <color rgb="FF63BE7B"/>
      </colorScale>
    </cfRule>
  </conditionalFormatting>
  <conditionalFormatting sqref="I3:I21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P21">
    <cfRule type="colorScale" priority="2205">
      <colorScale>
        <cfvo type="min"/>
        <cfvo type="max"/>
        <color rgb="FFFCFCFF"/>
        <color rgb="FFF8696B"/>
      </colorScale>
    </cfRule>
  </conditionalFormatting>
  <conditionalFormatting sqref="H3:H21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 codeName="Hoja1">
    <tabColor rgb="FF92D050"/>
  </sheetPr>
  <dimension ref="A1:G130"/>
  <sheetViews>
    <sheetView workbookViewId="0">
      <selection activeCell="F12" sqref="F12"/>
    </sheetView>
  </sheetViews>
  <sheetFormatPr baseColWidth="10" defaultRowHeight="15" x14ac:dyDescent="0.25"/>
  <cols>
    <col min="1" max="1" width="11" style="352" bestFit="1" customWidth="1"/>
    <col min="2" max="2" width="8" style="352" bestFit="1" customWidth="1"/>
    <col min="3" max="3" width="10.42578125" style="349" bestFit="1" customWidth="1"/>
    <col min="4" max="4" width="31.85546875" bestFit="1" customWidth="1"/>
    <col min="5" max="5" width="12" style="349" bestFit="1" customWidth="1"/>
    <col min="6" max="6" width="42.7109375" bestFit="1" customWidth="1"/>
    <col min="7" max="7" width="12" bestFit="1" customWidth="1"/>
  </cols>
  <sheetData>
    <row r="1" spans="1:7" x14ac:dyDescent="0.25">
      <c r="C1" s="349">
        <v>100000</v>
      </c>
    </row>
    <row r="2" spans="1:7" s="9" customFormat="1" x14ac:dyDescent="0.25">
      <c r="A2" s="223" t="s">
        <v>281</v>
      </c>
      <c r="B2" s="223" t="s">
        <v>205</v>
      </c>
      <c r="C2" s="355" t="s">
        <v>282</v>
      </c>
      <c r="D2" s="272" t="s">
        <v>283</v>
      </c>
      <c r="E2" s="355" t="s">
        <v>284</v>
      </c>
      <c r="F2" s="272" t="s">
        <v>285</v>
      </c>
      <c r="G2" s="9" t="s">
        <v>287</v>
      </c>
    </row>
    <row r="3" spans="1:7" x14ac:dyDescent="0.25">
      <c r="A3" s="266">
        <v>1</v>
      </c>
      <c r="B3" s="266">
        <v>1</v>
      </c>
      <c r="C3" s="356">
        <v>100000</v>
      </c>
      <c r="D3" s="266" t="s">
        <v>286</v>
      </c>
      <c r="E3" s="356"/>
      <c r="F3" s="357"/>
      <c r="G3" s="350">
        <f>C3-C1</f>
        <v>0</v>
      </c>
    </row>
    <row r="4" spans="1:7" x14ac:dyDescent="0.25">
      <c r="A4" s="266">
        <v>1</v>
      </c>
      <c r="B4" s="266">
        <v>2</v>
      </c>
      <c r="C4" s="356"/>
      <c r="D4" s="357"/>
      <c r="E4" s="356"/>
      <c r="F4" s="357"/>
      <c r="G4" s="350">
        <f>G3+E4-C4</f>
        <v>0</v>
      </c>
    </row>
    <row r="5" spans="1:7" x14ac:dyDescent="0.25">
      <c r="A5" s="266">
        <v>1</v>
      </c>
      <c r="B5" s="266">
        <v>3</v>
      </c>
      <c r="C5" s="356"/>
      <c r="D5" s="357"/>
      <c r="E5" s="356"/>
      <c r="F5" s="357"/>
      <c r="G5" s="350">
        <f t="shared" ref="G5:G34" si="0">G4+E5-C5</f>
        <v>0</v>
      </c>
    </row>
    <row r="6" spans="1:7" x14ac:dyDescent="0.25">
      <c r="A6" s="266">
        <v>1</v>
      </c>
      <c r="B6" s="266">
        <v>4</v>
      </c>
      <c r="C6" s="356">
        <v>430000</v>
      </c>
      <c r="D6" s="357" t="s">
        <v>288</v>
      </c>
      <c r="E6" s="356">
        <f>285000*2</f>
        <v>570000</v>
      </c>
      <c r="F6" s="357" t="s">
        <v>289</v>
      </c>
      <c r="G6" s="350">
        <f t="shared" si="0"/>
        <v>140000</v>
      </c>
    </row>
    <row r="7" spans="1:7" s="9" customFormat="1" x14ac:dyDescent="0.25">
      <c r="A7" s="358">
        <v>1</v>
      </c>
      <c r="B7" s="266">
        <v>5</v>
      </c>
      <c r="C7" s="356"/>
      <c r="D7" s="275"/>
      <c r="E7" s="356"/>
      <c r="F7" s="275"/>
      <c r="G7" s="350">
        <f t="shared" si="0"/>
        <v>140000</v>
      </c>
    </row>
    <row r="8" spans="1:7" x14ac:dyDescent="0.25">
      <c r="A8" s="266">
        <v>1</v>
      </c>
      <c r="B8" s="266">
        <v>6</v>
      </c>
      <c r="C8" s="356"/>
      <c r="D8" s="357"/>
      <c r="E8" s="356"/>
      <c r="F8" s="357"/>
      <c r="G8" s="350">
        <f t="shared" si="0"/>
        <v>140000</v>
      </c>
    </row>
    <row r="9" spans="1:7" x14ac:dyDescent="0.25">
      <c r="A9" s="266">
        <v>1</v>
      </c>
      <c r="B9" s="266">
        <v>7</v>
      </c>
      <c r="C9" s="356"/>
      <c r="D9" s="357"/>
      <c r="E9" s="356"/>
      <c r="F9" s="357"/>
      <c r="G9" s="350">
        <f t="shared" si="0"/>
        <v>140000</v>
      </c>
    </row>
    <row r="10" spans="1:7" x14ac:dyDescent="0.25">
      <c r="A10" s="266">
        <v>1</v>
      </c>
      <c r="B10" s="266">
        <v>8</v>
      </c>
      <c r="C10" s="356">
        <v>430000</v>
      </c>
      <c r="D10" s="357" t="s">
        <v>288</v>
      </c>
      <c r="E10" s="356">
        <f>580000*2</f>
        <v>1160000</v>
      </c>
      <c r="F10" s="357" t="s">
        <v>290</v>
      </c>
      <c r="G10" s="350">
        <f t="shared" si="0"/>
        <v>870000</v>
      </c>
    </row>
    <row r="11" spans="1:7" x14ac:dyDescent="0.25">
      <c r="A11" s="266">
        <v>1</v>
      </c>
      <c r="B11" s="266">
        <v>9</v>
      </c>
      <c r="C11" s="356"/>
      <c r="D11" s="357"/>
      <c r="E11" s="356"/>
      <c r="F11" s="357"/>
      <c r="G11" s="350">
        <f t="shared" si="0"/>
        <v>870000</v>
      </c>
    </row>
    <row r="12" spans="1:7" x14ac:dyDescent="0.25">
      <c r="A12" s="266">
        <v>1</v>
      </c>
      <c r="B12" s="266">
        <v>10</v>
      </c>
      <c r="C12" s="356"/>
      <c r="D12" s="357"/>
      <c r="E12" s="356"/>
      <c r="F12" s="357"/>
      <c r="G12" s="350">
        <f t="shared" si="0"/>
        <v>870000</v>
      </c>
    </row>
    <row r="13" spans="1:7" x14ac:dyDescent="0.25">
      <c r="A13" s="266">
        <v>1</v>
      </c>
      <c r="B13" s="266">
        <v>11</v>
      </c>
      <c r="C13" s="356"/>
      <c r="D13" s="357"/>
      <c r="E13" s="356"/>
      <c r="F13" s="357"/>
      <c r="G13" s="350">
        <f t="shared" si="0"/>
        <v>870000</v>
      </c>
    </row>
    <row r="14" spans="1:7" x14ac:dyDescent="0.25">
      <c r="A14" s="358">
        <v>1</v>
      </c>
      <c r="B14" s="266">
        <v>12</v>
      </c>
      <c r="C14" s="356">
        <v>430000</v>
      </c>
      <c r="D14" s="357" t="s">
        <v>288</v>
      </c>
      <c r="E14" s="356">
        <f>580000*2</f>
        <v>1160000</v>
      </c>
      <c r="F14" s="357" t="s">
        <v>290</v>
      </c>
      <c r="G14" s="350">
        <f t="shared" si="0"/>
        <v>1600000</v>
      </c>
    </row>
    <row r="15" spans="1:7" x14ac:dyDescent="0.25">
      <c r="A15" s="266">
        <v>1</v>
      </c>
      <c r="B15" s="266">
        <v>13</v>
      </c>
      <c r="C15" s="356"/>
      <c r="D15" s="357"/>
      <c r="E15" s="356"/>
      <c r="F15" s="357"/>
      <c r="G15" s="350">
        <f t="shared" si="0"/>
        <v>1600000</v>
      </c>
    </row>
    <row r="16" spans="1:7" x14ac:dyDescent="0.25">
      <c r="A16" s="266">
        <v>1</v>
      </c>
      <c r="B16" s="266">
        <v>14</v>
      </c>
      <c r="C16" s="356"/>
      <c r="D16" s="357"/>
      <c r="E16" s="356"/>
      <c r="F16" s="357"/>
      <c r="G16" s="350">
        <f t="shared" si="0"/>
        <v>1600000</v>
      </c>
    </row>
    <row r="17" spans="1:7" x14ac:dyDescent="0.25">
      <c r="A17" s="266">
        <v>1</v>
      </c>
      <c r="B17" s="266">
        <v>15</v>
      </c>
      <c r="C17" s="356"/>
      <c r="D17" s="357"/>
      <c r="E17" s="356"/>
      <c r="F17" s="357"/>
      <c r="G17" s="350">
        <f t="shared" si="0"/>
        <v>1600000</v>
      </c>
    </row>
    <row r="18" spans="1:7" x14ac:dyDescent="0.25">
      <c r="A18" s="266">
        <v>1</v>
      </c>
      <c r="B18" s="266">
        <v>16</v>
      </c>
      <c r="C18" s="356">
        <v>430000</v>
      </c>
      <c r="D18" s="357" t="s">
        <v>288</v>
      </c>
      <c r="E18" s="356">
        <f>580000*2</f>
        <v>1160000</v>
      </c>
      <c r="F18" s="357" t="s">
        <v>290</v>
      </c>
      <c r="G18" s="350">
        <f t="shared" si="0"/>
        <v>2330000</v>
      </c>
    </row>
    <row r="19" spans="1:7" x14ac:dyDescent="0.25">
      <c r="A19" s="287">
        <v>2</v>
      </c>
      <c r="B19" s="287">
        <v>1</v>
      </c>
      <c r="C19" s="359"/>
      <c r="D19" s="360"/>
      <c r="E19" s="359"/>
      <c r="F19" s="360"/>
      <c r="G19" s="350">
        <f t="shared" si="0"/>
        <v>2330000</v>
      </c>
    </row>
    <row r="20" spans="1:7" x14ac:dyDescent="0.25">
      <c r="A20" s="287">
        <v>2</v>
      </c>
      <c r="B20" s="287">
        <v>2</v>
      </c>
      <c r="C20" s="359"/>
      <c r="D20" s="360"/>
      <c r="E20" s="359"/>
      <c r="F20" s="360"/>
      <c r="G20" s="350">
        <f t="shared" si="0"/>
        <v>2330000</v>
      </c>
    </row>
    <row r="21" spans="1:7" x14ac:dyDescent="0.25">
      <c r="A21" s="287">
        <v>2</v>
      </c>
      <c r="B21" s="287">
        <v>3</v>
      </c>
      <c r="C21" s="359"/>
      <c r="D21" s="360"/>
      <c r="E21" s="359"/>
      <c r="F21" s="360"/>
      <c r="G21" s="350">
        <f t="shared" si="0"/>
        <v>2330000</v>
      </c>
    </row>
    <row r="22" spans="1:7" x14ac:dyDescent="0.25">
      <c r="A22" s="287">
        <v>2</v>
      </c>
      <c r="B22" s="287">
        <v>4</v>
      </c>
      <c r="C22" s="359"/>
      <c r="D22" s="360"/>
      <c r="E22" s="359"/>
      <c r="F22" s="360"/>
      <c r="G22" s="350">
        <f t="shared" si="0"/>
        <v>2330000</v>
      </c>
    </row>
    <row r="23" spans="1:7" x14ac:dyDescent="0.25">
      <c r="A23" s="287">
        <v>2</v>
      </c>
      <c r="B23" s="287">
        <v>5</v>
      </c>
      <c r="C23" s="359"/>
      <c r="D23" s="360"/>
      <c r="E23" s="359"/>
      <c r="F23" s="360"/>
      <c r="G23" s="350">
        <f t="shared" si="0"/>
        <v>2330000</v>
      </c>
    </row>
    <row r="24" spans="1:7" x14ac:dyDescent="0.25">
      <c r="A24" s="287">
        <v>2</v>
      </c>
      <c r="B24" s="287">
        <v>6</v>
      </c>
      <c r="C24" s="359"/>
      <c r="D24" s="360"/>
      <c r="E24" s="359"/>
      <c r="F24" s="360"/>
      <c r="G24" s="350">
        <f t="shared" si="0"/>
        <v>2330000</v>
      </c>
    </row>
    <row r="25" spans="1:7" x14ac:dyDescent="0.25">
      <c r="A25" s="287">
        <v>2</v>
      </c>
      <c r="B25" s="287">
        <v>7</v>
      </c>
      <c r="C25" s="359"/>
      <c r="D25" s="360"/>
      <c r="E25" s="359"/>
      <c r="F25" s="360"/>
      <c r="G25" s="350">
        <f t="shared" si="0"/>
        <v>2330000</v>
      </c>
    </row>
    <row r="26" spans="1:7" x14ac:dyDescent="0.25">
      <c r="A26" s="287">
        <v>2</v>
      </c>
      <c r="B26" s="287">
        <v>8</v>
      </c>
      <c r="C26" s="359"/>
      <c r="D26" s="360"/>
      <c r="E26" s="359"/>
      <c r="F26" s="360"/>
      <c r="G26" s="350">
        <f t="shared" si="0"/>
        <v>2330000</v>
      </c>
    </row>
    <row r="27" spans="1:7" x14ac:dyDescent="0.25">
      <c r="A27" s="287">
        <v>2</v>
      </c>
      <c r="B27" s="287">
        <v>9</v>
      </c>
      <c r="C27" s="359"/>
      <c r="D27" s="360"/>
      <c r="E27" s="359"/>
      <c r="F27" s="360"/>
      <c r="G27" s="350">
        <f t="shared" si="0"/>
        <v>2330000</v>
      </c>
    </row>
    <row r="28" spans="1:7" x14ac:dyDescent="0.25">
      <c r="A28" s="287">
        <v>2</v>
      </c>
      <c r="B28" s="287">
        <v>10</v>
      </c>
      <c r="C28" s="359"/>
      <c r="D28" s="360"/>
      <c r="E28" s="359"/>
      <c r="F28" s="360"/>
      <c r="G28" s="350">
        <f t="shared" si="0"/>
        <v>2330000</v>
      </c>
    </row>
    <row r="29" spans="1:7" x14ac:dyDescent="0.25">
      <c r="A29" s="287">
        <v>2</v>
      </c>
      <c r="B29" s="287">
        <v>11</v>
      </c>
      <c r="C29" s="359"/>
      <c r="D29" s="360"/>
      <c r="E29" s="359"/>
      <c r="F29" s="360"/>
      <c r="G29" s="350">
        <f t="shared" si="0"/>
        <v>2330000</v>
      </c>
    </row>
    <row r="30" spans="1:7" x14ac:dyDescent="0.25">
      <c r="A30" s="287">
        <v>2</v>
      </c>
      <c r="B30" s="287">
        <v>12</v>
      </c>
      <c r="C30" s="359"/>
      <c r="D30" s="360"/>
      <c r="E30" s="359"/>
      <c r="F30" s="360"/>
      <c r="G30" s="350">
        <f t="shared" si="0"/>
        <v>2330000</v>
      </c>
    </row>
    <row r="31" spans="1:7" x14ac:dyDescent="0.25">
      <c r="A31" s="287">
        <v>2</v>
      </c>
      <c r="B31" s="287">
        <v>13</v>
      </c>
      <c r="C31" s="359"/>
      <c r="D31" s="360"/>
      <c r="E31" s="359"/>
      <c r="F31" s="360"/>
      <c r="G31" s="350">
        <f t="shared" si="0"/>
        <v>2330000</v>
      </c>
    </row>
    <row r="32" spans="1:7" x14ac:dyDescent="0.25">
      <c r="A32" s="287">
        <v>2</v>
      </c>
      <c r="B32" s="287">
        <v>14</v>
      </c>
      <c r="C32" s="359"/>
      <c r="D32" s="360"/>
      <c r="E32" s="359"/>
      <c r="F32" s="360"/>
      <c r="G32" s="350">
        <f t="shared" si="0"/>
        <v>2330000</v>
      </c>
    </row>
    <row r="33" spans="1:7" x14ac:dyDescent="0.25">
      <c r="A33" s="287">
        <v>2</v>
      </c>
      <c r="B33" s="287">
        <v>15</v>
      </c>
      <c r="C33" s="359"/>
      <c r="D33" s="360"/>
      <c r="E33" s="359"/>
      <c r="F33" s="360"/>
      <c r="G33" s="350">
        <f t="shared" si="0"/>
        <v>2330000</v>
      </c>
    </row>
    <row r="34" spans="1:7" x14ac:dyDescent="0.25">
      <c r="A34" s="287">
        <v>2</v>
      </c>
      <c r="B34" s="287">
        <v>16</v>
      </c>
      <c r="C34" s="359"/>
      <c r="D34" s="360"/>
      <c r="E34" s="359"/>
      <c r="F34" s="360"/>
      <c r="G34" s="350">
        <f t="shared" si="0"/>
        <v>2330000</v>
      </c>
    </row>
    <row r="35" spans="1:7" x14ac:dyDescent="0.25">
      <c r="A35" s="352">
        <v>3</v>
      </c>
      <c r="B35" s="352">
        <v>1</v>
      </c>
    </row>
    <row r="36" spans="1:7" x14ac:dyDescent="0.25">
      <c r="A36" s="352">
        <v>3</v>
      </c>
      <c r="B36" s="352">
        <v>2</v>
      </c>
    </row>
    <row r="37" spans="1:7" x14ac:dyDescent="0.25">
      <c r="A37" s="352">
        <v>3</v>
      </c>
      <c r="B37" s="352">
        <v>3</v>
      </c>
    </row>
    <row r="38" spans="1:7" x14ac:dyDescent="0.25">
      <c r="A38" s="352">
        <v>3</v>
      </c>
      <c r="B38" s="352">
        <v>4</v>
      </c>
    </row>
    <row r="39" spans="1:7" x14ac:dyDescent="0.25">
      <c r="A39" s="352">
        <v>3</v>
      </c>
      <c r="B39" s="352">
        <v>5</v>
      </c>
    </row>
    <row r="40" spans="1:7" x14ac:dyDescent="0.25">
      <c r="A40" s="352">
        <v>3</v>
      </c>
      <c r="B40" s="352">
        <v>6</v>
      </c>
    </row>
    <row r="41" spans="1:7" x14ac:dyDescent="0.25">
      <c r="A41" s="352">
        <v>3</v>
      </c>
      <c r="B41" s="352">
        <v>7</v>
      </c>
    </row>
    <row r="42" spans="1:7" x14ac:dyDescent="0.25">
      <c r="A42" s="352">
        <v>3</v>
      </c>
      <c r="B42" s="352">
        <v>8</v>
      </c>
    </row>
    <row r="43" spans="1:7" x14ac:dyDescent="0.25">
      <c r="A43" s="352">
        <v>3</v>
      </c>
      <c r="B43" s="352">
        <v>9</v>
      </c>
    </row>
    <row r="44" spans="1:7" x14ac:dyDescent="0.25">
      <c r="A44" s="352">
        <v>3</v>
      </c>
      <c r="B44" s="352">
        <v>10</v>
      </c>
    </row>
    <row r="45" spans="1:7" x14ac:dyDescent="0.25">
      <c r="A45" s="352">
        <v>3</v>
      </c>
      <c r="B45" s="352">
        <v>11</v>
      </c>
    </row>
    <row r="46" spans="1:7" x14ac:dyDescent="0.25">
      <c r="A46" s="352">
        <v>3</v>
      </c>
      <c r="B46" s="352">
        <v>12</v>
      </c>
    </row>
    <row r="47" spans="1:7" x14ac:dyDescent="0.25">
      <c r="A47" s="352">
        <v>3</v>
      </c>
      <c r="B47" s="352">
        <v>13</v>
      </c>
    </row>
    <row r="48" spans="1:7" x14ac:dyDescent="0.25">
      <c r="A48" s="352">
        <v>3</v>
      </c>
      <c r="B48" s="352">
        <v>14</v>
      </c>
    </row>
    <row r="49" spans="1:2" x14ac:dyDescent="0.25">
      <c r="A49" s="352">
        <v>3</v>
      </c>
      <c r="B49" s="352">
        <v>15</v>
      </c>
    </row>
    <row r="50" spans="1:2" x14ac:dyDescent="0.25">
      <c r="A50" s="352">
        <v>3</v>
      </c>
      <c r="B50" s="352">
        <v>16</v>
      </c>
    </row>
    <row r="51" spans="1:2" x14ac:dyDescent="0.25">
      <c r="B51" s="352">
        <v>1</v>
      </c>
    </row>
    <row r="52" spans="1:2" x14ac:dyDescent="0.25">
      <c r="B52" s="352">
        <v>2</v>
      </c>
    </row>
    <row r="53" spans="1:2" x14ac:dyDescent="0.25">
      <c r="B53" s="352">
        <v>3</v>
      </c>
    </row>
    <row r="54" spans="1:2" x14ac:dyDescent="0.25">
      <c r="B54" s="352">
        <v>4</v>
      </c>
    </row>
    <row r="55" spans="1:2" x14ac:dyDescent="0.25">
      <c r="B55" s="352">
        <v>5</v>
      </c>
    </row>
    <row r="56" spans="1:2" x14ac:dyDescent="0.25">
      <c r="B56" s="352">
        <v>6</v>
      </c>
    </row>
    <row r="57" spans="1:2" x14ac:dyDescent="0.25">
      <c r="B57" s="352">
        <v>7</v>
      </c>
    </row>
    <row r="58" spans="1:2" x14ac:dyDescent="0.25">
      <c r="B58" s="352">
        <v>8</v>
      </c>
    </row>
    <row r="59" spans="1:2" x14ac:dyDescent="0.25">
      <c r="B59" s="352">
        <v>9</v>
      </c>
    </row>
    <row r="60" spans="1:2" x14ac:dyDescent="0.25">
      <c r="B60" s="352">
        <v>10</v>
      </c>
    </row>
    <row r="61" spans="1:2" x14ac:dyDescent="0.25">
      <c r="B61" s="352">
        <v>11</v>
      </c>
    </row>
    <row r="62" spans="1:2" x14ac:dyDescent="0.25">
      <c r="B62" s="352">
        <v>12</v>
      </c>
    </row>
    <row r="63" spans="1:2" x14ac:dyDescent="0.25">
      <c r="B63" s="352">
        <v>13</v>
      </c>
    </row>
    <row r="64" spans="1:2" x14ac:dyDescent="0.25">
      <c r="B64" s="352">
        <v>14</v>
      </c>
    </row>
    <row r="65" spans="2:2" x14ac:dyDescent="0.25">
      <c r="B65" s="352">
        <v>15</v>
      </c>
    </row>
    <row r="66" spans="2:2" x14ac:dyDescent="0.25">
      <c r="B66" s="352">
        <v>16</v>
      </c>
    </row>
    <row r="67" spans="2:2" x14ac:dyDescent="0.25">
      <c r="B67" s="352">
        <v>1</v>
      </c>
    </row>
    <row r="68" spans="2:2" x14ac:dyDescent="0.25">
      <c r="B68" s="352">
        <v>2</v>
      </c>
    </row>
    <row r="69" spans="2:2" x14ac:dyDescent="0.25">
      <c r="B69" s="352">
        <v>3</v>
      </c>
    </row>
    <row r="70" spans="2:2" x14ac:dyDescent="0.25">
      <c r="B70" s="352">
        <v>4</v>
      </c>
    </row>
    <row r="71" spans="2:2" x14ac:dyDescent="0.25">
      <c r="B71" s="352">
        <v>5</v>
      </c>
    </row>
    <row r="72" spans="2:2" x14ac:dyDescent="0.25">
      <c r="B72" s="352">
        <v>6</v>
      </c>
    </row>
    <row r="73" spans="2:2" x14ac:dyDescent="0.25">
      <c r="B73" s="352">
        <v>7</v>
      </c>
    </row>
    <row r="74" spans="2:2" x14ac:dyDescent="0.25">
      <c r="B74" s="352">
        <v>8</v>
      </c>
    </row>
    <row r="75" spans="2:2" x14ac:dyDescent="0.25">
      <c r="B75" s="352">
        <v>9</v>
      </c>
    </row>
    <row r="76" spans="2:2" x14ac:dyDescent="0.25">
      <c r="B76" s="352">
        <v>10</v>
      </c>
    </row>
    <row r="77" spans="2:2" x14ac:dyDescent="0.25">
      <c r="B77" s="352">
        <v>11</v>
      </c>
    </row>
    <row r="78" spans="2:2" x14ac:dyDescent="0.25">
      <c r="B78" s="352">
        <v>12</v>
      </c>
    </row>
    <row r="79" spans="2:2" x14ac:dyDescent="0.25">
      <c r="B79" s="352">
        <v>13</v>
      </c>
    </row>
    <row r="80" spans="2:2" x14ac:dyDescent="0.25">
      <c r="B80" s="352">
        <v>14</v>
      </c>
    </row>
    <row r="81" spans="2:2" x14ac:dyDescent="0.25">
      <c r="B81" s="352">
        <v>15</v>
      </c>
    </row>
    <row r="82" spans="2:2" x14ac:dyDescent="0.25">
      <c r="B82" s="352">
        <v>16</v>
      </c>
    </row>
    <row r="83" spans="2:2" x14ac:dyDescent="0.25">
      <c r="B83" s="352">
        <v>1</v>
      </c>
    </row>
    <row r="84" spans="2:2" x14ac:dyDescent="0.25">
      <c r="B84" s="352">
        <v>2</v>
      </c>
    </row>
    <row r="85" spans="2:2" x14ac:dyDescent="0.25">
      <c r="B85" s="352">
        <v>3</v>
      </c>
    </row>
    <row r="86" spans="2:2" x14ac:dyDescent="0.25">
      <c r="B86" s="352">
        <v>4</v>
      </c>
    </row>
    <row r="87" spans="2:2" x14ac:dyDescent="0.25">
      <c r="B87" s="352">
        <v>5</v>
      </c>
    </row>
    <row r="88" spans="2:2" x14ac:dyDescent="0.25">
      <c r="B88" s="352">
        <v>6</v>
      </c>
    </row>
    <row r="89" spans="2:2" x14ac:dyDescent="0.25">
      <c r="B89" s="352">
        <v>7</v>
      </c>
    </row>
    <row r="90" spans="2:2" x14ac:dyDescent="0.25">
      <c r="B90" s="352">
        <v>8</v>
      </c>
    </row>
    <row r="91" spans="2:2" x14ac:dyDescent="0.25">
      <c r="B91" s="352">
        <v>9</v>
      </c>
    </row>
    <row r="92" spans="2:2" x14ac:dyDescent="0.25">
      <c r="B92" s="352">
        <v>10</v>
      </c>
    </row>
    <row r="93" spans="2:2" x14ac:dyDescent="0.25">
      <c r="B93" s="352">
        <v>11</v>
      </c>
    </row>
    <row r="94" spans="2:2" x14ac:dyDescent="0.25">
      <c r="B94" s="352">
        <v>12</v>
      </c>
    </row>
    <row r="95" spans="2:2" x14ac:dyDescent="0.25">
      <c r="B95" s="352">
        <v>13</v>
      </c>
    </row>
    <row r="96" spans="2:2" x14ac:dyDescent="0.25">
      <c r="B96" s="352">
        <v>14</v>
      </c>
    </row>
    <row r="97" spans="2:2" x14ac:dyDescent="0.25">
      <c r="B97" s="352">
        <v>15</v>
      </c>
    </row>
    <row r="98" spans="2:2" x14ac:dyDescent="0.25">
      <c r="B98" s="352">
        <v>16</v>
      </c>
    </row>
    <row r="99" spans="2:2" x14ac:dyDescent="0.25">
      <c r="B99" s="352">
        <v>1</v>
      </c>
    </row>
    <row r="100" spans="2:2" x14ac:dyDescent="0.25">
      <c r="B100" s="352">
        <v>2</v>
      </c>
    </row>
    <row r="101" spans="2:2" x14ac:dyDescent="0.25">
      <c r="B101" s="352">
        <v>3</v>
      </c>
    </row>
    <row r="102" spans="2:2" x14ac:dyDescent="0.25">
      <c r="B102" s="352">
        <v>4</v>
      </c>
    </row>
    <row r="103" spans="2:2" x14ac:dyDescent="0.25">
      <c r="B103" s="352">
        <v>5</v>
      </c>
    </row>
    <row r="104" spans="2:2" x14ac:dyDescent="0.25">
      <c r="B104" s="352">
        <v>6</v>
      </c>
    </row>
    <row r="105" spans="2:2" x14ac:dyDescent="0.25">
      <c r="B105" s="352">
        <v>7</v>
      </c>
    </row>
    <row r="106" spans="2:2" x14ac:dyDescent="0.25">
      <c r="B106" s="352">
        <v>8</v>
      </c>
    </row>
    <row r="107" spans="2:2" x14ac:dyDescent="0.25">
      <c r="B107" s="352">
        <v>9</v>
      </c>
    </row>
    <row r="108" spans="2:2" x14ac:dyDescent="0.25">
      <c r="B108" s="352">
        <v>10</v>
      </c>
    </row>
    <row r="109" spans="2:2" x14ac:dyDescent="0.25">
      <c r="B109" s="352">
        <v>11</v>
      </c>
    </row>
    <row r="110" spans="2:2" x14ac:dyDescent="0.25">
      <c r="B110" s="352">
        <v>12</v>
      </c>
    </row>
    <row r="111" spans="2:2" x14ac:dyDescent="0.25">
      <c r="B111" s="352">
        <v>13</v>
      </c>
    </row>
    <row r="112" spans="2:2" x14ac:dyDescent="0.25">
      <c r="B112" s="352">
        <v>14</v>
      </c>
    </row>
    <row r="113" spans="2:2" x14ac:dyDescent="0.25">
      <c r="B113" s="352">
        <v>15</v>
      </c>
    </row>
    <row r="114" spans="2:2" x14ac:dyDescent="0.25">
      <c r="B114" s="352">
        <v>16</v>
      </c>
    </row>
    <row r="115" spans="2:2" x14ac:dyDescent="0.25">
      <c r="B115" s="352">
        <v>1</v>
      </c>
    </row>
    <row r="116" spans="2:2" x14ac:dyDescent="0.25">
      <c r="B116" s="352">
        <v>2</v>
      </c>
    </row>
    <row r="117" spans="2:2" x14ac:dyDescent="0.25">
      <c r="B117" s="352">
        <v>3</v>
      </c>
    </row>
    <row r="118" spans="2:2" x14ac:dyDescent="0.25">
      <c r="B118" s="352">
        <v>4</v>
      </c>
    </row>
    <row r="119" spans="2:2" x14ac:dyDescent="0.25">
      <c r="B119" s="352">
        <v>5</v>
      </c>
    </row>
    <row r="120" spans="2:2" x14ac:dyDescent="0.25">
      <c r="B120" s="352">
        <v>6</v>
      </c>
    </row>
    <row r="121" spans="2:2" x14ac:dyDescent="0.25">
      <c r="B121" s="352">
        <v>7</v>
      </c>
    </row>
    <row r="122" spans="2:2" x14ac:dyDescent="0.25">
      <c r="B122" s="352">
        <v>8</v>
      </c>
    </row>
    <row r="123" spans="2:2" x14ac:dyDescent="0.25">
      <c r="B123" s="352">
        <v>9</v>
      </c>
    </row>
    <row r="124" spans="2:2" x14ac:dyDescent="0.25">
      <c r="B124" s="352">
        <v>10</v>
      </c>
    </row>
    <row r="125" spans="2:2" x14ac:dyDescent="0.25">
      <c r="B125" s="352">
        <v>11</v>
      </c>
    </row>
    <row r="126" spans="2:2" x14ac:dyDescent="0.25">
      <c r="B126" s="352">
        <v>12</v>
      </c>
    </row>
    <row r="127" spans="2:2" x14ac:dyDescent="0.25">
      <c r="B127" s="352">
        <v>13</v>
      </c>
    </row>
    <row r="128" spans="2:2" x14ac:dyDescent="0.25">
      <c r="B128" s="352">
        <v>14</v>
      </c>
    </row>
    <row r="129" spans="2:2" x14ac:dyDescent="0.25">
      <c r="B129" s="352">
        <v>15</v>
      </c>
    </row>
    <row r="130" spans="2:2" x14ac:dyDescent="0.25">
      <c r="B130" s="352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1568-191B-4287-9F75-15F984F85B5E}">
  <sheetPr>
    <tabColor theme="5" tint="0.39997558519241921"/>
  </sheetPr>
  <dimension ref="A1:K15"/>
  <sheetViews>
    <sheetView workbookViewId="0">
      <selection activeCell="E7" sqref="E7"/>
    </sheetView>
  </sheetViews>
  <sheetFormatPr baseColWidth="10" defaultRowHeight="15" x14ac:dyDescent="0.25"/>
  <cols>
    <col min="1" max="5" width="11.42578125" style="352"/>
  </cols>
  <sheetData>
    <row r="1" spans="1:11" x14ac:dyDescent="0.25">
      <c r="A1" s="154" t="s">
        <v>17</v>
      </c>
      <c r="B1" s="154" t="s">
        <v>35</v>
      </c>
      <c r="C1" s="154" t="s">
        <v>36</v>
      </c>
      <c r="D1" s="154" t="s">
        <v>19</v>
      </c>
      <c r="E1" s="154" t="s">
        <v>272</v>
      </c>
      <c r="G1" s="154" t="s">
        <v>17</v>
      </c>
      <c r="H1" s="154" t="s">
        <v>35</v>
      </c>
      <c r="I1" s="154" t="s">
        <v>36</v>
      </c>
      <c r="J1" s="154" t="s">
        <v>19</v>
      </c>
      <c r="K1" s="154" t="s">
        <v>272</v>
      </c>
    </row>
    <row r="2" spans="1:11" x14ac:dyDescent="0.25">
      <c r="A2" s="352">
        <v>17</v>
      </c>
      <c r="B2" s="352" t="s">
        <v>273</v>
      </c>
      <c r="C2" s="352" t="s">
        <v>274</v>
      </c>
      <c r="D2" s="352" t="s">
        <v>275</v>
      </c>
      <c r="E2" s="352">
        <v>54000</v>
      </c>
      <c r="G2" s="352">
        <v>17</v>
      </c>
      <c r="H2" s="352" t="s">
        <v>273</v>
      </c>
      <c r="I2" s="352" t="s">
        <v>274</v>
      </c>
      <c r="J2" s="352" t="s">
        <v>278</v>
      </c>
      <c r="K2" s="352">
        <v>49000</v>
      </c>
    </row>
    <row r="3" spans="1:11" x14ac:dyDescent="0.25">
      <c r="A3" s="352">
        <v>17</v>
      </c>
      <c r="B3" s="352" t="s">
        <v>273</v>
      </c>
      <c r="C3" s="352" t="s">
        <v>276</v>
      </c>
      <c r="D3" s="352" t="s">
        <v>275</v>
      </c>
      <c r="E3" s="352">
        <v>54000</v>
      </c>
      <c r="G3" s="352">
        <v>17</v>
      </c>
      <c r="H3" s="352" t="s">
        <v>273</v>
      </c>
      <c r="I3" s="352" t="s">
        <v>276</v>
      </c>
      <c r="J3" s="352" t="s">
        <v>277</v>
      </c>
      <c r="K3" s="352">
        <v>60000</v>
      </c>
    </row>
    <row r="4" spans="1:11" x14ac:dyDescent="0.25">
      <c r="A4" s="352">
        <v>17</v>
      </c>
      <c r="B4" s="352" t="s">
        <v>273</v>
      </c>
      <c r="C4" s="352" t="s">
        <v>277</v>
      </c>
      <c r="D4" s="352" t="s">
        <v>275</v>
      </c>
      <c r="E4" s="352">
        <v>145000</v>
      </c>
      <c r="G4" s="352">
        <v>17</v>
      </c>
      <c r="H4" s="352" t="s">
        <v>273</v>
      </c>
      <c r="I4" s="352" t="s">
        <v>277</v>
      </c>
      <c r="J4" s="352" t="s">
        <v>278</v>
      </c>
      <c r="K4" s="352">
        <v>240000</v>
      </c>
    </row>
    <row r="5" spans="1:11" x14ac:dyDescent="0.25">
      <c r="A5" s="352">
        <v>17</v>
      </c>
      <c r="B5" s="352" t="s">
        <v>273</v>
      </c>
      <c r="C5" s="352" t="s">
        <v>278</v>
      </c>
      <c r="D5" s="352" t="s">
        <v>275</v>
      </c>
      <c r="E5" s="352">
        <v>330000</v>
      </c>
      <c r="G5" s="352">
        <v>17</v>
      </c>
      <c r="H5" s="352" t="s">
        <v>273</v>
      </c>
      <c r="I5" s="352" t="s">
        <v>278</v>
      </c>
      <c r="J5" s="352" t="s">
        <v>278</v>
      </c>
      <c r="K5" s="352">
        <v>420000</v>
      </c>
    </row>
    <row r="7" spans="1:11" x14ac:dyDescent="0.25">
      <c r="A7" s="352">
        <v>17</v>
      </c>
      <c r="B7" s="352" t="s">
        <v>279</v>
      </c>
      <c r="C7" s="352" t="s">
        <v>274</v>
      </c>
      <c r="D7" s="352" t="s">
        <v>275</v>
      </c>
      <c r="E7" s="352">
        <v>210000</v>
      </c>
      <c r="F7">
        <f>E7-E2</f>
        <v>156000</v>
      </c>
      <c r="G7" s="352">
        <v>17</v>
      </c>
      <c r="H7" s="352" t="s">
        <v>279</v>
      </c>
      <c r="I7" s="352" t="s">
        <v>274</v>
      </c>
      <c r="J7" s="352" t="s">
        <v>278</v>
      </c>
      <c r="K7" s="352">
        <v>285000</v>
      </c>
    </row>
    <row r="8" spans="1:11" x14ac:dyDescent="0.25">
      <c r="A8" s="352">
        <v>17</v>
      </c>
      <c r="B8" s="352" t="s">
        <v>279</v>
      </c>
      <c r="C8" s="352" t="s">
        <v>276</v>
      </c>
      <c r="D8" s="352" t="s">
        <v>275</v>
      </c>
      <c r="E8" s="352">
        <v>250000</v>
      </c>
      <c r="F8">
        <f t="shared" ref="F8:F15" si="0">E8-E3</f>
        <v>196000</v>
      </c>
      <c r="G8" s="352">
        <v>17</v>
      </c>
      <c r="H8" s="352" t="s">
        <v>279</v>
      </c>
      <c r="I8" s="352" t="s">
        <v>276</v>
      </c>
      <c r="J8" s="352" t="s">
        <v>278</v>
      </c>
      <c r="K8" s="352">
        <v>285000</v>
      </c>
    </row>
    <row r="9" spans="1:11" x14ac:dyDescent="0.25">
      <c r="A9" s="352">
        <v>17</v>
      </c>
      <c r="B9" s="352" t="s">
        <v>279</v>
      </c>
      <c r="C9" s="352" t="s">
        <v>277</v>
      </c>
      <c r="D9" s="352" t="s">
        <v>275</v>
      </c>
      <c r="E9" s="352">
        <v>500000</v>
      </c>
      <c r="F9">
        <f t="shared" si="0"/>
        <v>355000</v>
      </c>
      <c r="G9" s="352">
        <v>17</v>
      </c>
      <c r="H9" s="352" t="s">
        <v>279</v>
      </c>
      <c r="I9" s="352" t="s">
        <v>277</v>
      </c>
      <c r="J9" s="352" t="s">
        <v>278</v>
      </c>
      <c r="K9" s="352">
        <v>930000</v>
      </c>
    </row>
    <row r="10" spans="1:11" x14ac:dyDescent="0.25">
      <c r="A10" s="352">
        <v>17</v>
      </c>
      <c r="B10" s="352" t="s">
        <v>279</v>
      </c>
      <c r="C10" s="352" t="s">
        <v>278</v>
      </c>
      <c r="D10" s="352" t="s">
        <v>275</v>
      </c>
      <c r="E10" s="352">
        <v>804000</v>
      </c>
      <c r="F10">
        <f t="shared" si="0"/>
        <v>474000</v>
      </c>
      <c r="G10" s="352">
        <v>17</v>
      </c>
      <c r="H10" s="352" t="s">
        <v>279</v>
      </c>
      <c r="I10" s="352" t="s">
        <v>278</v>
      </c>
      <c r="J10" s="352" t="s">
        <v>278</v>
      </c>
      <c r="K10" s="352">
        <v>1400000</v>
      </c>
    </row>
    <row r="12" spans="1:11" x14ac:dyDescent="0.25">
      <c r="A12" s="352">
        <v>18</v>
      </c>
      <c r="B12" s="352" t="s">
        <v>280</v>
      </c>
      <c r="C12" s="352" t="s">
        <v>274</v>
      </c>
      <c r="D12" s="352" t="s">
        <v>275</v>
      </c>
      <c r="E12" s="352">
        <v>580000</v>
      </c>
      <c r="F12">
        <f t="shared" si="0"/>
        <v>370000</v>
      </c>
      <c r="G12" s="352">
        <v>18</v>
      </c>
      <c r="H12" s="352" t="s">
        <v>280</v>
      </c>
      <c r="I12" s="352" t="s">
        <v>274</v>
      </c>
      <c r="J12" s="352" t="s">
        <v>278</v>
      </c>
      <c r="K12" s="352">
        <v>555000</v>
      </c>
    </row>
    <row r="13" spans="1:11" x14ac:dyDescent="0.25">
      <c r="A13" s="352">
        <v>18</v>
      </c>
      <c r="B13" s="352" t="s">
        <v>280</v>
      </c>
      <c r="C13" s="352" t="s">
        <v>276</v>
      </c>
      <c r="D13" s="352" t="s">
        <v>275</v>
      </c>
      <c r="E13" s="352">
        <v>600000</v>
      </c>
      <c r="F13">
        <f t="shared" si="0"/>
        <v>350000</v>
      </c>
      <c r="G13" s="352">
        <v>18</v>
      </c>
      <c r="H13" s="352" t="s">
        <v>280</v>
      </c>
      <c r="I13" s="352" t="s">
        <v>276</v>
      </c>
      <c r="J13" s="352" t="s">
        <v>278</v>
      </c>
      <c r="K13" s="352">
        <v>772000</v>
      </c>
    </row>
    <row r="14" spans="1:11" x14ac:dyDescent="0.25">
      <c r="A14" s="352">
        <v>18</v>
      </c>
      <c r="B14" s="352" t="s">
        <v>280</v>
      </c>
      <c r="C14" s="352" t="s">
        <v>277</v>
      </c>
      <c r="D14" s="352" t="s">
        <v>275</v>
      </c>
      <c r="E14" s="352">
        <v>800000</v>
      </c>
      <c r="F14">
        <f t="shared" si="0"/>
        <v>300000</v>
      </c>
      <c r="G14" s="352">
        <v>18</v>
      </c>
      <c r="H14" s="352" t="s">
        <v>280</v>
      </c>
      <c r="I14" s="352" t="s">
        <v>277</v>
      </c>
      <c r="J14" s="352" t="s">
        <v>278</v>
      </c>
      <c r="K14" s="352">
        <v>813000</v>
      </c>
    </row>
    <row r="15" spans="1:11" x14ac:dyDescent="0.25">
      <c r="A15" s="352">
        <v>18</v>
      </c>
      <c r="B15" s="352" t="s">
        <v>279</v>
      </c>
      <c r="C15" s="352" t="s">
        <v>278</v>
      </c>
      <c r="D15" s="352" t="s">
        <v>275</v>
      </c>
      <c r="E15" s="352">
        <v>1029000</v>
      </c>
      <c r="F15">
        <f t="shared" si="0"/>
        <v>225000</v>
      </c>
      <c r="G15" s="352">
        <v>18</v>
      </c>
      <c r="H15" s="352" t="s">
        <v>280</v>
      </c>
      <c r="I15" s="352" t="s">
        <v>278</v>
      </c>
      <c r="J15" s="352" t="s">
        <v>278</v>
      </c>
      <c r="K15" s="352">
        <v>1180000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68"/>
  <sheetViews>
    <sheetView zoomScale="90" zoomScaleNormal="90" workbookViewId="0">
      <selection activeCell="B21" sqref="B21"/>
    </sheetView>
  </sheetViews>
  <sheetFormatPr baseColWidth="10" defaultColWidth="9.140625" defaultRowHeight="15" x14ac:dyDescent="0.25"/>
  <cols>
    <col min="1" max="1" width="28.28515625" customWidth="1"/>
    <col min="2" max="5" width="12.42578125" customWidth="1"/>
    <col min="6" max="6" width="13.85546875" bestFit="1" customWidth="1"/>
    <col min="7" max="7" width="13.5703125" customWidth="1"/>
    <col min="8" max="8" width="15.28515625" bestFit="1" customWidth="1"/>
    <col min="9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2" t="s">
        <v>115</v>
      </c>
      <c r="N1" s="112" t="s">
        <v>116</v>
      </c>
      <c r="O1" s="112" t="s">
        <v>117</v>
      </c>
      <c r="P1" s="112" t="s">
        <v>118</v>
      </c>
      <c r="Q1" s="112" t="s">
        <v>119</v>
      </c>
      <c r="R1" s="112" t="s">
        <v>120</v>
      </c>
      <c r="S1" s="112" t="s">
        <v>121</v>
      </c>
      <c r="U1" s="112" t="s">
        <v>122</v>
      </c>
    </row>
    <row r="2" spans="1:35" x14ac:dyDescent="0.25">
      <c r="C2" s="113" t="s">
        <v>123</v>
      </c>
      <c r="D2" s="371" t="s">
        <v>124</v>
      </c>
      <c r="E2" s="371"/>
      <c r="F2" s="372" t="s">
        <v>125</v>
      </c>
      <c r="G2" s="372"/>
      <c r="H2" s="373" t="s">
        <v>126</v>
      </c>
      <c r="I2" s="373"/>
      <c r="K2" s="60"/>
      <c r="M2" s="114">
        <v>11</v>
      </c>
      <c r="N2" s="115">
        <v>14.98</v>
      </c>
      <c r="O2" s="115">
        <v>5.95</v>
      </c>
      <c r="P2" s="116">
        <f t="shared" ref="P2:P12" si="0">U2*0.97</f>
        <v>5.3253000000000004</v>
      </c>
      <c r="Q2" s="115">
        <v>0.68000000000000016</v>
      </c>
      <c r="R2" s="117">
        <v>27.09</v>
      </c>
      <c r="U2" s="115">
        <v>5.49</v>
      </c>
    </row>
    <row r="3" spans="1:35" ht="15.75" thickBot="1" x14ac:dyDescent="0.3">
      <c r="A3" s="118" t="s">
        <v>127</v>
      </c>
      <c r="B3" s="119">
        <f>B4+B5+B6+B7</f>
        <v>56636</v>
      </c>
      <c r="C3" s="120">
        <f>C4+C5+C6+C7</f>
        <v>60550.948400000008</v>
      </c>
      <c r="D3" s="41" t="s">
        <v>128</v>
      </c>
      <c r="E3" s="41" t="s">
        <v>129</v>
      </c>
      <c r="F3" s="41" t="s">
        <v>128</v>
      </c>
      <c r="G3" s="41" t="s">
        <v>130</v>
      </c>
      <c r="H3" s="41" t="s">
        <v>128</v>
      </c>
      <c r="I3" s="121" t="s">
        <v>131</v>
      </c>
      <c r="J3" s="41" t="s">
        <v>132</v>
      </c>
      <c r="K3" s="41" t="s">
        <v>133</v>
      </c>
      <c r="M3" s="114">
        <v>10</v>
      </c>
      <c r="N3" s="122">
        <v>14.23</v>
      </c>
      <c r="O3" s="122">
        <v>5.59</v>
      </c>
      <c r="P3" s="116">
        <f t="shared" si="0"/>
        <v>4.9179000000000004</v>
      </c>
      <c r="Q3" s="122">
        <v>0.62</v>
      </c>
      <c r="R3" s="123">
        <v>25.52</v>
      </c>
      <c r="U3" s="122">
        <v>5.07</v>
      </c>
    </row>
    <row r="4" spans="1:35" x14ac:dyDescent="0.25">
      <c r="A4" s="118" t="s">
        <v>134</v>
      </c>
      <c r="B4" s="119">
        <v>32411</v>
      </c>
      <c r="C4" s="124">
        <v>34291.58</v>
      </c>
      <c r="D4" s="125">
        <v>45</v>
      </c>
      <c r="E4" s="126">
        <f>D4*(C4-B4)</f>
        <v>84626.100000000079</v>
      </c>
      <c r="F4" s="127">
        <v>0.5</v>
      </c>
      <c r="G4" s="126">
        <f>(C4-B4)*F4</f>
        <v>940.29000000000087</v>
      </c>
      <c r="H4" s="127">
        <v>7</v>
      </c>
      <c r="I4" s="128">
        <f>(C4-B4)*H4</f>
        <v>13164.060000000012</v>
      </c>
      <c r="J4" s="126">
        <f>H4*C4</f>
        <v>240041.06</v>
      </c>
      <c r="K4" s="41">
        <f>B4*F4</f>
        <v>16205.5</v>
      </c>
      <c r="L4" s="66">
        <f>5000*N13*F4</f>
        <v>1382.4289405684756</v>
      </c>
      <c r="M4" s="114">
        <v>9</v>
      </c>
      <c r="N4" s="115">
        <v>13.49</v>
      </c>
      <c r="O4" s="115">
        <v>5.24</v>
      </c>
      <c r="P4" s="116">
        <f t="shared" si="0"/>
        <v>4.5202</v>
      </c>
      <c r="Q4" s="115">
        <v>0.56999999999999995</v>
      </c>
      <c r="R4" s="117">
        <v>23.95</v>
      </c>
      <c r="U4" s="115">
        <v>4.66</v>
      </c>
    </row>
    <row r="5" spans="1:35" x14ac:dyDescent="0.25">
      <c r="A5" s="118" t="s">
        <v>135</v>
      </c>
      <c r="B5" s="119">
        <v>12440</v>
      </c>
      <c r="C5" s="129">
        <v>13320.08</v>
      </c>
      <c r="D5" s="130">
        <v>75</v>
      </c>
      <c r="E5" s="126">
        <f>D5*(C5-B5)</f>
        <v>66006</v>
      </c>
      <c r="F5" s="131">
        <v>0.7</v>
      </c>
      <c r="G5" s="126">
        <f>(C5-B5)*F5</f>
        <v>616.05599999999993</v>
      </c>
      <c r="H5" s="131">
        <v>10</v>
      </c>
      <c r="I5" s="128">
        <f>(C5-B5)*H5</f>
        <v>8800.7999999999993</v>
      </c>
      <c r="J5" s="126">
        <f>H5*C5</f>
        <v>133200.79999999999</v>
      </c>
      <c r="K5" s="41">
        <f>B5*F5</f>
        <v>8708</v>
      </c>
      <c r="L5" s="66">
        <f>5000*O13*F5</f>
        <v>768.73385012919903</v>
      </c>
      <c r="M5" s="114">
        <v>8</v>
      </c>
      <c r="N5" s="122">
        <v>12.74</v>
      </c>
      <c r="O5" s="122">
        <v>4.8899999999999997</v>
      </c>
      <c r="P5" s="116">
        <f t="shared" si="0"/>
        <v>4.1224999999999996</v>
      </c>
      <c r="Q5" s="122">
        <v>0.51</v>
      </c>
      <c r="R5" s="123">
        <v>22.39</v>
      </c>
      <c r="U5" s="122">
        <v>4.25</v>
      </c>
    </row>
    <row r="6" spans="1:35" x14ac:dyDescent="0.25">
      <c r="A6" s="118" t="s">
        <v>136</v>
      </c>
      <c r="B6" s="119">
        <v>10488</v>
      </c>
      <c r="C6" s="129">
        <v>11490.348400000001</v>
      </c>
      <c r="D6" s="125">
        <v>90</v>
      </c>
      <c r="E6" s="126">
        <f>D6*(C6-B6)</f>
        <v>90211.356000000073</v>
      </c>
      <c r="F6" s="127">
        <v>1</v>
      </c>
      <c r="G6" s="126">
        <f>(C6-B6)*F6</f>
        <v>1002.3484000000008</v>
      </c>
      <c r="H6" s="127">
        <v>19</v>
      </c>
      <c r="I6" s="128">
        <f>(C6-B6)*H6</f>
        <v>19044.619600000013</v>
      </c>
      <c r="J6" s="126">
        <f>H6*C6</f>
        <v>218316.61960000001</v>
      </c>
      <c r="K6" s="41">
        <f>B6*F6</f>
        <v>10488</v>
      </c>
      <c r="L6" s="66">
        <f>5000*P13*F6</f>
        <v>982.89036544850512</v>
      </c>
      <c r="M6" s="114">
        <v>7</v>
      </c>
      <c r="N6" s="115">
        <v>12</v>
      </c>
      <c r="O6" s="115">
        <v>4.53</v>
      </c>
      <c r="P6" s="116">
        <f t="shared" si="0"/>
        <v>3.7247999999999997</v>
      </c>
      <c r="Q6" s="115">
        <v>0.46000000000000008</v>
      </c>
      <c r="R6" s="117">
        <v>20.83</v>
      </c>
      <c r="U6" s="115">
        <v>3.84</v>
      </c>
    </row>
    <row r="7" spans="1:35" ht="15.75" thickBot="1" x14ac:dyDescent="0.3">
      <c r="A7" s="118" t="s">
        <v>137</v>
      </c>
      <c r="B7" s="119">
        <v>1297</v>
      </c>
      <c r="C7" s="132">
        <v>1448.9399999999998</v>
      </c>
      <c r="D7" s="130">
        <v>300</v>
      </c>
      <c r="E7" s="126">
        <f>D7*(C7-B7)</f>
        <v>45581.999999999949</v>
      </c>
      <c r="F7" s="131">
        <v>2.5</v>
      </c>
      <c r="G7" s="126">
        <f>(C7-B7)*F7</f>
        <v>379.84999999999957</v>
      </c>
      <c r="H7" s="131">
        <v>35</v>
      </c>
      <c r="I7" s="128">
        <f>(C7-B7)*H7</f>
        <v>5317.8999999999942</v>
      </c>
      <c r="J7" s="126">
        <f>H7*C7</f>
        <v>50712.899999999994</v>
      </c>
      <c r="K7" s="41">
        <f>B7*F7</f>
        <v>3242.5</v>
      </c>
      <c r="L7" s="66">
        <f>5000*Q13*F7</f>
        <v>313.76891842008126</v>
      </c>
      <c r="M7" s="114">
        <v>6</v>
      </c>
      <c r="N7" s="122">
        <v>11.26</v>
      </c>
      <c r="O7" s="122">
        <v>4.17</v>
      </c>
      <c r="P7" s="116">
        <f t="shared" si="0"/>
        <v>3.3367999999999998</v>
      </c>
      <c r="Q7" s="122">
        <v>0.41</v>
      </c>
      <c r="R7" s="123">
        <v>19.27</v>
      </c>
      <c r="U7" s="122">
        <v>3.44</v>
      </c>
    </row>
    <row r="8" spans="1:35" x14ac:dyDescent="0.25">
      <c r="C8" s="133">
        <f>C4/$C$3</f>
        <v>0.56632605939496727</v>
      </c>
      <c r="J8" s="126">
        <f>J7+J6+J5+J4</f>
        <v>642271.37959999999</v>
      </c>
      <c r="K8" s="41">
        <f>K7+K6+K5+K4</f>
        <v>38644</v>
      </c>
      <c r="L8" s="41">
        <f>L7+L6+L5+L4</f>
        <v>3447.8220745662611</v>
      </c>
      <c r="M8" s="114">
        <v>5</v>
      </c>
      <c r="N8" s="115">
        <v>10.52</v>
      </c>
      <c r="O8" s="115">
        <v>3.81</v>
      </c>
      <c r="P8" s="116">
        <f t="shared" si="0"/>
        <v>2.9390999999999998</v>
      </c>
      <c r="Q8" s="115">
        <v>0.35</v>
      </c>
      <c r="R8" s="117">
        <v>17.719999999999995</v>
      </c>
      <c r="U8" s="115">
        <v>3.03</v>
      </c>
    </row>
    <row r="9" spans="1:35" x14ac:dyDescent="0.25">
      <c r="C9" s="134">
        <f>C5/$C$3</f>
        <v>0.21998136035801544</v>
      </c>
      <c r="E9" s="135">
        <f>C4-B4</f>
        <v>1880.5800000000017</v>
      </c>
      <c r="H9">
        <f>H10+H11+H12+H13</f>
        <v>71304</v>
      </c>
      <c r="M9" s="114">
        <v>4</v>
      </c>
      <c r="N9" s="122">
        <v>9.8000000000000007</v>
      </c>
      <c r="O9" s="122">
        <v>3.46</v>
      </c>
      <c r="P9" s="116">
        <f t="shared" si="0"/>
        <v>2.5510999999999999</v>
      </c>
      <c r="Q9" s="122">
        <v>0.3</v>
      </c>
      <c r="R9" s="123">
        <v>16.170000000000002</v>
      </c>
      <c r="U9" s="122">
        <v>2.63</v>
      </c>
    </row>
    <row r="10" spans="1:35" x14ac:dyDescent="0.25">
      <c r="B10" s="136">
        <f>B11/B13</f>
        <v>3.3735294312914867E-2</v>
      </c>
      <c r="C10" s="134">
        <f>C6/$C$3</f>
        <v>0.18976331013173692</v>
      </c>
      <c r="E10" s="135">
        <f>C5-B5</f>
        <v>880.07999999999993</v>
      </c>
      <c r="H10">
        <v>40146</v>
      </c>
      <c r="I10" s="110">
        <f>H10/$H$9</f>
        <v>0.56302591719959605</v>
      </c>
      <c r="M10" s="114">
        <v>3</v>
      </c>
      <c r="N10" s="115">
        <v>9.09</v>
      </c>
      <c r="O10" s="115">
        <v>3.1</v>
      </c>
      <c r="P10" s="116">
        <f t="shared" si="0"/>
        <v>2.1436999999999999</v>
      </c>
      <c r="Q10" s="115">
        <v>0.24</v>
      </c>
      <c r="R10" s="117">
        <v>14.63</v>
      </c>
      <c r="U10" s="115">
        <v>2.21</v>
      </c>
    </row>
    <row r="11" spans="1:35" x14ac:dyDescent="0.25">
      <c r="A11" s="111" t="s">
        <v>138</v>
      </c>
      <c r="B11" s="137">
        <v>10000</v>
      </c>
      <c r="C11" s="134">
        <f>C7/$C$3</f>
        <v>2.3929270115280302E-2</v>
      </c>
      <c r="E11" s="135">
        <f>C6-B6</f>
        <v>1002.3484000000008</v>
      </c>
      <c r="H11">
        <v>15594</v>
      </c>
      <c r="I11" s="110">
        <f>H11/$H$9</f>
        <v>0.21869740828004039</v>
      </c>
      <c r="M11" s="114">
        <v>2</v>
      </c>
      <c r="N11" s="122">
        <v>8.42</v>
      </c>
      <c r="O11" s="122">
        <v>2.73</v>
      </c>
      <c r="P11" s="116">
        <f t="shared" si="0"/>
        <v>1.7168999999999999</v>
      </c>
      <c r="Q11" s="122">
        <v>0.17999999999999997</v>
      </c>
      <c r="R11" s="123">
        <v>13.090000000000002</v>
      </c>
      <c r="U11" s="122">
        <v>1.77</v>
      </c>
    </row>
    <row r="12" spans="1:35" x14ac:dyDescent="0.25">
      <c r="A12" s="111" t="s">
        <v>139</v>
      </c>
      <c r="B12" s="138">
        <f>E7+E6+E5+E4</f>
        <v>286425.45600000012</v>
      </c>
      <c r="E12" s="135">
        <f>C7-B7</f>
        <v>151.93999999999983</v>
      </c>
      <c r="H12">
        <v>13868</v>
      </c>
      <c r="I12" s="110">
        <f>H12/$H$9</f>
        <v>0.19449119263996409</v>
      </c>
      <c r="M12" s="114">
        <v>1</v>
      </c>
      <c r="N12" s="115">
        <v>7.85</v>
      </c>
      <c r="O12" s="115">
        <v>2.34</v>
      </c>
      <c r="P12" s="116">
        <f t="shared" si="0"/>
        <v>1.1931</v>
      </c>
      <c r="Q12" s="115">
        <v>0.1</v>
      </c>
      <c r="R12" s="117">
        <v>11.53</v>
      </c>
      <c r="U12" s="115">
        <v>1.23</v>
      </c>
    </row>
    <row r="13" spans="1:35" x14ac:dyDescent="0.25">
      <c r="A13" s="139" t="s">
        <v>114</v>
      </c>
      <c r="B13" s="140">
        <f>B11+B12</f>
        <v>296425.45600000012</v>
      </c>
      <c r="H13">
        <v>1696</v>
      </c>
      <c r="I13" s="110">
        <f>H13/$H$9</f>
        <v>2.3785481880399417E-2</v>
      </c>
      <c r="N13">
        <f>N2/R2</f>
        <v>0.55297157622739024</v>
      </c>
      <c r="O13">
        <f>O2/R2</f>
        <v>0.21963824289405687</v>
      </c>
      <c r="P13" s="116">
        <f>P2/R2</f>
        <v>0.19657807308970102</v>
      </c>
      <c r="Q13">
        <f>Q2/R2</f>
        <v>2.5101513473606504E-2</v>
      </c>
    </row>
    <row r="15" spans="1:35" x14ac:dyDescent="0.25">
      <c r="A15" s="18"/>
      <c r="B15" s="141" t="s">
        <v>98</v>
      </c>
      <c r="C15" s="141" t="s">
        <v>99</v>
      </c>
      <c r="D15" s="141" t="s">
        <v>100</v>
      </c>
      <c r="E15" s="141" t="s">
        <v>101</v>
      </c>
      <c r="F15" s="141" t="s">
        <v>102</v>
      </c>
      <c r="G15" s="141" t="s">
        <v>103</v>
      </c>
      <c r="H15" s="141" t="s">
        <v>104</v>
      </c>
      <c r="I15" s="141" t="s">
        <v>105</v>
      </c>
      <c r="J15" s="141" t="s">
        <v>106</v>
      </c>
      <c r="K15" s="141" t="s">
        <v>107</v>
      </c>
      <c r="L15" s="141" t="s">
        <v>108</v>
      </c>
      <c r="M15" s="141" t="s">
        <v>109</v>
      </c>
      <c r="N15" s="141" t="s">
        <v>110</v>
      </c>
      <c r="O15" s="141" t="s">
        <v>111</v>
      </c>
      <c r="P15" s="141" t="s">
        <v>112</v>
      </c>
      <c r="Q15" s="141" t="s">
        <v>113</v>
      </c>
      <c r="R15" s="141" t="s">
        <v>98</v>
      </c>
      <c r="S15" s="141" t="s">
        <v>99</v>
      </c>
      <c r="T15" s="141" t="s">
        <v>100</v>
      </c>
      <c r="U15" s="141" t="s">
        <v>101</v>
      </c>
      <c r="V15" s="141" t="s">
        <v>102</v>
      </c>
      <c r="W15" s="141" t="s">
        <v>103</v>
      </c>
      <c r="X15" s="141" t="s">
        <v>104</v>
      </c>
      <c r="Y15" s="141" t="s">
        <v>105</v>
      </c>
      <c r="Z15" s="141" t="s">
        <v>106</v>
      </c>
      <c r="AA15" s="141" t="s">
        <v>107</v>
      </c>
      <c r="AB15" s="141" t="s">
        <v>108</v>
      </c>
      <c r="AC15" s="141" t="s">
        <v>109</v>
      </c>
      <c r="AD15" s="141" t="s">
        <v>110</v>
      </c>
      <c r="AE15" s="141" t="s">
        <v>111</v>
      </c>
      <c r="AF15" s="141" t="s">
        <v>112</v>
      </c>
      <c r="AG15" s="141" t="s">
        <v>113</v>
      </c>
      <c r="AH15" s="141"/>
      <c r="AI15" s="141"/>
    </row>
    <row r="16" spans="1:35" x14ac:dyDescent="0.25">
      <c r="A16" s="142" t="s">
        <v>140</v>
      </c>
      <c r="B16" s="143">
        <v>460</v>
      </c>
      <c r="C16" s="143">
        <f>B16+20</f>
        <v>480</v>
      </c>
      <c r="D16" s="143">
        <f t="shared" ref="D16:AB16" si="1">C16+20</f>
        <v>500</v>
      </c>
      <c r="E16" s="143">
        <f t="shared" si="1"/>
        <v>520</v>
      </c>
      <c r="F16" s="143">
        <f t="shared" si="1"/>
        <v>540</v>
      </c>
      <c r="G16" s="143">
        <f t="shared" si="1"/>
        <v>560</v>
      </c>
      <c r="H16" s="143">
        <f t="shared" si="1"/>
        <v>580</v>
      </c>
      <c r="I16" s="143">
        <f t="shared" si="1"/>
        <v>600</v>
      </c>
      <c r="J16" s="143">
        <f t="shared" si="1"/>
        <v>620</v>
      </c>
      <c r="K16" s="143">
        <f t="shared" si="1"/>
        <v>640</v>
      </c>
      <c r="L16" s="143">
        <f t="shared" si="1"/>
        <v>660</v>
      </c>
      <c r="M16" s="143">
        <f t="shared" si="1"/>
        <v>680</v>
      </c>
      <c r="N16" s="143">
        <f t="shared" si="1"/>
        <v>700</v>
      </c>
      <c r="O16" s="143">
        <f t="shared" si="1"/>
        <v>720</v>
      </c>
      <c r="P16" s="143">
        <f t="shared" si="1"/>
        <v>740</v>
      </c>
      <c r="Q16" s="143">
        <f t="shared" si="1"/>
        <v>760</v>
      </c>
      <c r="R16" s="143">
        <f t="shared" si="1"/>
        <v>780</v>
      </c>
      <c r="S16" s="143">
        <f t="shared" si="1"/>
        <v>800</v>
      </c>
      <c r="T16" s="143">
        <f t="shared" si="1"/>
        <v>820</v>
      </c>
      <c r="U16" s="143">
        <f t="shared" si="1"/>
        <v>840</v>
      </c>
      <c r="V16" s="143">
        <f t="shared" si="1"/>
        <v>860</v>
      </c>
      <c r="W16" s="143">
        <f t="shared" si="1"/>
        <v>880</v>
      </c>
      <c r="X16" s="143">
        <f t="shared" si="1"/>
        <v>900</v>
      </c>
      <c r="Y16" s="143">
        <f t="shared" si="1"/>
        <v>920</v>
      </c>
      <c r="Z16" s="143">
        <f t="shared" si="1"/>
        <v>940</v>
      </c>
      <c r="AA16" s="143">
        <f t="shared" si="1"/>
        <v>960</v>
      </c>
      <c r="AB16" s="143">
        <f t="shared" si="1"/>
        <v>980</v>
      </c>
      <c r="AC16" s="143">
        <f t="shared" ref="AC16:AD16" si="2">AB16+2</f>
        <v>982</v>
      </c>
      <c r="AD16" s="143">
        <f t="shared" si="2"/>
        <v>984</v>
      </c>
      <c r="AE16" s="143"/>
      <c r="AF16" s="142"/>
      <c r="AG16" s="142"/>
      <c r="AH16" s="142"/>
      <c r="AI16" s="142"/>
    </row>
    <row r="17" spans="1:48" x14ac:dyDescent="0.25">
      <c r="A17" s="142"/>
      <c r="B17" s="143">
        <f t="shared" ref="B17:AD17" si="3">B18+B19+B20+B21</f>
        <v>9528.8080000000009</v>
      </c>
      <c r="C17" s="143">
        <f t="shared" si="3"/>
        <v>9943.1039999999994</v>
      </c>
      <c r="D17" s="143">
        <f t="shared" si="3"/>
        <v>10357.4</v>
      </c>
      <c r="E17" s="143">
        <f t="shared" si="3"/>
        <v>10771.696</v>
      </c>
      <c r="F17" s="143">
        <f t="shared" si="3"/>
        <v>11185.992</v>
      </c>
      <c r="G17" s="143">
        <f t="shared" si="3"/>
        <v>11600.287999999999</v>
      </c>
      <c r="H17" s="143">
        <f t="shared" si="3"/>
        <v>12014.583999999999</v>
      </c>
      <c r="I17" s="143">
        <f t="shared" si="3"/>
        <v>12428.88</v>
      </c>
      <c r="J17" s="143">
        <f t="shared" si="3"/>
        <v>12843.176000000001</v>
      </c>
      <c r="K17" s="143">
        <f t="shared" si="3"/>
        <v>13257.472</v>
      </c>
      <c r="L17" s="143">
        <f t="shared" si="3"/>
        <v>13671.768</v>
      </c>
      <c r="M17" s="143">
        <f t="shared" si="3"/>
        <v>14086.063999999998</v>
      </c>
      <c r="N17" s="143">
        <f t="shared" si="3"/>
        <v>14500.36</v>
      </c>
      <c r="O17" s="143">
        <f t="shared" si="3"/>
        <v>14914.656000000001</v>
      </c>
      <c r="P17" s="143">
        <f t="shared" si="3"/>
        <v>15328.951999999999</v>
      </c>
      <c r="Q17" s="143">
        <f t="shared" si="3"/>
        <v>15743.248</v>
      </c>
      <c r="R17" s="143">
        <f t="shared" si="3"/>
        <v>16157.543999999998</v>
      </c>
      <c r="S17" s="143">
        <f t="shared" si="3"/>
        <v>16571.84</v>
      </c>
      <c r="T17" s="143">
        <f t="shared" si="3"/>
        <v>16986.136000000002</v>
      </c>
      <c r="U17" s="143">
        <f t="shared" si="3"/>
        <v>17400.432000000001</v>
      </c>
      <c r="V17" s="143">
        <f t="shared" si="3"/>
        <v>17814.727999999996</v>
      </c>
      <c r="W17" s="143">
        <f t="shared" si="3"/>
        <v>18229.023999999998</v>
      </c>
      <c r="X17" s="143">
        <f t="shared" si="3"/>
        <v>18643.32</v>
      </c>
      <c r="Y17" s="143">
        <f t="shared" si="3"/>
        <v>19057.616000000002</v>
      </c>
      <c r="Z17" s="143">
        <f t="shared" si="3"/>
        <v>19471.912000000004</v>
      </c>
      <c r="AA17" s="143">
        <f t="shared" si="3"/>
        <v>19886.207999999999</v>
      </c>
      <c r="AB17" s="143">
        <f t="shared" si="3"/>
        <v>20300.504000000001</v>
      </c>
      <c r="AC17" s="143">
        <f t="shared" si="3"/>
        <v>20341.9336</v>
      </c>
      <c r="AD17" s="143">
        <f t="shared" si="3"/>
        <v>20383.3632</v>
      </c>
      <c r="AE17" s="143"/>
      <c r="AF17" s="143"/>
      <c r="AG17" s="143"/>
      <c r="AH17" s="143"/>
      <c r="AI17" s="143"/>
    </row>
    <row r="18" spans="1:48" x14ac:dyDescent="0.25">
      <c r="A18" s="144" t="s">
        <v>141</v>
      </c>
      <c r="B18" s="145">
        <f>B16*$N$6</f>
        <v>5520</v>
      </c>
      <c r="C18" s="145">
        <f t="shared" ref="C18:AK18" si="4">C16*$N$6</f>
        <v>5760</v>
      </c>
      <c r="D18" s="145">
        <f t="shared" si="4"/>
        <v>6000</v>
      </c>
      <c r="E18" s="145">
        <f t="shared" si="4"/>
        <v>6240</v>
      </c>
      <c r="F18" s="145">
        <f t="shared" si="4"/>
        <v>6480</v>
      </c>
      <c r="G18" s="145">
        <f t="shared" si="4"/>
        <v>6720</v>
      </c>
      <c r="H18" s="145">
        <f t="shared" si="4"/>
        <v>6960</v>
      </c>
      <c r="I18" s="145">
        <f t="shared" si="4"/>
        <v>7200</v>
      </c>
      <c r="J18" s="145">
        <f t="shared" si="4"/>
        <v>7440</v>
      </c>
      <c r="K18" s="145">
        <f t="shared" si="4"/>
        <v>7680</v>
      </c>
      <c r="L18" s="145">
        <f t="shared" si="4"/>
        <v>7920</v>
      </c>
      <c r="M18" s="145">
        <f t="shared" si="4"/>
        <v>8160</v>
      </c>
      <c r="N18" s="145">
        <f t="shared" si="4"/>
        <v>8400</v>
      </c>
      <c r="O18" s="145">
        <f t="shared" si="4"/>
        <v>8640</v>
      </c>
      <c r="P18" s="145">
        <f t="shared" si="4"/>
        <v>8880</v>
      </c>
      <c r="Q18" s="145">
        <f t="shared" si="4"/>
        <v>9120</v>
      </c>
      <c r="R18" s="145">
        <f t="shared" si="4"/>
        <v>9360</v>
      </c>
      <c r="S18" s="145">
        <f t="shared" si="4"/>
        <v>9600</v>
      </c>
      <c r="T18" s="145">
        <f t="shared" si="4"/>
        <v>9840</v>
      </c>
      <c r="U18" s="145">
        <f t="shared" si="4"/>
        <v>10080</v>
      </c>
      <c r="V18" s="145">
        <f t="shared" si="4"/>
        <v>10320</v>
      </c>
      <c r="W18" s="145">
        <f t="shared" si="4"/>
        <v>10560</v>
      </c>
      <c r="X18" s="145">
        <f t="shared" si="4"/>
        <v>10800</v>
      </c>
      <c r="Y18" s="145">
        <f t="shared" si="4"/>
        <v>11040</v>
      </c>
      <c r="Z18" s="145">
        <f t="shared" si="4"/>
        <v>11280</v>
      </c>
      <c r="AA18" s="145">
        <f t="shared" si="4"/>
        <v>11520</v>
      </c>
      <c r="AB18" s="145">
        <f t="shared" si="4"/>
        <v>11760</v>
      </c>
      <c r="AC18" s="145">
        <f t="shared" si="4"/>
        <v>11784</v>
      </c>
      <c r="AD18" s="145">
        <f t="shared" si="4"/>
        <v>11808</v>
      </c>
      <c r="AE18" s="145">
        <f t="shared" si="4"/>
        <v>0</v>
      </c>
      <c r="AF18" s="145">
        <f t="shared" si="4"/>
        <v>0</v>
      </c>
      <c r="AG18" s="145">
        <f t="shared" si="4"/>
        <v>0</v>
      </c>
      <c r="AH18" s="145">
        <f t="shared" si="4"/>
        <v>0</v>
      </c>
      <c r="AI18" s="145">
        <f t="shared" si="4"/>
        <v>0</v>
      </c>
      <c r="AJ18" s="145">
        <f t="shared" si="4"/>
        <v>0</v>
      </c>
      <c r="AK18" s="145">
        <f t="shared" si="4"/>
        <v>0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44" t="s">
        <v>142</v>
      </c>
      <c r="B19" s="145">
        <f>B16*$O$6</f>
        <v>2083.8000000000002</v>
      </c>
      <c r="C19" s="145">
        <f t="shared" ref="C19:AK19" si="5">C16*$O$6</f>
        <v>2174.4</v>
      </c>
      <c r="D19" s="145">
        <f t="shared" si="5"/>
        <v>2265</v>
      </c>
      <c r="E19" s="145">
        <f t="shared" si="5"/>
        <v>2355.6</v>
      </c>
      <c r="F19" s="145">
        <f t="shared" si="5"/>
        <v>2446.2000000000003</v>
      </c>
      <c r="G19" s="145">
        <f t="shared" si="5"/>
        <v>2536.8000000000002</v>
      </c>
      <c r="H19" s="145">
        <f t="shared" si="5"/>
        <v>2627.4</v>
      </c>
      <c r="I19" s="145">
        <f t="shared" si="5"/>
        <v>2718</v>
      </c>
      <c r="J19" s="145">
        <f t="shared" si="5"/>
        <v>2808.6000000000004</v>
      </c>
      <c r="K19" s="145">
        <f t="shared" si="5"/>
        <v>2899.2000000000003</v>
      </c>
      <c r="L19" s="145">
        <f t="shared" si="5"/>
        <v>2989.8</v>
      </c>
      <c r="M19" s="145">
        <f t="shared" si="5"/>
        <v>3080.4</v>
      </c>
      <c r="N19" s="145">
        <f t="shared" si="5"/>
        <v>3171</v>
      </c>
      <c r="O19" s="145">
        <f t="shared" si="5"/>
        <v>3261.6000000000004</v>
      </c>
      <c r="P19" s="145">
        <f t="shared" si="5"/>
        <v>3352.2000000000003</v>
      </c>
      <c r="Q19" s="145">
        <f t="shared" si="5"/>
        <v>3442.8</v>
      </c>
      <c r="R19" s="145">
        <f t="shared" si="5"/>
        <v>3533.4</v>
      </c>
      <c r="S19" s="145">
        <f t="shared" si="5"/>
        <v>3624</v>
      </c>
      <c r="T19" s="145">
        <f t="shared" si="5"/>
        <v>3714.6000000000004</v>
      </c>
      <c r="U19" s="145">
        <f t="shared" si="5"/>
        <v>3805.2000000000003</v>
      </c>
      <c r="V19" s="145">
        <f t="shared" si="5"/>
        <v>3895.8</v>
      </c>
      <c r="W19" s="145">
        <f t="shared" si="5"/>
        <v>3986.4</v>
      </c>
      <c r="X19" s="145">
        <f t="shared" si="5"/>
        <v>4077</v>
      </c>
      <c r="Y19" s="145">
        <f t="shared" si="5"/>
        <v>4167.6000000000004</v>
      </c>
      <c r="Z19" s="145">
        <f t="shared" si="5"/>
        <v>4258.2</v>
      </c>
      <c r="AA19" s="145">
        <f t="shared" si="5"/>
        <v>4348.8</v>
      </c>
      <c r="AB19" s="145">
        <f t="shared" si="5"/>
        <v>4439.4000000000005</v>
      </c>
      <c r="AC19" s="145">
        <f t="shared" si="5"/>
        <v>4448.46</v>
      </c>
      <c r="AD19" s="145">
        <f t="shared" si="5"/>
        <v>4457.5200000000004</v>
      </c>
      <c r="AE19" s="145">
        <f t="shared" si="5"/>
        <v>0</v>
      </c>
      <c r="AF19" s="145">
        <f t="shared" si="5"/>
        <v>0</v>
      </c>
      <c r="AG19" s="145">
        <f t="shared" si="5"/>
        <v>0</v>
      </c>
      <c r="AH19" s="145">
        <f t="shared" si="5"/>
        <v>0</v>
      </c>
      <c r="AI19" s="145">
        <f t="shared" si="5"/>
        <v>0</v>
      </c>
      <c r="AJ19" s="145">
        <f t="shared" si="5"/>
        <v>0</v>
      </c>
      <c r="AK19" s="145">
        <f t="shared" si="5"/>
        <v>0</v>
      </c>
    </row>
    <row r="20" spans="1:48" x14ac:dyDescent="0.25">
      <c r="A20" s="144" t="s">
        <v>143</v>
      </c>
      <c r="B20" s="145">
        <f>B16*$P$6</f>
        <v>1713.4079999999999</v>
      </c>
      <c r="C20" s="145">
        <f t="shared" ref="C20:AK20" si="6">C16*$P$6</f>
        <v>1787.9039999999998</v>
      </c>
      <c r="D20" s="145">
        <f t="shared" si="6"/>
        <v>1862.3999999999999</v>
      </c>
      <c r="E20" s="145">
        <f t="shared" si="6"/>
        <v>1936.8959999999997</v>
      </c>
      <c r="F20" s="145">
        <f t="shared" si="6"/>
        <v>2011.3919999999998</v>
      </c>
      <c r="G20" s="145">
        <f t="shared" si="6"/>
        <v>2085.8879999999999</v>
      </c>
      <c r="H20" s="145">
        <f t="shared" si="6"/>
        <v>2160.384</v>
      </c>
      <c r="I20" s="145">
        <f t="shared" si="6"/>
        <v>2234.8799999999997</v>
      </c>
      <c r="J20" s="145">
        <f t="shared" si="6"/>
        <v>2309.3759999999997</v>
      </c>
      <c r="K20" s="145">
        <f t="shared" si="6"/>
        <v>2383.8719999999998</v>
      </c>
      <c r="L20" s="145">
        <f t="shared" si="6"/>
        <v>2458.3679999999999</v>
      </c>
      <c r="M20" s="145">
        <f t="shared" si="6"/>
        <v>2532.8639999999996</v>
      </c>
      <c r="N20" s="145">
        <f t="shared" si="6"/>
        <v>2607.3599999999997</v>
      </c>
      <c r="O20" s="145">
        <f t="shared" si="6"/>
        <v>2681.8559999999998</v>
      </c>
      <c r="P20" s="145">
        <f t="shared" si="6"/>
        <v>2756.3519999999999</v>
      </c>
      <c r="Q20" s="145">
        <f t="shared" si="6"/>
        <v>2830.848</v>
      </c>
      <c r="R20" s="145">
        <f t="shared" si="6"/>
        <v>2905.3439999999996</v>
      </c>
      <c r="S20" s="145">
        <f t="shared" si="6"/>
        <v>2979.8399999999997</v>
      </c>
      <c r="T20" s="145">
        <f t="shared" si="6"/>
        <v>3054.3359999999998</v>
      </c>
      <c r="U20" s="145">
        <f t="shared" si="6"/>
        <v>3128.8319999999999</v>
      </c>
      <c r="V20" s="145">
        <f t="shared" si="6"/>
        <v>3203.3279999999995</v>
      </c>
      <c r="W20" s="145">
        <f t="shared" si="6"/>
        <v>3277.8239999999996</v>
      </c>
      <c r="X20" s="145">
        <f t="shared" si="6"/>
        <v>3352.3199999999997</v>
      </c>
      <c r="Y20" s="145">
        <f t="shared" si="6"/>
        <v>3426.8159999999998</v>
      </c>
      <c r="Z20" s="145">
        <f t="shared" si="6"/>
        <v>3501.3119999999999</v>
      </c>
      <c r="AA20" s="145">
        <f t="shared" si="6"/>
        <v>3575.8079999999995</v>
      </c>
      <c r="AB20" s="145">
        <f t="shared" si="6"/>
        <v>3650.3039999999996</v>
      </c>
      <c r="AC20" s="145">
        <f t="shared" si="6"/>
        <v>3657.7535999999996</v>
      </c>
      <c r="AD20" s="145">
        <f t="shared" si="6"/>
        <v>3665.2031999999995</v>
      </c>
      <c r="AE20" s="145">
        <f t="shared" si="6"/>
        <v>0</v>
      </c>
      <c r="AF20" s="145">
        <f t="shared" si="6"/>
        <v>0</v>
      </c>
      <c r="AG20" s="145">
        <f t="shared" si="6"/>
        <v>0</v>
      </c>
      <c r="AH20" s="145">
        <f t="shared" si="6"/>
        <v>0</v>
      </c>
      <c r="AI20" s="145">
        <f t="shared" si="6"/>
        <v>0</v>
      </c>
      <c r="AJ20" s="145">
        <f t="shared" si="6"/>
        <v>0</v>
      </c>
      <c r="AK20" s="145">
        <f t="shared" si="6"/>
        <v>0</v>
      </c>
    </row>
    <row r="21" spans="1:48" x14ac:dyDescent="0.25">
      <c r="A21" s="144" t="s">
        <v>144</v>
      </c>
      <c r="B21" s="145">
        <f>B16*$Q$6</f>
        <v>211.60000000000002</v>
      </c>
      <c r="C21" s="145">
        <f t="shared" ref="C21:AK21" si="7">C16*$Q$6</f>
        <v>220.80000000000004</v>
      </c>
      <c r="D21" s="145">
        <f t="shared" si="7"/>
        <v>230.00000000000003</v>
      </c>
      <c r="E21" s="145">
        <f t="shared" si="7"/>
        <v>239.20000000000005</v>
      </c>
      <c r="F21" s="145">
        <f t="shared" si="7"/>
        <v>248.40000000000003</v>
      </c>
      <c r="G21" s="145">
        <f t="shared" si="7"/>
        <v>257.60000000000002</v>
      </c>
      <c r="H21" s="145">
        <f t="shared" si="7"/>
        <v>266.80000000000007</v>
      </c>
      <c r="I21" s="145">
        <f t="shared" si="7"/>
        <v>276.00000000000006</v>
      </c>
      <c r="J21" s="145">
        <f t="shared" si="7"/>
        <v>285.20000000000005</v>
      </c>
      <c r="K21" s="145">
        <f t="shared" si="7"/>
        <v>294.40000000000003</v>
      </c>
      <c r="L21" s="145">
        <f t="shared" si="7"/>
        <v>303.60000000000002</v>
      </c>
      <c r="M21" s="145">
        <f t="shared" si="7"/>
        <v>312.80000000000007</v>
      </c>
      <c r="N21" s="145">
        <f t="shared" si="7"/>
        <v>322.00000000000006</v>
      </c>
      <c r="O21" s="145">
        <f t="shared" si="7"/>
        <v>331.20000000000005</v>
      </c>
      <c r="P21" s="145">
        <f t="shared" si="7"/>
        <v>340.40000000000003</v>
      </c>
      <c r="Q21" s="145">
        <f t="shared" si="7"/>
        <v>349.60000000000008</v>
      </c>
      <c r="R21" s="145">
        <f t="shared" si="7"/>
        <v>358.80000000000007</v>
      </c>
      <c r="S21" s="145">
        <f t="shared" si="7"/>
        <v>368.00000000000006</v>
      </c>
      <c r="T21" s="145">
        <f t="shared" si="7"/>
        <v>377.20000000000005</v>
      </c>
      <c r="U21" s="145">
        <f t="shared" si="7"/>
        <v>386.40000000000009</v>
      </c>
      <c r="V21" s="145">
        <f t="shared" si="7"/>
        <v>395.60000000000008</v>
      </c>
      <c r="W21" s="145">
        <f t="shared" si="7"/>
        <v>404.80000000000007</v>
      </c>
      <c r="X21" s="145">
        <f t="shared" si="7"/>
        <v>414.00000000000006</v>
      </c>
      <c r="Y21" s="145">
        <f t="shared" si="7"/>
        <v>423.20000000000005</v>
      </c>
      <c r="Z21" s="145">
        <f t="shared" si="7"/>
        <v>432.40000000000009</v>
      </c>
      <c r="AA21" s="145">
        <f t="shared" si="7"/>
        <v>441.60000000000008</v>
      </c>
      <c r="AB21" s="145">
        <f t="shared" si="7"/>
        <v>450.80000000000007</v>
      </c>
      <c r="AC21" s="145">
        <f t="shared" si="7"/>
        <v>451.72000000000008</v>
      </c>
      <c r="AD21" s="145">
        <f t="shared" si="7"/>
        <v>452.6400000000001</v>
      </c>
      <c r="AE21" s="145">
        <f t="shared" si="7"/>
        <v>0</v>
      </c>
      <c r="AF21" s="145">
        <f t="shared" si="7"/>
        <v>0</v>
      </c>
      <c r="AG21" s="145">
        <f t="shared" si="7"/>
        <v>0</v>
      </c>
      <c r="AH21" s="145">
        <f t="shared" si="7"/>
        <v>0</v>
      </c>
      <c r="AI21" s="145">
        <f t="shared" si="7"/>
        <v>0</v>
      </c>
      <c r="AJ21" s="145">
        <f t="shared" si="7"/>
        <v>0</v>
      </c>
      <c r="AK21" s="145">
        <f t="shared" si="7"/>
        <v>0</v>
      </c>
    </row>
    <row r="22" spans="1:48" x14ac:dyDescent="0.25">
      <c r="A22" s="144" t="s">
        <v>145</v>
      </c>
      <c r="B22" s="145">
        <f t="shared" ref="B22:AD22" si="8">MIN(B$18,$C$4)</f>
        <v>5520</v>
      </c>
      <c r="C22" s="145">
        <f t="shared" si="8"/>
        <v>5760</v>
      </c>
      <c r="D22" s="145">
        <f t="shared" si="8"/>
        <v>6000</v>
      </c>
      <c r="E22" s="145">
        <f t="shared" si="8"/>
        <v>6240</v>
      </c>
      <c r="F22" s="145">
        <f t="shared" si="8"/>
        <v>6480</v>
      </c>
      <c r="G22" s="145">
        <f t="shared" si="8"/>
        <v>6720</v>
      </c>
      <c r="H22" s="145">
        <f t="shared" si="8"/>
        <v>6960</v>
      </c>
      <c r="I22" s="145">
        <f t="shared" si="8"/>
        <v>7200</v>
      </c>
      <c r="J22" s="145">
        <f t="shared" si="8"/>
        <v>7440</v>
      </c>
      <c r="K22" s="145">
        <f t="shared" si="8"/>
        <v>7680</v>
      </c>
      <c r="L22" s="145">
        <f t="shared" si="8"/>
        <v>7920</v>
      </c>
      <c r="M22" s="145">
        <f t="shared" si="8"/>
        <v>8160</v>
      </c>
      <c r="N22" s="145">
        <f t="shared" si="8"/>
        <v>8400</v>
      </c>
      <c r="O22" s="145">
        <f t="shared" si="8"/>
        <v>8640</v>
      </c>
      <c r="P22" s="145">
        <f t="shared" si="8"/>
        <v>8880</v>
      </c>
      <c r="Q22" s="145">
        <f t="shared" si="8"/>
        <v>9120</v>
      </c>
      <c r="R22" s="145">
        <f t="shared" si="8"/>
        <v>9360</v>
      </c>
      <c r="S22" s="145">
        <f t="shared" si="8"/>
        <v>9600</v>
      </c>
      <c r="T22" s="145">
        <f t="shared" si="8"/>
        <v>9840</v>
      </c>
      <c r="U22" s="145">
        <f t="shared" si="8"/>
        <v>10080</v>
      </c>
      <c r="V22" s="145">
        <f t="shared" si="8"/>
        <v>10320</v>
      </c>
      <c r="W22" s="145">
        <f t="shared" si="8"/>
        <v>10560</v>
      </c>
      <c r="X22" s="145">
        <f t="shared" si="8"/>
        <v>10800</v>
      </c>
      <c r="Y22" s="145">
        <f t="shared" si="8"/>
        <v>11040</v>
      </c>
      <c r="Z22" s="145">
        <f t="shared" si="8"/>
        <v>11280</v>
      </c>
      <c r="AA22" s="145">
        <f t="shared" si="8"/>
        <v>11520</v>
      </c>
      <c r="AB22" s="145">
        <f t="shared" si="8"/>
        <v>11760</v>
      </c>
      <c r="AC22" s="145">
        <f t="shared" si="8"/>
        <v>11784</v>
      </c>
      <c r="AD22" s="145">
        <f t="shared" si="8"/>
        <v>11808</v>
      </c>
      <c r="AE22" s="145"/>
      <c r="AF22" s="145"/>
      <c r="AG22" s="145"/>
      <c r="AH22" s="145"/>
      <c r="AI22" s="145"/>
    </row>
    <row r="23" spans="1:48" x14ac:dyDescent="0.25">
      <c r="A23" s="144" t="s">
        <v>146</v>
      </c>
      <c r="B23" s="145">
        <f t="shared" ref="B23:AD23" si="9">MIN(B$19,$C$5)</f>
        <v>2083.8000000000002</v>
      </c>
      <c r="C23" s="145">
        <f t="shared" si="9"/>
        <v>2174.4</v>
      </c>
      <c r="D23" s="145">
        <f t="shared" si="9"/>
        <v>2265</v>
      </c>
      <c r="E23" s="145">
        <f t="shared" si="9"/>
        <v>2355.6</v>
      </c>
      <c r="F23" s="145">
        <f t="shared" si="9"/>
        <v>2446.2000000000003</v>
      </c>
      <c r="G23" s="145">
        <f t="shared" si="9"/>
        <v>2536.8000000000002</v>
      </c>
      <c r="H23" s="145">
        <f t="shared" si="9"/>
        <v>2627.4</v>
      </c>
      <c r="I23" s="145">
        <f t="shared" si="9"/>
        <v>2718</v>
      </c>
      <c r="J23" s="145">
        <f t="shared" si="9"/>
        <v>2808.6000000000004</v>
      </c>
      <c r="K23" s="145">
        <f t="shared" si="9"/>
        <v>2899.2000000000003</v>
      </c>
      <c r="L23" s="145">
        <f t="shared" si="9"/>
        <v>2989.8</v>
      </c>
      <c r="M23" s="145">
        <f t="shared" si="9"/>
        <v>3080.4</v>
      </c>
      <c r="N23" s="145">
        <f t="shared" si="9"/>
        <v>3171</v>
      </c>
      <c r="O23" s="145">
        <f t="shared" si="9"/>
        <v>3261.6000000000004</v>
      </c>
      <c r="P23" s="145">
        <f t="shared" si="9"/>
        <v>3352.2000000000003</v>
      </c>
      <c r="Q23" s="145">
        <f t="shared" si="9"/>
        <v>3442.8</v>
      </c>
      <c r="R23" s="145">
        <f t="shared" si="9"/>
        <v>3533.4</v>
      </c>
      <c r="S23" s="145">
        <f t="shared" si="9"/>
        <v>3624</v>
      </c>
      <c r="T23" s="145">
        <f t="shared" si="9"/>
        <v>3714.6000000000004</v>
      </c>
      <c r="U23" s="145">
        <f t="shared" si="9"/>
        <v>3805.2000000000003</v>
      </c>
      <c r="V23" s="145">
        <f t="shared" si="9"/>
        <v>3895.8</v>
      </c>
      <c r="W23" s="145">
        <f t="shared" si="9"/>
        <v>3986.4</v>
      </c>
      <c r="X23" s="145">
        <f t="shared" si="9"/>
        <v>4077</v>
      </c>
      <c r="Y23" s="145">
        <f t="shared" si="9"/>
        <v>4167.6000000000004</v>
      </c>
      <c r="Z23" s="145">
        <f t="shared" si="9"/>
        <v>4258.2</v>
      </c>
      <c r="AA23" s="145">
        <f t="shared" si="9"/>
        <v>4348.8</v>
      </c>
      <c r="AB23" s="145">
        <f t="shared" si="9"/>
        <v>4439.4000000000005</v>
      </c>
      <c r="AC23" s="145">
        <f t="shared" si="9"/>
        <v>4448.46</v>
      </c>
      <c r="AD23" s="145">
        <f t="shared" si="9"/>
        <v>4457.5200000000004</v>
      </c>
      <c r="AE23" s="145"/>
      <c r="AF23" s="145"/>
      <c r="AG23" s="145"/>
      <c r="AH23" s="145"/>
      <c r="AI23" s="145"/>
    </row>
    <row r="24" spans="1:48" x14ac:dyDescent="0.25">
      <c r="A24" s="144" t="s">
        <v>147</v>
      </c>
      <c r="B24" s="145">
        <f t="shared" ref="B24:AD24" si="10">MIN(B$20,$C$6)</f>
        <v>1713.4079999999999</v>
      </c>
      <c r="C24" s="145">
        <f t="shared" si="10"/>
        <v>1787.9039999999998</v>
      </c>
      <c r="D24" s="145">
        <f t="shared" si="10"/>
        <v>1862.3999999999999</v>
      </c>
      <c r="E24" s="145">
        <f t="shared" si="10"/>
        <v>1936.8959999999997</v>
      </c>
      <c r="F24" s="145">
        <f t="shared" si="10"/>
        <v>2011.3919999999998</v>
      </c>
      <c r="G24" s="145">
        <f t="shared" si="10"/>
        <v>2085.8879999999999</v>
      </c>
      <c r="H24" s="145">
        <f t="shared" si="10"/>
        <v>2160.384</v>
      </c>
      <c r="I24" s="145">
        <f t="shared" si="10"/>
        <v>2234.8799999999997</v>
      </c>
      <c r="J24" s="145">
        <f t="shared" si="10"/>
        <v>2309.3759999999997</v>
      </c>
      <c r="K24" s="145">
        <f t="shared" si="10"/>
        <v>2383.8719999999998</v>
      </c>
      <c r="L24" s="145">
        <f t="shared" si="10"/>
        <v>2458.3679999999999</v>
      </c>
      <c r="M24" s="145">
        <f t="shared" si="10"/>
        <v>2532.8639999999996</v>
      </c>
      <c r="N24" s="145">
        <f t="shared" si="10"/>
        <v>2607.3599999999997</v>
      </c>
      <c r="O24" s="145">
        <f t="shared" si="10"/>
        <v>2681.8559999999998</v>
      </c>
      <c r="P24" s="145">
        <f t="shared" si="10"/>
        <v>2756.3519999999999</v>
      </c>
      <c r="Q24" s="145">
        <f t="shared" si="10"/>
        <v>2830.848</v>
      </c>
      <c r="R24" s="145">
        <f t="shared" si="10"/>
        <v>2905.3439999999996</v>
      </c>
      <c r="S24" s="145">
        <f t="shared" si="10"/>
        <v>2979.8399999999997</v>
      </c>
      <c r="T24" s="145">
        <f t="shared" si="10"/>
        <v>3054.3359999999998</v>
      </c>
      <c r="U24" s="145">
        <f t="shared" si="10"/>
        <v>3128.8319999999999</v>
      </c>
      <c r="V24" s="145">
        <f t="shared" si="10"/>
        <v>3203.3279999999995</v>
      </c>
      <c r="W24" s="145">
        <f t="shared" si="10"/>
        <v>3277.8239999999996</v>
      </c>
      <c r="X24" s="145">
        <f t="shared" si="10"/>
        <v>3352.3199999999997</v>
      </c>
      <c r="Y24" s="145">
        <f t="shared" si="10"/>
        <v>3426.8159999999998</v>
      </c>
      <c r="Z24" s="145">
        <f t="shared" si="10"/>
        <v>3501.3119999999999</v>
      </c>
      <c r="AA24" s="145">
        <f t="shared" si="10"/>
        <v>3575.8079999999995</v>
      </c>
      <c r="AB24" s="145">
        <f t="shared" si="10"/>
        <v>3650.3039999999996</v>
      </c>
      <c r="AC24" s="145">
        <f t="shared" si="10"/>
        <v>3657.7535999999996</v>
      </c>
      <c r="AD24" s="145">
        <f t="shared" si="10"/>
        <v>3665.2031999999995</v>
      </c>
      <c r="AE24" s="145"/>
      <c r="AF24" s="145"/>
      <c r="AG24" s="145"/>
      <c r="AH24" s="145"/>
      <c r="AI24" s="145"/>
    </row>
    <row r="25" spans="1:48" x14ac:dyDescent="0.25">
      <c r="A25" s="144" t="s">
        <v>148</v>
      </c>
      <c r="B25" s="145">
        <f t="shared" ref="B25:AD25" si="11">MIN(B$21,$C$7)</f>
        <v>211.60000000000002</v>
      </c>
      <c r="C25" s="145">
        <f t="shared" si="11"/>
        <v>220.80000000000004</v>
      </c>
      <c r="D25" s="145">
        <f t="shared" si="11"/>
        <v>230.00000000000003</v>
      </c>
      <c r="E25" s="145">
        <f t="shared" si="11"/>
        <v>239.20000000000005</v>
      </c>
      <c r="F25" s="145">
        <f t="shared" si="11"/>
        <v>248.40000000000003</v>
      </c>
      <c r="G25" s="145">
        <f t="shared" si="11"/>
        <v>257.60000000000002</v>
      </c>
      <c r="H25" s="145">
        <f t="shared" si="11"/>
        <v>266.80000000000007</v>
      </c>
      <c r="I25" s="145">
        <f t="shared" si="11"/>
        <v>276.00000000000006</v>
      </c>
      <c r="J25" s="145">
        <f t="shared" si="11"/>
        <v>285.20000000000005</v>
      </c>
      <c r="K25" s="145">
        <f t="shared" si="11"/>
        <v>294.40000000000003</v>
      </c>
      <c r="L25" s="145">
        <f t="shared" si="11"/>
        <v>303.60000000000002</v>
      </c>
      <c r="M25" s="145">
        <f t="shared" si="11"/>
        <v>312.80000000000007</v>
      </c>
      <c r="N25" s="145">
        <f t="shared" si="11"/>
        <v>322.00000000000006</v>
      </c>
      <c r="O25" s="145">
        <f t="shared" si="11"/>
        <v>331.20000000000005</v>
      </c>
      <c r="P25" s="145">
        <f t="shared" si="11"/>
        <v>340.40000000000003</v>
      </c>
      <c r="Q25" s="145">
        <f t="shared" si="11"/>
        <v>349.60000000000008</v>
      </c>
      <c r="R25" s="145">
        <f t="shared" si="11"/>
        <v>358.80000000000007</v>
      </c>
      <c r="S25" s="145">
        <f t="shared" si="11"/>
        <v>368.00000000000006</v>
      </c>
      <c r="T25" s="145">
        <f t="shared" si="11"/>
        <v>377.20000000000005</v>
      </c>
      <c r="U25" s="145">
        <f t="shared" si="11"/>
        <v>386.40000000000009</v>
      </c>
      <c r="V25" s="145">
        <f t="shared" si="11"/>
        <v>395.60000000000008</v>
      </c>
      <c r="W25" s="145">
        <f t="shared" si="11"/>
        <v>404.80000000000007</v>
      </c>
      <c r="X25" s="145">
        <f t="shared" si="11"/>
        <v>414.00000000000006</v>
      </c>
      <c r="Y25" s="145">
        <f t="shared" si="11"/>
        <v>423.20000000000005</v>
      </c>
      <c r="Z25" s="145">
        <f t="shared" si="11"/>
        <v>432.40000000000009</v>
      </c>
      <c r="AA25" s="145">
        <f t="shared" si="11"/>
        <v>441.60000000000008</v>
      </c>
      <c r="AB25" s="145">
        <f t="shared" si="11"/>
        <v>450.80000000000007</v>
      </c>
      <c r="AC25" s="145">
        <f t="shared" si="11"/>
        <v>451.72000000000008</v>
      </c>
      <c r="AD25" s="145">
        <f t="shared" si="11"/>
        <v>452.6400000000001</v>
      </c>
      <c r="AE25" s="145"/>
      <c r="AF25" s="145"/>
      <c r="AG25" s="145"/>
      <c r="AH25" s="145"/>
      <c r="AI25" s="145"/>
    </row>
    <row r="26" spans="1:48" x14ac:dyDescent="0.25">
      <c r="A26" s="146" t="s">
        <v>149</v>
      </c>
      <c r="B26" s="147">
        <f>IF(B22&gt;$B$4,(B22-$B$4)*$H$4,0)</f>
        <v>0</v>
      </c>
      <c r="C26" s="147">
        <v>0</v>
      </c>
      <c r="D26" s="147">
        <f>IF(D22&gt;$B$4,(D22-$B$4)*$H$4,0)</f>
        <v>0</v>
      </c>
      <c r="E26" s="147">
        <v>0</v>
      </c>
      <c r="F26" s="147">
        <f>IF(F22&gt;$B$4,(F22-$B$4)*$H$4,0)</f>
        <v>0</v>
      </c>
      <c r="G26" s="147">
        <v>0</v>
      </c>
      <c r="H26" s="147">
        <f>IF(H22&gt;$B$4,(H22-$B$4)*$H$4,0)</f>
        <v>0</v>
      </c>
      <c r="I26" s="147">
        <v>0</v>
      </c>
      <c r="J26" s="147">
        <f>IF(J22&gt;$B$4,(J22-$B$4)*$H$4,0)</f>
        <v>0</v>
      </c>
      <c r="K26" s="147">
        <v>0</v>
      </c>
      <c r="L26" s="147">
        <f>IF(L22&gt;$B$4,(L22-$B$4)*$H$4,0)</f>
        <v>0</v>
      </c>
      <c r="M26" s="147">
        <v>0</v>
      </c>
      <c r="N26" s="147">
        <f>IF(N22&gt;$B$4,(N22-$B$4)*$H$4,0)</f>
        <v>0</v>
      </c>
      <c r="O26" s="147">
        <v>0</v>
      </c>
      <c r="P26" s="147">
        <f>IF(P22&gt;$B$4,(P22-$B$4)*$H$4,0)</f>
        <v>0</v>
      </c>
      <c r="Q26" s="147">
        <v>0</v>
      </c>
      <c r="R26" s="147">
        <f>IF(R22&gt;$B$4,(R22-$B$4)*$H$4,0)</f>
        <v>0</v>
      </c>
      <c r="S26" s="147">
        <v>0</v>
      </c>
      <c r="T26" s="147">
        <f>IF(T22&gt;$B$4,(T22-$B$4)*$H$4,0)</f>
        <v>0</v>
      </c>
      <c r="U26" s="147">
        <v>0</v>
      </c>
      <c r="V26" s="147">
        <f>IF(V22&gt;$B$4,(V22-$B$4)*$H$4,0)</f>
        <v>0</v>
      </c>
      <c r="W26" s="147">
        <v>0</v>
      </c>
      <c r="X26" s="147">
        <f>IF(X22&gt;$B$4,(X22-$B$4)*$H$4,0)</f>
        <v>0</v>
      </c>
      <c r="Y26" s="147">
        <v>0</v>
      </c>
      <c r="Z26" s="147">
        <f>IF(Z22&gt;$B$4,(Z22-$B$4)*$H$4,0)</f>
        <v>0</v>
      </c>
      <c r="AA26" s="147">
        <v>0</v>
      </c>
      <c r="AB26" s="147">
        <f>IF(AB22&gt;$B$4,(AB22-$B$4)*$H$4,0)</f>
        <v>0</v>
      </c>
      <c r="AC26" s="147">
        <v>0</v>
      </c>
      <c r="AD26" s="147">
        <f>IF(AD22&gt;$B$4,(AD22-$B$4)*$H$4,0)</f>
        <v>0</v>
      </c>
      <c r="AE26" s="147">
        <v>0</v>
      </c>
      <c r="AF26" s="147">
        <f>IF(AF22&gt;$B$4,(AF22-$B$4)*$H$4,0)</f>
        <v>0</v>
      </c>
      <c r="AG26" s="147">
        <v>0</v>
      </c>
      <c r="AH26" s="147">
        <f>IF(AH22&gt;$B$4,(AH22-$B$4)*$H$4,0)</f>
        <v>0</v>
      </c>
      <c r="AI26" s="147">
        <v>0</v>
      </c>
      <c r="AJ26" s="147">
        <f>IF(AJ22&gt;$B$4,(AJ22-$B$4)*$H$4,0)</f>
        <v>0</v>
      </c>
      <c r="AK26" s="147">
        <v>0</v>
      </c>
    </row>
    <row r="27" spans="1:48" x14ac:dyDescent="0.25">
      <c r="A27" s="146" t="s">
        <v>150</v>
      </c>
      <c r="B27" s="147">
        <f>IF(B23&gt;$B$5,(B23-$B$5)*$H$5,0)</f>
        <v>0</v>
      </c>
      <c r="C27" s="147">
        <v>0</v>
      </c>
      <c r="D27" s="147">
        <f>IF(D23&gt;$B$5,(D23-$B$5)*$H$5,0)</f>
        <v>0</v>
      </c>
      <c r="E27" s="147">
        <v>0</v>
      </c>
      <c r="F27" s="147">
        <f>IF(F23&gt;$B$5,(F23-$B$5)*$H$5,0)</f>
        <v>0</v>
      </c>
      <c r="G27" s="147">
        <v>0</v>
      </c>
      <c r="H27" s="147">
        <f>IF(H23&gt;$B$5,(H23-$B$5)*$H$5,0)</f>
        <v>0</v>
      </c>
      <c r="I27" s="147">
        <v>0</v>
      </c>
      <c r="J27" s="147">
        <f>IF(J23&gt;$B$5,(J23-$B$5)*$H$5,0)</f>
        <v>0</v>
      </c>
      <c r="K27" s="147">
        <v>0</v>
      </c>
      <c r="L27" s="147">
        <f>IF(L23&gt;$B$5,(L23-$B$5)*$H$5,0)</f>
        <v>0</v>
      </c>
      <c r="M27" s="147">
        <v>0</v>
      </c>
      <c r="N27" s="147">
        <f>IF(N23&gt;$B$5,(N23-$B$5)*$H$5,0)</f>
        <v>0</v>
      </c>
      <c r="O27" s="147">
        <v>0</v>
      </c>
      <c r="P27" s="147">
        <f>IF(P23&gt;$B$5,(P23-$B$5)*$H$5,0)</f>
        <v>0</v>
      </c>
      <c r="Q27" s="147">
        <v>0</v>
      </c>
      <c r="R27" s="147">
        <f>IF(R23&gt;$B$5,(R23-$B$5)*$H$5,0)</f>
        <v>0</v>
      </c>
      <c r="S27" s="147">
        <v>0</v>
      </c>
      <c r="T27" s="147">
        <f>IF(T23&gt;$B$5,(T23-$B$5)*$H$5,0)</f>
        <v>0</v>
      </c>
      <c r="U27" s="147">
        <v>0</v>
      </c>
      <c r="V27" s="147">
        <f>IF(V23&gt;$B$5,(V23-$B$5)*$H$5,0)</f>
        <v>0</v>
      </c>
      <c r="W27" s="147">
        <v>0</v>
      </c>
      <c r="X27" s="147">
        <f>IF(X23&gt;$B$5,(X23-$B$5)*$H$5,0)</f>
        <v>0</v>
      </c>
      <c r="Y27" s="147">
        <v>0</v>
      </c>
      <c r="Z27" s="147">
        <f>IF(Z23&gt;$B$5,(Z23-$B$5)*$H$5,0)</f>
        <v>0</v>
      </c>
      <c r="AA27" s="147">
        <v>0</v>
      </c>
      <c r="AB27" s="147">
        <f>IF(AB23&gt;$B$5,(AB23-$B$5)*$H$5,0)</f>
        <v>0</v>
      </c>
      <c r="AC27" s="147">
        <v>0</v>
      </c>
      <c r="AD27" s="147">
        <f>IF(AD23&gt;$B$5,(AD23-$B$5)*$H$5,0)</f>
        <v>0</v>
      </c>
      <c r="AE27" s="147">
        <v>0</v>
      </c>
      <c r="AF27" s="147">
        <f>IF(AF23&gt;$B$5,(AF23-$B$5)*$H$5,0)</f>
        <v>0</v>
      </c>
      <c r="AG27" s="147">
        <v>0</v>
      </c>
      <c r="AH27" s="147">
        <f>IF(AH23&gt;$B$5,(AH23-$B$5)*$H$5,0)</f>
        <v>0</v>
      </c>
      <c r="AI27" s="147">
        <v>0</v>
      </c>
      <c r="AJ27" s="147">
        <f>IF(AJ23&gt;$B$5,(AJ23-$B$5)*$H$5,0)</f>
        <v>0</v>
      </c>
      <c r="AK27" s="147">
        <v>0</v>
      </c>
    </row>
    <row r="28" spans="1:48" x14ac:dyDescent="0.25">
      <c r="A28" s="146" t="s">
        <v>151</v>
      </c>
      <c r="B28" s="147">
        <f>IF(B24&gt;$B$6,(B24-$B$6)*$H$6,0)</f>
        <v>0</v>
      </c>
      <c r="C28" s="147">
        <v>0</v>
      </c>
      <c r="D28" s="147">
        <f>IF(D24&gt;$B$6,(D24-$B$6)*$H$6,0)</f>
        <v>0</v>
      </c>
      <c r="E28" s="147">
        <v>0</v>
      </c>
      <c r="F28" s="147">
        <f>IF(F24&gt;$B$6,(F24-$B$6)*$H$6,0)</f>
        <v>0</v>
      </c>
      <c r="G28" s="147">
        <v>0</v>
      </c>
      <c r="H28" s="147">
        <f>IF(H24&gt;$B$6,(H24-$B$6)*$H$6,0)</f>
        <v>0</v>
      </c>
      <c r="I28" s="147">
        <v>0</v>
      </c>
      <c r="J28" s="147">
        <f>IF(J24&gt;$B$6,(J24-$B$6)*$H$6,0)</f>
        <v>0</v>
      </c>
      <c r="K28" s="147">
        <v>0</v>
      </c>
      <c r="L28" s="147">
        <f>IF(L24&gt;$B$6,(L24-$B$6)*$H$6,0)</f>
        <v>0</v>
      </c>
      <c r="M28" s="147">
        <v>0</v>
      </c>
      <c r="N28" s="147">
        <f>IF(N24&gt;$B$6,(N24-$B$6)*$H$6,0)</f>
        <v>0</v>
      </c>
      <c r="O28" s="147">
        <v>0</v>
      </c>
      <c r="P28" s="147">
        <f>IF(P24&gt;$B$6,(P24-$B$6)*$H$6,0)</f>
        <v>0</v>
      </c>
      <c r="Q28" s="147">
        <v>0</v>
      </c>
      <c r="R28" s="147">
        <f>IF(R24&gt;$B$6,(R24-$B$6)*$H$6,0)</f>
        <v>0</v>
      </c>
      <c r="S28" s="147">
        <v>0</v>
      </c>
      <c r="T28" s="147">
        <f>IF(T24&gt;$B$6,(T24-$B$6)*$H$6,0)</f>
        <v>0</v>
      </c>
      <c r="U28" s="147">
        <v>0</v>
      </c>
      <c r="V28" s="147">
        <f>IF(V24&gt;$B$6,(V24-$B$6)*$H$6,0)</f>
        <v>0</v>
      </c>
      <c r="W28" s="147">
        <v>0</v>
      </c>
      <c r="X28" s="147">
        <f>IF(X24&gt;$B$6,(X24-$B$6)*$H$6,0)</f>
        <v>0</v>
      </c>
      <c r="Y28" s="147">
        <v>0</v>
      </c>
      <c r="Z28" s="147">
        <f>IF(Z24&gt;$B$6,(Z24-$B$6)*$H$6,0)</f>
        <v>0</v>
      </c>
      <c r="AA28" s="147">
        <v>0</v>
      </c>
      <c r="AB28" s="147">
        <f>IF(AB24&gt;$B$6,(AB24-$B$6)*$H$6,0)</f>
        <v>0</v>
      </c>
      <c r="AC28" s="147">
        <v>0</v>
      </c>
      <c r="AD28" s="147">
        <f>IF(AD24&gt;$B$6,(AD24-$B$6)*$H$6,0)</f>
        <v>0</v>
      </c>
      <c r="AE28" s="147">
        <v>0</v>
      </c>
      <c r="AF28" s="147">
        <f>IF(AF24&gt;$B$6,(AF24-$B$6)*$H$6,0)</f>
        <v>0</v>
      </c>
      <c r="AG28" s="147">
        <v>0</v>
      </c>
      <c r="AH28" s="147">
        <f>IF(AH24&gt;$B$6,(AH24-$B$6)*$H$6,0)</f>
        <v>0</v>
      </c>
      <c r="AI28" s="147">
        <v>0</v>
      </c>
      <c r="AJ28" s="147">
        <f>IF(AJ24&gt;$B$6,(AJ24-$B$6)*$H$6,0)</f>
        <v>0</v>
      </c>
      <c r="AK28" s="147">
        <v>0</v>
      </c>
    </row>
    <row r="29" spans="1:48" x14ac:dyDescent="0.25">
      <c r="A29" s="146" t="s">
        <v>152</v>
      </c>
      <c r="B29" s="147">
        <f>IF(B25&gt;$B$7,(B25-$B$7)*$H$7,0)</f>
        <v>0</v>
      </c>
      <c r="C29" s="147">
        <v>0</v>
      </c>
      <c r="D29" s="147">
        <f>IF(D25&gt;$B$7,(D25-$B$7)*$H$7,0)</f>
        <v>0</v>
      </c>
      <c r="E29" s="147">
        <v>0</v>
      </c>
      <c r="F29" s="147">
        <f>IF(F25&gt;$B$7,(F25-$B$7)*$H$7,0)</f>
        <v>0</v>
      </c>
      <c r="G29" s="147">
        <v>0</v>
      </c>
      <c r="H29" s="147">
        <f>IF(H25&gt;$B$7,(H25-$B$7)*$H$7,0)</f>
        <v>0</v>
      </c>
      <c r="I29" s="147">
        <v>0</v>
      </c>
      <c r="J29" s="147">
        <f>IF(J25&gt;$B$7,(J25-$B$7)*$H$7,0)</f>
        <v>0</v>
      </c>
      <c r="K29" s="147">
        <v>0</v>
      </c>
      <c r="L29" s="147">
        <f>IF(L25&gt;$B$7,(L25-$B$7)*$H$7,0)</f>
        <v>0</v>
      </c>
      <c r="M29" s="147">
        <v>0</v>
      </c>
      <c r="N29" s="147">
        <f>IF(N25&gt;$B$7,(N25-$B$7)*$H$7,0)</f>
        <v>0</v>
      </c>
      <c r="O29" s="147">
        <v>0</v>
      </c>
      <c r="P29" s="147">
        <f>IF(P25&gt;$B$7,(P25-$B$7)*$H$7,0)</f>
        <v>0</v>
      </c>
      <c r="Q29" s="147">
        <v>0</v>
      </c>
      <c r="R29" s="147">
        <f>IF(R25&gt;$B$7,(R25-$B$7)*$H$7,0)</f>
        <v>0</v>
      </c>
      <c r="S29" s="147">
        <v>0</v>
      </c>
      <c r="T29" s="147">
        <f>IF(T25&gt;$B$7,(T25-$B$7)*$H$7,0)</f>
        <v>0</v>
      </c>
      <c r="U29" s="147">
        <v>0</v>
      </c>
      <c r="V29" s="147">
        <f>IF(V25&gt;$B$7,(V25-$B$7)*$H$7,0)</f>
        <v>0</v>
      </c>
      <c r="W29" s="147">
        <v>0</v>
      </c>
      <c r="X29" s="147">
        <f>IF(X25&gt;$B$7,(X25-$B$7)*$H$7,0)</f>
        <v>0</v>
      </c>
      <c r="Y29" s="147">
        <v>0</v>
      </c>
      <c r="Z29" s="147">
        <f>IF(Z25&gt;$B$7,(Z25-$B$7)*$H$7,0)</f>
        <v>0</v>
      </c>
      <c r="AA29" s="147">
        <v>0</v>
      </c>
      <c r="AB29" s="147">
        <f>IF(AB25&gt;$B$7,(AB25-$B$7)*$H$7,0)</f>
        <v>0</v>
      </c>
      <c r="AC29" s="147">
        <v>0</v>
      </c>
      <c r="AD29" s="147">
        <f>IF(AD25&gt;$B$7,(AD25-$B$7)*$H$7,0)</f>
        <v>0</v>
      </c>
      <c r="AE29" s="147">
        <v>0</v>
      </c>
      <c r="AF29" s="147">
        <f>IF(AF25&gt;$B$7,(AF25-$B$7)*$H$7,0)</f>
        <v>0</v>
      </c>
      <c r="AG29" s="147">
        <v>0</v>
      </c>
      <c r="AH29" s="147">
        <f>IF(AH25&gt;$B$7,(AH25-$B$7)*$H$7,0)</f>
        <v>0</v>
      </c>
      <c r="AI29" s="147">
        <v>0</v>
      </c>
      <c r="AJ29" s="147">
        <f>IF(AJ25&gt;$B$7,(AJ25-$B$7)*$H$7,0)</f>
        <v>0</v>
      </c>
      <c r="AK29" s="147">
        <v>0</v>
      </c>
    </row>
    <row r="30" spans="1:48" x14ac:dyDescent="0.25">
      <c r="A30" s="148" t="s">
        <v>153</v>
      </c>
      <c r="B30" s="149">
        <f>G4+G5+G6+G7</f>
        <v>2938.5444000000011</v>
      </c>
      <c r="C30" s="149">
        <f t="shared" ref="C30:AD30" si="12">B30</f>
        <v>2938.5444000000011</v>
      </c>
      <c r="D30" s="149">
        <f t="shared" si="12"/>
        <v>2938.5444000000011</v>
      </c>
      <c r="E30" s="149">
        <f t="shared" si="12"/>
        <v>2938.5444000000011</v>
      </c>
      <c r="F30" s="149">
        <f t="shared" si="12"/>
        <v>2938.5444000000011</v>
      </c>
      <c r="G30" s="149">
        <f t="shared" si="12"/>
        <v>2938.5444000000011</v>
      </c>
      <c r="H30" s="149">
        <f t="shared" si="12"/>
        <v>2938.5444000000011</v>
      </c>
      <c r="I30" s="149">
        <f t="shared" si="12"/>
        <v>2938.5444000000011</v>
      </c>
      <c r="J30" s="149">
        <f t="shared" si="12"/>
        <v>2938.5444000000011</v>
      </c>
      <c r="K30" s="149">
        <f t="shared" si="12"/>
        <v>2938.5444000000011</v>
      </c>
      <c r="L30" s="149">
        <f t="shared" si="12"/>
        <v>2938.5444000000011</v>
      </c>
      <c r="M30" s="149">
        <f t="shared" si="12"/>
        <v>2938.5444000000011</v>
      </c>
      <c r="N30" s="149">
        <f t="shared" si="12"/>
        <v>2938.5444000000011</v>
      </c>
      <c r="O30" s="149">
        <f t="shared" si="12"/>
        <v>2938.5444000000011</v>
      </c>
      <c r="P30" s="149">
        <f t="shared" si="12"/>
        <v>2938.5444000000011</v>
      </c>
      <c r="Q30" s="149">
        <f t="shared" si="12"/>
        <v>2938.5444000000011</v>
      </c>
      <c r="R30" s="149">
        <f t="shared" si="12"/>
        <v>2938.5444000000011</v>
      </c>
      <c r="S30" s="149">
        <f t="shared" si="12"/>
        <v>2938.5444000000011</v>
      </c>
      <c r="T30" s="149">
        <f t="shared" si="12"/>
        <v>2938.5444000000011</v>
      </c>
      <c r="U30" s="149">
        <f t="shared" si="12"/>
        <v>2938.5444000000011</v>
      </c>
      <c r="V30" s="149">
        <f t="shared" si="12"/>
        <v>2938.5444000000011</v>
      </c>
      <c r="W30" s="149">
        <f t="shared" si="12"/>
        <v>2938.5444000000011</v>
      </c>
      <c r="X30" s="149">
        <f t="shared" si="12"/>
        <v>2938.5444000000011</v>
      </c>
      <c r="Y30" s="149">
        <f t="shared" si="12"/>
        <v>2938.5444000000011</v>
      </c>
      <c r="Z30" s="149">
        <f t="shared" si="12"/>
        <v>2938.5444000000011</v>
      </c>
      <c r="AA30" s="149">
        <f t="shared" si="12"/>
        <v>2938.5444000000011</v>
      </c>
      <c r="AB30" s="149">
        <f t="shared" si="12"/>
        <v>2938.5444000000011</v>
      </c>
      <c r="AC30" s="149">
        <f t="shared" si="12"/>
        <v>2938.5444000000011</v>
      </c>
      <c r="AD30" s="149">
        <f t="shared" si="12"/>
        <v>2938.5444000000011</v>
      </c>
      <c r="AE30" s="149"/>
      <c r="AF30" s="149"/>
      <c r="AG30" s="149"/>
      <c r="AH30" s="149"/>
      <c r="AI30" s="149"/>
    </row>
    <row r="31" spans="1:48" x14ac:dyDescent="0.25">
      <c r="A31" s="150" t="s">
        <v>154</v>
      </c>
      <c r="B31" s="151">
        <f t="shared" ref="B31:AD31" si="13">B26+B27+B28+B29-B30</f>
        <v>-2938.5444000000011</v>
      </c>
      <c r="C31" s="151">
        <f t="shared" si="13"/>
        <v>-2938.5444000000011</v>
      </c>
      <c r="D31" s="151">
        <f t="shared" si="13"/>
        <v>-2938.5444000000011</v>
      </c>
      <c r="E31" s="151">
        <f t="shared" si="13"/>
        <v>-2938.5444000000011</v>
      </c>
      <c r="F31" s="151">
        <f t="shared" si="13"/>
        <v>-2938.5444000000011</v>
      </c>
      <c r="G31" s="151">
        <f t="shared" si="13"/>
        <v>-2938.5444000000011</v>
      </c>
      <c r="H31" s="151">
        <f t="shared" si="13"/>
        <v>-2938.5444000000011</v>
      </c>
      <c r="I31" s="151">
        <f t="shared" si="13"/>
        <v>-2938.5444000000011</v>
      </c>
      <c r="J31" s="151">
        <f t="shared" si="13"/>
        <v>-2938.5444000000011</v>
      </c>
      <c r="K31" s="151">
        <f t="shared" si="13"/>
        <v>-2938.5444000000011</v>
      </c>
      <c r="L31" s="151">
        <f t="shared" si="13"/>
        <v>-2938.5444000000011</v>
      </c>
      <c r="M31" s="151">
        <f t="shared" si="13"/>
        <v>-2938.5444000000011</v>
      </c>
      <c r="N31" s="151">
        <f t="shared" si="13"/>
        <v>-2938.5444000000011</v>
      </c>
      <c r="O31" s="151">
        <f t="shared" si="13"/>
        <v>-2938.5444000000011</v>
      </c>
      <c r="P31" s="151">
        <f t="shared" si="13"/>
        <v>-2938.5444000000011</v>
      </c>
      <c r="Q31" s="151">
        <f t="shared" si="13"/>
        <v>-2938.5444000000011</v>
      </c>
      <c r="R31" s="151">
        <f t="shared" si="13"/>
        <v>-2938.5444000000011</v>
      </c>
      <c r="S31" s="151">
        <f t="shared" si="13"/>
        <v>-2938.5444000000011</v>
      </c>
      <c r="T31" s="151">
        <f t="shared" si="13"/>
        <v>-2938.5444000000011</v>
      </c>
      <c r="U31" s="151">
        <f t="shared" si="13"/>
        <v>-2938.5444000000011</v>
      </c>
      <c r="V31" s="151">
        <f t="shared" si="13"/>
        <v>-2938.5444000000011</v>
      </c>
      <c r="W31" s="151">
        <f t="shared" si="13"/>
        <v>-2938.5444000000011</v>
      </c>
      <c r="X31" s="151">
        <f t="shared" si="13"/>
        <v>-2938.5444000000011</v>
      </c>
      <c r="Y31" s="151">
        <f t="shared" si="13"/>
        <v>-2938.5444000000011</v>
      </c>
      <c r="Z31" s="151">
        <f t="shared" si="13"/>
        <v>-2938.5444000000011</v>
      </c>
      <c r="AA31" s="151">
        <f t="shared" si="13"/>
        <v>-2938.5444000000011</v>
      </c>
      <c r="AB31" s="151">
        <f t="shared" si="13"/>
        <v>-2938.5444000000011</v>
      </c>
      <c r="AC31" s="151">
        <f t="shared" si="13"/>
        <v>-2938.5444000000011</v>
      </c>
      <c r="AD31" s="151">
        <f t="shared" si="13"/>
        <v>-2938.5444000000011</v>
      </c>
      <c r="AE31" s="151"/>
      <c r="AF31" s="151"/>
      <c r="AG31" s="151"/>
      <c r="AH31" s="151"/>
      <c r="AI31" s="151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</row>
    <row r="32" spans="1:48" x14ac:dyDescent="0.25">
      <c r="A32" s="152" t="s">
        <v>155</v>
      </c>
      <c r="B32" s="151">
        <f>-B12-B11+B31</f>
        <v>-299364.00040000014</v>
      </c>
      <c r="C32" s="151">
        <f t="shared" ref="C32:AD32" si="14">B32+C31</f>
        <v>-302302.54480000015</v>
      </c>
      <c r="D32" s="151">
        <f t="shared" si="14"/>
        <v>-305241.08920000016</v>
      </c>
      <c r="E32" s="151">
        <f t="shared" si="14"/>
        <v>-308179.63360000018</v>
      </c>
      <c r="F32" s="151">
        <f t="shared" si="14"/>
        <v>-311118.17800000019</v>
      </c>
      <c r="G32" s="151">
        <f t="shared" si="14"/>
        <v>-314056.7224000002</v>
      </c>
      <c r="H32" s="151">
        <f t="shared" si="14"/>
        <v>-316995.26680000022</v>
      </c>
      <c r="I32" s="151">
        <f t="shared" si="14"/>
        <v>-319933.81120000023</v>
      </c>
      <c r="J32" s="151">
        <f t="shared" si="14"/>
        <v>-322872.35560000024</v>
      </c>
      <c r="K32" s="151">
        <f t="shared" si="14"/>
        <v>-325810.90000000026</v>
      </c>
      <c r="L32" s="151">
        <f t="shared" si="14"/>
        <v>-328749.44440000027</v>
      </c>
      <c r="M32" s="151">
        <f t="shared" si="14"/>
        <v>-331687.98880000028</v>
      </c>
      <c r="N32" s="151">
        <f t="shared" si="14"/>
        <v>-334626.5332000003</v>
      </c>
      <c r="O32" s="151">
        <f t="shared" si="14"/>
        <v>-337565.07760000031</v>
      </c>
      <c r="P32" s="151">
        <f t="shared" si="14"/>
        <v>-340503.62200000032</v>
      </c>
      <c r="Q32" s="151">
        <f t="shared" si="14"/>
        <v>-343442.16640000034</v>
      </c>
      <c r="R32" s="151">
        <f t="shared" si="14"/>
        <v>-346380.71080000035</v>
      </c>
      <c r="S32" s="151">
        <f t="shared" si="14"/>
        <v>-349319.25520000036</v>
      </c>
      <c r="T32" s="151">
        <f t="shared" si="14"/>
        <v>-352257.79960000038</v>
      </c>
      <c r="U32" s="151">
        <f t="shared" si="14"/>
        <v>-355196.34400000039</v>
      </c>
      <c r="V32" s="151">
        <f t="shared" si="14"/>
        <v>-358134.8884000004</v>
      </c>
      <c r="W32" s="151">
        <f t="shared" si="14"/>
        <v>-361073.43280000042</v>
      </c>
      <c r="X32" s="151">
        <f t="shared" si="14"/>
        <v>-364011.97720000043</v>
      </c>
      <c r="Y32" s="151">
        <f t="shared" si="14"/>
        <v>-366950.52160000044</v>
      </c>
      <c r="Z32" s="151">
        <f t="shared" si="14"/>
        <v>-369889.06600000046</v>
      </c>
      <c r="AA32" s="151">
        <f t="shared" si="14"/>
        <v>-372827.61040000047</v>
      </c>
      <c r="AB32" s="151">
        <f t="shared" si="14"/>
        <v>-375766.15480000048</v>
      </c>
      <c r="AC32" s="151">
        <f t="shared" si="14"/>
        <v>-378704.6992000005</v>
      </c>
      <c r="AD32" s="151">
        <f t="shared" si="14"/>
        <v>-381643.24360000051</v>
      </c>
      <c r="AE32" s="151"/>
      <c r="AF32" s="151"/>
      <c r="AG32" s="151"/>
      <c r="AH32" s="151"/>
      <c r="AI32" s="151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</row>
    <row r="33" spans="1:35" x14ac:dyDescent="0.25">
      <c r="B33" s="110">
        <f t="shared" ref="B33:AD33" si="15">B32/$B$13</f>
        <v>-1.0099132660185568</v>
      </c>
      <c r="C33" s="110">
        <f t="shared" si="15"/>
        <v>-1.0198265320371136</v>
      </c>
      <c r="D33" s="110">
        <f t="shared" si="15"/>
        <v>-1.0297397980556704</v>
      </c>
      <c r="E33" s="110">
        <f t="shared" si="15"/>
        <v>-1.0396530640742274</v>
      </c>
      <c r="F33" s="110">
        <f t="shared" si="15"/>
        <v>-1.0495663300927842</v>
      </c>
      <c r="G33" s="110">
        <f t="shared" si="15"/>
        <v>-1.059479596111341</v>
      </c>
      <c r="H33" s="110">
        <f t="shared" si="15"/>
        <v>-1.0693928621298978</v>
      </c>
      <c r="I33" s="110">
        <f t="shared" si="15"/>
        <v>-1.0793061281484546</v>
      </c>
      <c r="J33" s="110">
        <f t="shared" si="15"/>
        <v>-1.0892193941670114</v>
      </c>
      <c r="K33" s="110">
        <f t="shared" si="15"/>
        <v>-1.0991326601855682</v>
      </c>
      <c r="L33" s="110">
        <f t="shared" si="15"/>
        <v>-1.109045926204125</v>
      </c>
      <c r="M33" s="110">
        <f t="shared" si="15"/>
        <v>-1.118959192222682</v>
      </c>
      <c r="N33" s="110">
        <f t="shared" si="15"/>
        <v>-1.1288724582412388</v>
      </c>
      <c r="O33" s="110">
        <f t="shared" si="15"/>
        <v>-1.1387857242597956</v>
      </c>
      <c r="P33" s="110">
        <f t="shared" si="15"/>
        <v>-1.1486989902783524</v>
      </c>
      <c r="Q33" s="110">
        <f t="shared" si="15"/>
        <v>-1.1586122562969092</v>
      </c>
      <c r="R33" s="110">
        <f t="shared" si="15"/>
        <v>-1.168525522315466</v>
      </c>
      <c r="S33" s="110">
        <f t="shared" si="15"/>
        <v>-1.1784387883340228</v>
      </c>
      <c r="T33" s="110">
        <f t="shared" si="15"/>
        <v>-1.1883520543525796</v>
      </c>
      <c r="U33" s="110">
        <f t="shared" si="15"/>
        <v>-1.1982653203711366</v>
      </c>
      <c r="V33" s="110">
        <f t="shared" si="15"/>
        <v>-1.2081785863896934</v>
      </c>
      <c r="W33" s="110">
        <f t="shared" si="15"/>
        <v>-1.2180918524082502</v>
      </c>
      <c r="X33" s="110">
        <f t="shared" si="15"/>
        <v>-1.228005118426807</v>
      </c>
      <c r="Y33" s="110">
        <f t="shared" si="15"/>
        <v>-1.2379183844453638</v>
      </c>
      <c r="Z33" s="110">
        <f t="shared" si="15"/>
        <v>-1.2478316504639206</v>
      </c>
      <c r="AA33" s="110">
        <f t="shared" si="15"/>
        <v>-1.2577449164824774</v>
      </c>
      <c r="AB33" s="110">
        <f t="shared" si="15"/>
        <v>-1.2676581825010345</v>
      </c>
      <c r="AC33" s="110">
        <f t="shared" si="15"/>
        <v>-1.2775714485195913</v>
      </c>
      <c r="AD33" s="110">
        <f t="shared" si="15"/>
        <v>-1.2874847145381481</v>
      </c>
      <c r="AE33" s="110"/>
      <c r="AF33" s="110"/>
      <c r="AG33" s="110"/>
      <c r="AH33" s="110"/>
      <c r="AI33" s="110"/>
    </row>
    <row r="36" spans="1:35" x14ac:dyDescent="0.25">
      <c r="A36" s="328" t="s">
        <v>127</v>
      </c>
      <c r="B36" s="328">
        <f>B37+B38+B39+B40</f>
        <v>60551</v>
      </c>
      <c r="C36" s="319" t="s">
        <v>202</v>
      </c>
      <c r="D36" t="s">
        <v>203</v>
      </c>
      <c r="K36" s="329"/>
      <c r="Q36" s="319" t="s">
        <v>202</v>
      </c>
      <c r="R36" t="s">
        <v>203</v>
      </c>
    </row>
    <row r="37" spans="1:35" x14ac:dyDescent="0.25">
      <c r="A37" s="328" t="s">
        <v>134</v>
      </c>
      <c r="B37" s="328">
        <v>34292</v>
      </c>
      <c r="C37" s="167">
        <f>1881+31</f>
        <v>1912</v>
      </c>
      <c r="D37" s="135">
        <f>B37-C37</f>
        <v>32380</v>
      </c>
      <c r="F37">
        <v>31818</v>
      </c>
      <c r="G37" s="282">
        <f>F37/B37</f>
        <v>0.92785489326956727</v>
      </c>
      <c r="H37">
        <v>34840</v>
      </c>
      <c r="I37" s="282">
        <f>F37/H37</f>
        <v>0.91326061997703789</v>
      </c>
      <c r="K37" s="329"/>
      <c r="L37" s="330"/>
      <c r="Q37" s="167">
        <v>548</v>
      </c>
      <c r="R37">
        <f>B37</f>
        <v>34292</v>
      </c>
    </row>
    <row r="38" spans="1:35" x14ac:dyDescent="0.25">
      <c r="A38" s="328" t="s">
        <v>135</v>
      </c>
      <c r="B38" s="328">
        <v>13320</v>
      </c>
      <c r="C38" s="167">
        <v>880</v>
      </c>
      <c r="D38" s="135">
        <f t="shared" ref="D38:D40" si="16">B38-C38</f>
        <v>12440</v>
      </c>
      <c r="F38">
        <v>13320</v>
      </c>
      <c r="G38" s="282">
        <f t="shared" ref="G38:G40" si="17">F38/B38</f>
        <v>1</v>
      </c>
      <c r="H38">
        <v>14950</v>
      </c>
      <c r="I38" s="282">
        <f t="shared" ref="I38:I40" si="18">F38/H38</f>
        <v>0.89096989966555185</v>
      </c>
      <c r="K38" s="329"/>
      <c r="L38" s="330"/>
      <c r="Q38" s="167">
        <v>1630</v>
      </c>
      <c r="R38">
        <f t="shared" ref="R38:R40" si="19">B38</f>
        <v>13320</v>
      </c>
    </row>
    <row r="39" spans="1:35" x14ac:dyDescent="0.25">
      <c r="A39" s="328" t="s">
        <v>136</v>
      </c>
      <c r="B39" s="328">
        <v>11490</v>
      </c>
      <c r="C39" s="167">
        <f>1347-345</f>
        <v>1002</v>
      </c>
      <c r="D39" s="135">
        <f t="shared" si="16"/>
        <v>10488</v>
      </c>
      <c r="F39">
        <v>9762</v>
      </c>
      <c r="G39" s="282">
        <f t="shared" si="17"/>
        <v>0.84960835509138377</v>
      </c>
      <c r="H39">
        <v>13780</v>
      </c>
      <c r="I39" s="282">
        <f t="shared" si="18"/>
        <v>0.7084179970972424</v>
      </c>
      <c r="K39" s="329"/>
      <c r="L39" s="330"/>
      <c r="Q39" s="167">
        <v>2290</v>
      </c>
      <c r="R39">
        <f t="shared" si="19"/>
        <v>11490</v>
      </c>
    </row>
    <row r="40" spans="1:35" x14ac:dyDescent="0.25">
      <c r="A40" s="328" t="s">
        <v>137</v>
      </c>
      <c r="B40" s="328">
        <v>1449</v>
      </c>
      <c r="C40" s="167">
        <v>152</v>
      </c>
      <c r="D40" s="135">
        <f t="shared" si="16"/>
        <v>1297</v>
      </c>
      <c r="F40">
        <v>1449</v>
      </c>
      <c r="G40" s="282">
        <f t="shared" si="17"/>
        <v>1</v>
      </c>
      <c r="H40">
        <v>1449</v>
      </c>
      <c r="I40" s="282">
        <f t="shared" si="18"/>
        <v>1</v>
      </c>
      <c r="K40" s="329"/>
      <c r="L40" s="330"/>
      <c r="Q40" s="167">
        <v>0</v>
      </c>
      <c r="R40">
        <f t="shared" si="19"/>
        <v>1449</v>
      </c>
    </row>
    <row r="43" spans="1:35" x14ac:dyDescent="0.25">
      <c r="A43" s="331" t="s">
        <v>204</v>
      </c>
      <c r="B43" s="332">
        <v>44325</v>
      </c>
      <c r="C43" s="332">
        <f>B43+7</f>
        <v>44332</v>
      </c>
      <c r="D43" s="332">
        <f t="shared" ref="D43:U43" si="20">C43+7</f>
        <v>44339</v>
      </c>
      <c r="E43" s="332">
        <f t="shared" si="20"/>
        <v>44346</v>
      </c>
      <c r="F43" s="332">
        <f t="shared" si="20"/>
        <v>44353</v>
      </c>
      <c r="G43" s="332">
        <f t="shared" si="20"/>
        <v>44360</v>
      </c>
      <c r="H43" s="332">
        <f t="shared" si="20"/>
        <v>44367</v>
      </c>
      <c r="I43" s="332">
        <f t="shared" si="20"/>
        <v>44374</v>
      </c>
      <c r="J43" s="332">
        <f t="shared" si="20"/>
        <v>44381</v>
      </c>
      <c r="K43" s="332">
        <f t="shared" si="20"/>
        <v>44388</v>
      </c>
      <c r="L43" s="332">
        <f t="shared" si="20"/>
        <v>44395</v>
      </c>
      <c r="M43" s="332">
        <f t="shared" si="20"/>
        <v>44402</v>
      </c>
      <c r="N43" s="332">
        <f t="shared" si="20"/>
        <v>44409</v>
      </c>
      <c r="O43" s="332">
        <f t="shared" si="20"/>
        <v>44416</v>
      </c>
      <c r="P43" s="332">
        <f t="shared" si="20"/>
        <v>44423</v>
      </c>
      <c r="Q43" s="332">
        <f t="shared" si="20"/>
        <v>44430</v>
      </c>
      <c r="R43" s="332">
        <f t="shared" si="20"/>
        <v>44437</v>
      </c>
      <c r="S43" s="332">
        <f t="shared" si="20"/>
        <v>44444</v>
      </c>
      <c r="T43" s="332">
        <f t="shared" si="20"/>
        <v>44451</v>
      </c>
      <c r="U43" s="332">
        <f t="shared" si="20"/>
        <v>44458</v>
      </c>
    </row>
    <row r="44" spans="1:35" x14ac:dyDescent="0.25">
      <c r="A44" s="331" t="s">
        <v>205</v>
      </c>
      <c r="B44" s="333"/>
      <c r="C44" s="333">
        <v>2</v>
      </c>
      <c r="D44" s="333">
        <v>3</v>
      </c>
      <c r="E44" s="333">
        <v>4</v>
      </c>
      <c r="F44" s="333">
        <v>5</v>
      </c>
      <c r="G44" s="333">
        <v>6</v>
      </c>
      <c r="H44" s="333">
        <v>7</v>
      </c>
      <c r="I44" s="333">
        <v>8</v>
      </c>
      <c r="J44" s="333">
        <v>9</v>
      </c>
      <c r="K44" s="333">
        <v>10</v>
      </c>
      <c r="L44" s="333">
        <v>11</v>
      </c>
      <c r="M44" s="333">
        <v>12</v>
      </c>
      <c r="N44" s="333">
        <v>13</v>
      </c>
      <c r="O44" s="333">
        <v>14</v>
      </c>
      <c r="P44" s="333">
        <v>15</v>
      </c>
      <c r="Q44" s="333">
        <v>16</v>
      </c>
      <c r="R44" s="333">
        <v>1</v>
      </c>
      <c r="S44" s="333">
        <v>2</v>
      </c>
      <c r="T44" s="333">
        <v>3</v>
      </c>
      <c r="U44" s="333">
        <v>4</v>
      </c>
    </row>
    <row r="45" spans="1:35" x14ac:dyDescent="0.25">
      <c r="A45" s="331" t="s">
        <v>206</v>
      </c>
      <c r="B45" s="333"/>
      <c r="C45" s="333" t="s">
        <v>208</v>
      </c>
      <c r="D45" s="333"/>
      <c r="E45" s="333" t="s">
        <v>208</v>
      </c>
      <c r="F45" s="333" t="s">
        <v>207</v>
      </c>
      <c r="G45" s="333"/>
      <c r="H45" s="333" t="s">
        <v>209</v>
      </c>
      <c r="I45" s="333"/>
      <c r="J45" s="333" t="s">
        <v>209</v>
      </c>
      <c r="K45" s="333"/>
      <c r="L45" s="333"/>
      <c r="M45" s="333" t="s">
        <v>209</v>
      </c>
      <c r="N45" s="333"/>
      <c r="O45" s="333" t="s">
        <v>209</v>
      </c>
      <c r="P45" s="333"/>
      <c r="Q45" s="333"/>
      <c r="R45" s="333" t="s">
        <v>209</v>
      </c>
      <c r="S45" s="333"/>
      <c r="T45" s="333" t="s">
        <v>209</v>
      </c>
      <c r="U45" s="333"/>
    </row>
    <row r="46" spans="1:35" x14ac:dyDescent="0.25">
      <c r="A46" s="331" t="s">
        <v>210</v>
      </c>
      <c r="B46" s="333"/>
      <c r="C46" s="333" t="s">
        <v>232</v>
      </c>
      <c r="D46" s="333"/>
      <c r="E46" s="333" t="s">
        <v>233</v>
      </c>
      <c r="F46" s="333" t="s">
        <v>234</v>
      </c>
      <c r="G46" s="333"/>
      <c r="H46" s="333" t="s">
        <v>235</v>
      </c>
      <c r="I46" s="333"/>
      <c r="J46" s="333" t="s">
        <v>236</v>
      </c>
      <c r="K46" s="333"/>
      <c r="L46" s="333"/>
      <c r="M46" s="333" t="s">
        <v>237</v>
      </c>
      <c r="N46" s="333"/>
      <c r="O46" s="333" t="s">
        <v>238</v>
      </c>
      <c r="P46" s="333"/>
      <c r="Q46" s="333"/>
      <c r="R46" s="333" t="s">
        <v>239</v>
      </c>
      <c r="S46" s="333"/>
      <c r="T46" s="333" t="s">
        <v>240</v>
      </c>
      <c r="U46" s="333"/>
    </row>
    <row r="47" spans="1:35" x14ac:dyDescent="0.25">
      <c r="A47" s="334" t="s">
        <v>116</v>
      </c>
      <c r="B47" s="335"/>
      <c r="C47" s="335">
        <v>0</v>
      </c>
      <c r="D47" s="335"/>
      <c r="E47" s="335">
        <v>0</v>
      </c>
      <c r="F47" s="348">
        <v>0</v>
      </c>
      <c r="G47" s="348"/>
      <c r="H47" s="348">
        <f>32817-32411</f>
        <v>406</v>
      </c>
      <c r="I47" s="348"/>
      <c r="J47" s="348">
        <v>0</v>
      </c>
      <c r="K47" s="348"/>
      <c r="L47" s="348"/>
      <c r="M47" s="336">
        <v>1912</v>
      </c>
      <c r="N47" s="348"/>
      <c r="O47" s="336">
        <v>1912</v>
      </c>
      <c r="P47" s="348"/>
      <c r="Q47" s="348"/>
      <c r="R47" s="348">
        <v>0</v>
      </c>
      <c r="S47" s="348"/>
      <c r="T47" s="348">
        <v>0</v>
      </c>
      <c r="U47" s="348"/>
    </row>
    <row r="48" spans="1:35" x14ac:dyDescent="0.25">
      <c r="A48" s="334" t="s">
        <v>211</v>
      </c>
      <c r="B48" s="335"/>
      <c r="C48" s="335">
        <v>0</v>
      </c>
      <c r="D48" s="335"/>
      <c r="E48" s="335">
        <f>12537-12440</f>
        <v>97</v>
      </c>
      <c r="F48" s="348">
        <v>0</v>
      </c>
      <c r="G48" s="348"/>
      <c r="H48" s="336">
        <v>880</v>
      </c>
      <c r="I48" s="348"/>
      <c r="J48" s="348">
        <v>0</v>
      </c>
      <c r="K48" s="348"/>
      <c r="L48" s="348"/>
      <c r="M48" s="336">
        <v>880</v>
      </c>
      <c r="N48" s="348"/>
      <c r="O48" s="336">
        <v>880</v>
      </c>
      <c r="P48" s="348"/>
      <c r="Q48" s="348"/>
      <c r="R48" s="336">
        <f>13320-12440</f>
        <v>880</v>
      </c>
      <c r="S48" s="348"/>
      <c r="T48" s="348">
        <v>0</v>
      </c>
      <c r="U48" s="348"/>
    </row>
    <row r="49" spans="1:21" x14ac:dyDescent="0.25">
      <c r="A49" s="334" t="s">
        <v>212</v>
      </c>
      <c r="B49" s="335"/>
      <c r="C49" s="335">
        <v>0</v>
      </c>
      <c r="D49" s="335"/>
      <c r="E49" s="335">
        <v>0</v>
      </c>
      <c r="F49" s="336">
        <f>11490-10488</f>
        <v>1002</v>
      </c>
      <c r="G49" s="348"/>
      <c r="H49" s="348">
        <v>0</v>
      </c>
      <c r="I49" s="348"/>
      <c r="J49" s="348">
        <v>0</v>
      </c>
      <c r="K49" s="348"/>
      <c r="L49" s="348"/>
      <c r="M49" s="336">
        <v>1002</v>
      </c>
      <c r="N49" s="348"/>
      <c r="O49" s="336">
        <v>1002</v>
      </c>
      <c r="P49" s="348"/>
      <c r="Q49" s="348"/>
      <c r="R49" s="348">
        <v>0</v>
      </c>
      <c r="S49" s="348"/>
      <c r="T49" s="348">
        <v>0</v>
      </c>
      <c r="U49" s="348"/>
    </row>
    <row r="50" spans="1:21" x14ac:dyDescent="0.25">
      <c r="A50" s="334" t="s">
        <v>213</v>
      </c>
      <c r="B50" s="335"/>
      <c r="C50" s="335">
        <v>0</v>
      </c>
      <c r="D50" s="335"/>
      <c r="E50" s="335">
        <v>0</v>
      </c>
      <c r="F50" s="348">
        <v>0</v>
      </c>
      <c r="G50" s="348"/>
      <c r="H50" s="336">
        <v>152</v>
      </c>
      <c r="I50" s="348"/>
      <c r="J50" s="348">
        <f>1324-1297</f>
        <v>27</v>
      </c>
      <c r="K50" s="348"/>
      <c r="L50" s="348"/>
      <c r="M50" s="336">
        <v>152</v>
      </c>
      <c r="N50" s="348"/>
      <c r="O50" s="336">
        <v>152</v>
      </c>
      <c r="P50" s="348"/>
      <c r="Q50" s="348"/>
      <c r="R50" s="336">
        <v>152</v>
      </c>
      <c r="S50" s="348"/>
      <c r="T50" s="348">
        <v>0</v>
      </c>
      <c r="U50" s="348"/>
    </row>
    <row r="51" spans="1:21" x14ac:dyDescent="0.25">
      <c r="A51" s="337" t="s">
        <v>214</v>
      </c>
      <c r="B51" s="338">
        <f>B47*$H$4</f>
        <v>0</v>
      </c>
      <c r="C51" s="338">
        <f t="shared" ref="C51:Q51" si="21">C47*$H$4</f>
        <v>0</v>
      </c>
      <c r="D51" s="338">
        <f t="shared" si="21"/>
        <v>0</v>
      </c>
      <c r="E51" s="338">
        <f t="shared" si="21"/>
        <v>0</v>
      </c>
      <c r="F51" s="338">
        <f t="shared" si="21"/>
        <v>0</v>
      </c>
      <c r="G51" s="338">
        <f t="shared" si="21"/>
        <v>0</v>
      </c>
      <c r="H51" s="338">
        <f t="shared" si="21"/>
        <v>2842</v>
      </c>
      <c r="I51" s="338">
        <f t="shared" si="21"/>
        <v>0</v>
      </c>
      <c r="J51" s="338">
        <f t="shared" si="21"/>
        <v>0</v>
      </c>
      <c r="K51" s="338">
        <f t="shared" si="21"/>
        <v>0</v>
      </c>
      <c r="L51" s="338">
        <f t="shared" si="21"/>
        <v>0</v>
      </c>
      <c r="M51" s="338">
        <f t="shared" si="21"/>
        <v>13384</v>
      </c>
      <c r="N51" s="338">
        <f t="shared" si="21"/>
        <v>0</v>
      </c>
      <c r="O51" s="338">
        <f t="shared" si="21"/>
        <v>13384</v>
      </c>
      <c r="P51" s="338">
        <f t="shared" si="21"/>
        <v>0</v>
      </c>
      <c r="Q51" s="338">
        <f t="shared" si="21"/>
        <v>0</v>
      </c>
      <c r="R51" s="338">
        <f t="shared" ref="R51:U51" si="22">R47*$H$4</f>
        <v>0</v>
      </c>
      <c r="S51" s="338">
        <f>S47*$H$4*0.5</f>
        <v>0</v>
      </c>
      <c r="T51" s="338">
        <f t="shared" si="22"/>
        <v>0</v>
      </c>
      <c r="U51" s="338">
        <f t="shared" si="22"/>
        <v>0</v>
      </c>
    </row>
    <row r="52" spans="1:21" x14ac:dyDescent="0.25">
      <c r="A52" s="337" t="s">
        <v>215</v>
      </c>
      <c r="B52" s="338">
        <f>B48*$H$5</f>
        <v>0</v>
      </c>
      <c r="C52" s="338">
        <f t="shared" ref="C52:Q52" si="23">C48*$H$5</f>
        <v>0</v>
      </c>
      <c r="D52" s="338">
        <f t="shared" si="23"/>
        <v>0</v>
      </c>
      <c r="E52" s="338">
        <f t="shared" si="23"/>
        <v>970</v>
      </c>
      <c r="F52" s="338">
        <f t="shared" si="23"/>
        <v>0</v>
      </c>
      <c r="G52" s="338">
        <f t="shared" si="23"/>
        <v>0</v>
      </c>
      <c r="H52" s="338">
        <f t="shared" si="23"/>
        <v>8800</v>
      </c>
      <c r="I52" s="338">
        <f t="shared" si="23"/>
        <v>0</v>
      </c>
      <c r="J52" s="338">
        <f t="shared" si="23"/>
        <v>0</v>
      </c>
      <c r="K52" s="338">
        <f t="shared" si="23"/>
        <v>0</v>
      </c>
      <c r="L52" s="338">
        <f t="shared" si="23"/>
        <v>0</v>
      </c>
      <c r="M52" s="338">
        <f t="shared" si="23"/>
        <v>8800</v>
      </c>
      <c r="N52" s="338">
        <f t="shared" si="23"/>
        <v>0</v>
      </c>
      <c r="O52" s="338">
        <f t="shared" si="23"/>
        <v>8800</v>
      </c>
      <c r="P52" s="338">
        <f t="shared" si="23"/>
        <v>0</v>
      </c>
      <c r="Q52" s="338">
        <f t="shared" si="23"/>
        <v>0</v>
      </c>
      <c r="R52" s="338">
        <f t="shared" ref="R52:U52" si="24">R48*$H$5</f>
        <v>8800</v>
      </c>
      <c r="S52" s="338">
        <f>S48*$H$5*0.5</f>
        <v>0</v>
      </c>
      <c r="T52" s="338">
        <f t="shared" si="24"/>
        <v>0</v>
      </c>
      <c r="U52" s="338">
        <f t="shared" si="24"/>
        <v>0</v>
      </c>
    </row>
    <row r="53" spans="1:21" x14ac:dyDescent="0.25">
      <c r="A53" s="337" t="s">
        <v>216</v>
      </c>
      <c r="B53" s="338">
        <f>B49*$H$6</f>
        <v>0</v>
      </c>
      <c r="C53" s="338">
        <f t="shared" ref="C53:Q53" si="25">C49*$H$6</f>
        <v>0</v>
      </c>
      <c r="D53" s="338">
        <f t="shared" si="25"/>
        <v>0</v>
      </c>
      <c r="E53" s="338">
        <f t="shared" si="25"/>
        <v>0</v>
      </c>
      <c r="F53" s="338">
        <f t="shared" si="25"/>
        <v>19038</v>
      </c>
      <c r="G53" s="338">
        <f t="shared" si="25"/>
        <v>0</v>
      </c>
      <c r="H53" s="338">
        <f t="shared" si="25"/>
        <v>0</v>
      </c>
      <c r="I53" s="338">
        <f t="shared" si="25"/>
        <v>0</v>
      </c>
      <c r="J53" s="338">
        <f t="shared" si="25"/>
        <v>0</v>
      </c>
      <c r="K53" s="338">
        <f t="shared" si="25"/>
        <v>0</v>
      </c>
      <c r="L53" s="338">
        <f t="shared" si="25"/>
        <v>0</v>
      </c>
      <c r="M53" s="338">
        <f t="shared" si="25"/>
        <v>19038</v>
      </c>
      <c r="N53" s="338">
        <f t="shared" si="25"/>
        <v>0</v>
      </c>
      <c r="O53" s="338">
        <f t="shared" si="25"/>
        <v>19038</v>
      </c>
      <c r="P53" s="338">
        <f t="shared" si="25"/>
        <v>0</v>
      </c>
      <c r="Q53" s="338">
        <f t="shared" si="25"/>
        <v>0</v>
      </c>
      <c r="R53" s="338">
        <f t="shared" ref="R53:U53" si="26">R49*$H$6</f>
        <v>0</v>
      </c>
      <c r="S53" s="338">
        <f>S49*$H$6*0.5</f>
        <v>0</v>
      </c>
      <c r="T53" s="338">
        <f t="shared" si="26"/>
        <v>0</v>
      </c>
      <c r="U53" s="338">
        <f t="shared" si="26"/>
        <v>0</v>
      </c>
    </row>
    <row r="54" spans="1:21" x14ac:dyDescent="0.25">
      <c r="A54" s="337" t="s">
        <v>217</v>
      </c>
      <c r="B54" s="338">
        <f>B50*$H$7</f>
        <v>0</v>
      </c>
      <c r="C54" s="338">
        <f t="shared" ref="C54:Q54" si="27">C50*$H$7</f>
        <v>0</v>
      </c>
      <c r="D54" s="338">
        <f t="shared" si="27"/>
        <v>0</v>
      </c>
      <c r="E54" s="338">
        <f t="shared" si="27"/>
        <v>0</v>
      </c>
      <c r="F54" s="338">
        <f t="shared" si="27"/>
        <v>0</v>
      </c>
      <c r="G54" s="338">
        <f t="shared" si="27"/>
        <v>0</v>
      </c>
      <c r="H54" s="338">
        <f t="shared" si="27"/>
        <v>5320</v>
      </c>
      <c r="I54" s="338">
        <f t="shared" si="27"/>
        <v>0</v>
      </c>
      <c r="J54" s="338">
        <f t="shared" si="27"/>
        <v>945</v>
      </c>
      <c r="K54" s="338">
        <f t="shared" si="27"/>
        <v>0</v>
      </c>
      <c r="L54" s="338">
        <f t="shared" si="27"/>
        <v>0</v>
      </c>
      <c r="M54" s="338">
        <f t="shared" si="27"/>
        <v>5320</v>
      </c>
      <c r="N54" s="338">
        <f t="shared" si="27"/>
        <v>0</v>
      </c>
      <c r="O54" s="338">
        <f t="shared" si="27"/>
        <v>5320</v>
      </c>
      <c r="P54" s="338">
        <f t="shared" si="27"/>
        <v>0</v>
      </c>
      <c r="Q54" s="338">
        <f t="shared" si="27"/>
        <v>0</v>
      </c>
      <c r="R54" s="338">
        <f t="shared" ref="R54:U54" si="28">R50*$H$7</f>
        <v>5320</v>
      </c>
      <c r="S54" s="338">
        <f>S50*$H$7*0.5</f>
        <v>0</v>
      </c>
      <c r="T54" s="338">
        <f t="shared" si="28"/>
        <v>0</v>
      </c>
      <c r="U54" s="338">
        <f t="shared" si="28"/>
        <v>0</v>
      </c>
    </row>
    <row r="55" spans="1:21" ht="15.75" x14ac:dyDescent="0.25">
      <c r="A55" s="339" t="s">
        <v>218</v>
      </c>
      <c r="B55" s="340">
        <f>B54+B53+B52+B51</f>
        <v>0</v>
      </c>
      <c r="C55" s="340">
        <f t="shared" ref="C55:Q55" si="29">C54+C53+C52+C51</f>
        <v>0</v>
      </c>
      <c r="D55" s="340">
        <f t="shared" si="29"/>
        <v>0</v>
      </c>
      <c r="E55" s="340">
        <f t="shared" si="29"/>
        <v>970</v>
      </c>
      <c r="F55" s="340">
        <f t="shared" si="29"/>
        <v>19038</v>
      </c>
      <c r="G55" s="340">
        <f t="shared" si="29"/>
        <v>0</v>
      </c>
      <c r="H55" s="340">
        <f t="shared" si="29"/>
        <v>16962</v>
      </c>
      <c r="I55" s="340">
        <f t="shared" si="29"/>
        <v>0</v>
      </c>
      <c r="J55" s="340">
        <f t="shared" si="29"/>
        <v>945</v>
      </c>
      <c r="K55" s="340">
        <f t="shared" si="29"/>
        <v>0</v>
      </c>
      <c r="L55" s="340">
        <f t="shared" si="29"/>
        <v>0</v>
      </c>
      <c r="M55" s="340">
        <f t="shared" si="29"/>
        <v>46542</v>
      </c>
      <c r="N55" s="340">
        <f t="shared" si="29"/>
        <v>0</v>
      </c>
      <c r="O55" s="340">
        <f t="shared" si="29"/>
        <v>46542</v>
      </c>
      <c r="P55" s="340">
        <f t="shared" si="29"/>
        <v>0</v>
      </c>
      <c r="Q55" s="340">
        <f t="shared" si="29"/>
        <v>0</v>
      </c>
      <c r="R55" s="340">
        <f t="shared" ref="R55:U55" si="30">R54+R53+R52+R51</f>
        <v>14120</v>
      </c>
      <c r="S55" s="340">
        <f t="shared" si="30"/>
        <v>0</v>
      </c>
      <c r="T55" s="340">
        <f t="shared" si="30"/>
        <v>0</v>
      </c>
      <c r="U55" s="340">
        <f t="shared" si="30"/>
        <v>0</v>
      </c>
    </row>
    <row r="56" spans="1:21" ht="15.75" x14ac:dyDescent="0.25">
      <c r="A56" s="339" t="s">
        <v>219</v>
      </c>
      <c r="B56" s="341">
        <f>B55</f>
        <v>0</v>
      </c>
      <c r="C56" s="340">
        <f>C55+B56</f>
        <v>0</v>
      </c>
      <c r="D56" s="340">
        <f t="shared" ref="D56:Q56" si="31">D55+C56</f>
        <v>0</v>
      </c>
      <c r="E56" s="340">
        <f t="shared" si="31"/>
        <v>970</v>
      </c>
      <c r="F56" s="340">
        <f t="shared" si="31"/>
        <v>20008</v>
      </c>
      <c r="G56" s="340">
        <f t="shared" si="31"/>
        <v>20008</v>
      </c>
      <c r="H56" s="340">
        <f t="shared" si="31"/>
        <v>36970</v>
      </c>
      <c r="I56" s="340">
        <f t="shared" si="31"/>
        <v>36970</v>
      </c>
      <c r="J56" s="340">
        <f t="shared" si="31"/>
        <v>37915</v>
      </c>
      <c r="K56" s="340">
        <f t="shared" si="31"/>
        <v>37915</v>
      </c>
      <c r="L56" s="340">
        <f t="shared" si="31"/>
        <v>37915</v>
      </c>
      <c r="M56" s="340">
        <f t="shared" si="31"/>
        <v>84457</v>
      </c>
      <c r="N56" s="340">
        <f t="shared" si="31"/>
        <v>84457</v>
      </c>
      <c r="O56" s="340">
        <f t="shared" si="31"/>
        <v>130999</v>
      </c>
      <c r="P56" s="340">
        <f t="shared" si="31"/>
        <v>130999</v>
      </c>
      <c r="Q56" s="340">
        <f t="shared" si="31"/>
        <v>130999</v>
      </c>
      <c r="R56" s="340">
        <f t="shared" ref="R56" si="32">R55+Q56</f>
        <v>145119</v>
      </c>
      <c r="S56" s="340">
        <f t="shared" ref="S56" si="33">S55+R56</f>
        <v>145119</v>
      </c>
      <c r="T56" s="340">
        <f t="shared" ref="T56" si="34">T55+S56</f>
        <v>145119</v>
      </c>
      <c r="U56" s="340">
        <f t="shared" ref="U56" si="35">U55+T56</f>
        <v>145119</v>
      </c>
    </row>
    <row r="57" spans="1:21" x14ac:dyDescent="0.25">
      <c r="A57" s="342" t="s">
        <v>220</v>
      </c>
      <c r="B57" s="343">
        <f>C37*D4</f>
        <v>86040</v>
      </c>
      <c r="C57" s="344">
        <v>0</v>
      </c>
      <c r="D57" s="344">
        <f t="shared" ref="D57:Q62" si="36">C57</f>
        <v>0</v>
      </c>
      <c r="E57" s="344">
        <f t="shared" si="36"/>
        <v>0</v>
      </c>
      <c r="F57" s="344">
        <f t="shared" si="36"/>
        <v>0</v>
      </c>
      <c r="G57" s="344">
        <f t="shared" si="36"/>
        <v>0</v>
      </c>
      <c r="H57" s="344">
        <f t="shared" si="36"/>
        <v>0</v>
      </c>
      <c r="I57" s="344">
        <f t="shared" si="36"/>
        <v>0</v>
      </c>
      <c r="J57" s="344">
        <f t="shared" si="36"/>
        <v>0</v>
      </c>
      <c r="K57" s="344">
        <f t="shared" si="36"/>
        <v>0</v>
      </c>
      <c r="L57" s="344">
        <f t="shared" si="36"/>
        <v>0</v>
      </c>
      <c r="M57" s="344">
        <f t="shared" si="36"/>
        <v>0</v>
      </c>
      <c r="N57" s="344">
        <f t="shared" si="36"/>
        <v>0</v>
      </c>
      <c r="O57" s="344">
        <f t="shared" si="36"/>
        <v>0</v>
      </c>
      <c r="P57" s="344">
        <f t="shared" si="36"/>
        <v>0</v>
      </c>
      <c r="Q57" s="344">
        <f>Q37*D4</f>
        <v>24660</v>
      </c>
      <c r="R57" s="344">
        <v>0</v>
      </c>
      <c r="S57" s="344">
        <f>R57</f>
        <v>0</v>
      </c>
      <c r="T57" s="344">
        <f t="shared" ref="T57:U57" si="37">S57</f>
        <v>0</v>
      </c>
      <c r="U57" s="344">
        <f t="shared" si="37"/>
        <v>0</v>
      </c>
    </row>
    <row r="58" spans="1:21" x14ac:dyDescent="0.25">
      <c r="A58" s="342" t="s">
        <v>221</v>
      </c>
      <c r="B58" s="343">
        <f>C38*D5</f>
        <v>66000</v>
      </c>
      <c r="C58" s="344">
        <v>0</v>
      </c>
      <c r="D58" s="344">
        <f t="shared" si="36"/>
        <v>0</v>
      </c>
      <c r="E58" s="344">
        <f t="shared" si="36"/>
        <v>0</v>
      </c>
      <c r="F58" s="344">
        <f t="shared" si="36"/>
        <v>0</v>
      </c>
      <c r="G58" s="344">
        <f t="shared" si="36"/>
        <v>0</v>
      </c>
      <c r="H58" s="344">
        <f t="shared" si="36"/>
        <v>0</v>
      </c>
      <c r="I58" s="344">
        <f t="shared" si="36"/>
        <v>0</v>
      </c>
      <c r="J58" s="344">
        <f t="shared" si="36"/>
        <v>0</v>
      </c>
      <c r="K58" s="344">
        <f t="shared" si="36"/>
        <v>0</v>
      </c>
      <c r="L58" s="344">
        <f t="shared" si="36"/>
        <v>0</v>
      </c>
      <c r="M58" s="344">
        <f t="shared" si="36"/>
        <v>0</v>
      </c>
      <c r="N58" s="344">
        <f t="shared" si="36"/>
        <v>0</v>
      </c>
      <c r="O58" s="344">
        <f t="shared" si="36"/>
        <v>0</v>
      </c>
      <c r="P58" s="344">
        <f t="shared" si="36"/>
        <v>0</v>
      </c>
      <c r="Q58" s="344">
        <f t="shared" ref="Q58:Q60" si="38">Q38*D5</f>
        <v>122250</v>
      </c>
      <c r="R58" s="344">
        <v>0</v>
      </c>
      <c r="S58" s="344">
        <f t="shared" ref="S58:U61" si="39">R58</f>
        <v>0</v>
      </c>
      <c r="T58" s="344">
        <f t="shared" si="39"/>
        <v>0</v>
      </c>
      <c r="U58" s="344">
        <f t="shared" si="39"/>
        <v>0</v>
      </c>
    </row>
    <row r="59" spans="1:21" x14ac:dyDescent="0.25">
      <c r="A59" s="342" t="s">
        <v>222</v>
      </c>
      <c r="B59" s="343">
        <f>C39*D6</f>
        <v>90180</v>
      </c>
      <c r="C59" s="344">
        <v>0</v>
      </c>
      <c r="D59" s="344">
        <f t="shared" si="36"/>
        <v>0</v>
      </c>
      <c r="E59" s="344">
        <f t="shared" si="36"/>
        <v>0</v>
      </c>
      <c r="F59" s="344">
        <f t="shared" si="36"/>
        <v>0</v>
      </c>
      <c r="G59" s="344">
        <f t="shared" si="36"/>
        <v>0</v>
      </c>
      <c r="H59" s="344">
        <f t="shared" si="36"/>
        <v>0</v>
      </c>
      <c r="I59" s="344">
        <f t="shared" si="36"/>
        <v>0</v>
      </c>
      <c r="J59" s="344">
        <f t="shared" si="36"/>
        <v>0</v>
      </c>
      <c r="K59" s="344">
        <f t="shared" si="36"/>
        <v>0</v>
      </c>
      <c r="L59" s="344">
        <f t="shared" si="36"/>
        <v>0</v>
      </c>
      <c r="M59" s="344">
        <f t="shared" si="36"/>
        <v>0</v>
      </c>
      <c r="N59" s="344">
        <f t="shared" si="36"/>
        <v>0</v>
      </c>
      <c r="O59" s="344">
        <f t="shared" si="36"/>
        <v>0</v>
      </c>
      <c r="P59" s="344">
        <f t="shared" si="36"/>
        <v>0</v>
      </c>
      <c r="Q59" s="344">
        <f t="shared" si="38"/>
        <v>206100</v>
      </c>
      <c r="R59" s="344">
        <v>0</v>
      </c>
      <c r="S59" s="344">
        <f t="shared" si="39"/>
        <v>0</v>
      </c>
      <c r="T59" s="344">
        <f t="shared" si="39"/>
        <v>0</v>
      </c>
      <c r="U59" s="344">
        <f t="shared" si="39"/>
        <v>0</v>
      </c>
    </row>
    <row r="60" spans="1:21" x14ac:dyDescent="0.25">
      <c r="A60" s="342" t="s">
        <v>223</v>
      </c>
      <c r="B60" s="343">
        <f>C40*D7</f>
        <v>45600</v>
      </c>
      <c r="C60" s="344">
        <v>0</v>
      </c>
      <c r="D60" s="344">
        <f t="shared" si="36"/>
        <v>0</v>
      </c>
      <c r="E60" s="344">
        <f t="shared" si="36"/>
        <v>0</v>
      </c>
      <c r="F60" s="344">
        <f t="shared" si="36"/>
        <v>0</v>
      </c>
      <c r="G60" s="344">
        <f t="shared" si="36"/>
        <v>0</v>
      </c>
      <c r="H60" s="344">
        <f t="shared" si="36"/>
        <v>0</v>
      </c>
      <c r="I60" s="344">
        <f t="shared" si="36"/>
        <v>0</v>
      </c>
      <c r="J60" s="344">
        <f t="shared" si="36"/>
        <v>0</v>
      </c>
      <c r="K60" s="344">
        <f t="shared" si="36"/>
        <v>0</v>
      </c>
      <c r="L60" s="344">
        <f t="shared" si="36"/>
        <v>0</v>
      </c>
      <c r="M60" s="344">
        <f t="shared" si="36"/>
        <v>0</v>
      </c>
      <c r="N60" s="344">
        <f t="shared" si="36"/>
        <v>0</v>
      </c>
      <c r="O60" s="344">
        <f t="shared" si="36"/>
        <v>0</v>
      </c>
      <c r="P60" s="344">
        <f t="shared" si="36"/>
        <v>0</v>
      </c>
      <c r="Q60" s="344">
        <f t="shared" si="38"/>
        <v>0</v>
      </c>
      <c r="R60" s="344">
        <v>0</v>
      </c>
      <c r="S60" s="344">
        <f t="shared" si="39"/>
        <v>0</v>
      </c>
      <c r="T60" s="344">
        <f t="shared" si="39"/>
        <v>0</v>
      </c>
      <c r="U60" s="344">
        <f t="shared" si="39"/>
        <v>0</v>
      </c>
    </row>
    <row r="61" spans="1:21" x14ac:dyDescent="0.25">
      <c r="A61" s="342" t="s">
        <v>231</v>
      </c>
      <c r="B61" s="343">
        <v>10000</v>
      </c>
      <c r="C61" s="344">
        <v>0</v>
      </c>
      <c r="D61" s="344">
        <v>0</v>
      </c>
      <c r="E61" s="344">
        <f t="shared" si="36"/>
        <v>0</v>
      </c>
      <c r="F61" s="344">
        <f t="shared" si="36"/>
        <v>0</v>
      </c>
      <c r="G61" s="344">
        <f t="shared" si="36"/>
        <v>0</v>
      </c>
      <c r="H61" s="344">
        <f t="shared" si="36"/>
        <v>0</v>
      </c>
      <c r="I61" s="344">
        <f t="shared" si="36"/>
        <v>0</v>
      </c>
      <c r="J61" s="344">
        <f t="shared" si="36"/>
        <v>0</v>
      </c>
      <c r="K61" s="344">
        <f t="shared" si="36"/>
        <v>0</v>
      </c>
      <c r="L61" s="344">
        <f t="shared" si="36"/>
        <v>0</v>
      </c>
      <c r="M61" s="344">
        <f t="shared" si="36"/>
        <v>0</v>
      </c>
      <c r="N61" s="344">
        <f t="shared" si="36"/>
        <v>0</v>
      </c>
      <c r="O61" s="344">
        <f t="shared" si="36"/>
        <v>0</v>
      </c>
      <c r="P61" s="344">
        <f t="shared" si="36"/>
        <v>0</v>
      </c>
      <c r="Q61" s="344">
        <v>10000</v>
      </c>
      <c r="R61" s="344">
        <v>0</v>
      </c>
      <c r="S61" s="344">
        <f t="shared" si="39"/>
        <v>0</v>
      </c>
      <c r="T61" s="344">
        <f t="shared" si="39"/>
        <v>0</v>
      </c>
      <c r="U61" s="344">
        <f t="shared" si="39"/>
        <v>0</v>
      </c>
    </row>
    <row r="62" spans="1:21" x14ac:dyDescent="0.25">
      <c r="A62" s="342" t="s">
        <v>224</v>
      </c>
      <c r="B62" s="343">
        <f>C37*F4</f>
        <v>956</v>
      </c>
      <c r="C62" s="344">
        <f>B62</f>
        <v>956</v>
      </c>
      <c r="D62" s="344">
        <f t="shared" si="36"/>
        <v>956</v>
      </c>
      <c r="E62" s="344">
        <f t="shared" si="36"/>
        <v>956</v>
      </c>
      <c r="F62" s="344">
        <f t="shared" si="36"/>
        <v>956</v>
      </c>
      <c r="G62" s="344">
        <f t="shared" si="36"/>
        <v>956</v>
      </c>
      <c r="H62" s="344">
        <f t="shared" si="36"/>
        <v>956</v>
      </c>
      <c r="I62" s="344">
        <f t="shared" si="36"/>
        <v>956</v>
      </c>
      <c r="J62" s="344">
        <f t="shared" si="36"/>
        <v>956</v>
      </c>
      <c r="K62" s="344">
        <f t="shared" si="36"/>
        <v>956</v>
      </c>
      <c r="L62" s="344">
        <f t="shared" si="36"/>
        <v>956</v>
      </c>
      <c r="M62" s="344">
        <f t="shared" si="36"/>
        <v>956</v>
      </c>
      <c r="N62" s="344">
        <f t="shared" si="36"/>
        <v>956</v>
      </c>
      <c r="O62" s="344">
        <f t="shared" si="36"/>
        <v>956</v>
      </c>
      <c r="P62" s="344">
        <f t="shared" si="36"/>
        <v>956</v>
      </c>
      <c r="Q62" s="344">
        <f t="shared" si="36"/>
        <v>956</v>
      </c>
      <c r="R62" s="344">
        <f t="shared" ref="R62:R65" si="40">Q62</f>
        <v>956</v>
      </c>
      <c r="S62" s="344">
        <f t="shared" ref="S62:S65" si="41">R62</f>
        <v>956</v>
      </c>
      <c r="T62" s="344">
        <f t="shared" ref="T62:T65" si="42">S62</f>
        <v>956</v>
      </c>
      <c r="U62" s="344">
        <f t="shared" ref="U62:U65" si="43">T62</f>
        <v>956</v>
      </c>
    </row>
    <row r="63" spans="1:21" x14ac:dyDescent="0.25">
      <c r="A63" s="342" t="s">
        <v>225</v>
      </c>
      <c r="B63" s="343">
        <f>C38*F5</f>
        <v>616</v>
      </c>
      <c r="C63" s="344">
        <f t="shared" ref="C63:Q65" si="44">B63</f>
        <v>616</v>
      </c>
      <c r="D63" s="344">
        <f t="shared" si="44"/>
        <v>616</v>
      </c>
      <c r="E63" s="344">
        <f t="shared" si="44"/>
        <v>616</v>
      </c>
      <c r="F63" s="344">
        <f t="shared" si="44"/>
        <v>616</v>
      </c>
      <c r="G63" s="344">
        <f t="shared" si="44"/>
        <v>616</v>
      </c>
      <c r="H63" s="344">
        <f t="shared" si="44"/>
        <v>616</v>
      </c>
      <c r="I63" s="344">
        <f t="shared" si="44"/>
        <v>616</v>
      </c>
      <c r="J63" s="344">
        <f t="shared" si="44"/>
        <v>616</v>
      </c>
      <c r="K63" s="344">
        <f t="shared" si="44"/>
        <v>616</v>
      </c>
      <c r="L63" s="344">
        <f t="shared" si="44"/>
        <v>616</v>
      </c>
      <c r="M63" s="344">
        <f t="shared" si="44"/>
        <v>616</v>
      </c>
      <c r="N63" s="344">
        <f t="shared" si="44"/>
        <v>616</v>
      </c>
      <c r="O63" s="344">
        <f t="shared" si="44"/>
        <v>616</v>
      </c>
      <c r="P63" s="344">
        <f t="shared" si="44"/>
        <v>616</v>
      </c>
      <c r="Q63" s="344">
        <f t="shared" si="44"/>
        <v>616</v>
      </c>
      <c r="R63" s="344">
        <f t="shared" si="40"/>
        <v>616</v>
      </c>
      <c r="S63" s="344">
        <f t="shared" si="41"/>
        <v>616</v>
      </c>
      <c r="T63" s="344">
        <f t="shared" si="42"/>
        <v>616</v>
      </c>
      <c r="U63" s="344">
        <f t="shared" si="43"/>
        <v>616</v>
      </c>
    </row>
    <row r="64" spans="1:21" x14ac:dyDescent="0.25">
      <c r="A64" s="342" t="s">
        <v>226</v>
      </c>
      <c r="B64" s="343">
        <f>C39*F6</f>
        <v>1002</v>
      </c>
      <c r="C64" s="344">
        <f t="shared" si="44"/>
        <v>1002</v>
      </c>
      <c r="D64" s="344">
        <f t="shared" si="44"/>
        <v>1002</v>
      </c>
      <c r="E64" s="344">
        <f t="shared" si="44"/>
        <v>1002</v>
      </c>
      <c r="F64" s="344">
        <f t="shared" si="44"/>
        <v>1002</v>
      </c>
      <c r="G64" s="344">
        <f t="shared" si="44"/>
        <v>1002</v>
      </c>
      <c r="H64" s="344">
        <f t="shared" si="44"/>
        <v>1002</v>
      </c>
      <c r="I64" s="344">
        <f t="shared" si="44"/>
        <v>1002</v>
      </c>
      <c r="J64" s="344">
        <f t="shared" si="44"/>
        <v>1002</v>
      </c>
      <c r="K64" s="344">
        <f t="shared" si="44"/>
        <v>1002</v>
      </c>
      <c r="L64" s="344">
        <f t="shared" si="44"/>
        <v>1002</v>
      </c>
      <c r="M64" s="344">
        <f t="shared" si="44"/>
        <v>1002</v>
      </c>
      <c r="N64" s="344">
        <f t="shared" si="44"/>
        <v>1002</v>
      </c>
      <c r="O64" s="344">
        <f t="shared" si="44"/>
        <v>1002</v>
      </c>
      <c r="P64" s="344">
        <f t="shared" si="44"/>
        <v>1002</v>
      </c>
      <c r="Q64" s="344">
        <f t="shared" si="44"/>
        <v>1002</v>
      </c>
      <c r="R64" s="344">
        <f t="shared" si="40"/>
        <v>1002</v>
      </c>
      <c r="S64" s="344">
        <f t="shared" si="41"/>
        <v>1002</v>
      </c>
      <c r="T64" s="344">
        <f t="shared" si="42"/>
        <v>1002</v>
      </c>
      <c r="U64" s="344">
        <f t="shared" si="43"/>
        <v>1002</v>
      </c>
    </row>
    <row r="65" spans="1:21" x14ac:dyDescent="0.25">
      <c r="A65" s="342" t="s">
        <v>227</v>
      </c>
      <c r="B65" s="343">
        <f>C40*F7</f>
        <v>380</v>
      </c>
      <c r="C65" s="344">
        <f t="shared" si="44"/>
        <v>380</v>
      </c>
      <c r="D65" s="344">
        <f t="shared" si="44"/>
        <v>380</v>
      </c>
      <c r="E65" s="344">
        <f t="shared" si="44"/>
        <v>380</v>
      </c>
      <c r="F65" s="344">
        <f t="shared" si="44"/>
        <v>380</v>
      </c>
      <c r="G65" s="344">
        <f t="shared" si="44"/>
        <v>380</v>
      </c>
      <c r="H65" s="344">
        <f t="shared" si="44"/>
        <v>380</v>
      </c>
      <c r="I65" s="344">
        <f t="shared" si="44"/>
        <v>380</v>
      </c>
      <c r="J65" s="344">
        <f t="shared" si="44"/>
        <v>380</v>
      </c>
      <c r="K65" s="344">
        <f t="shared" si="44"/>
        <v>380</v>
      </c>
      <c r="L65" s="344">
        <f t="shared" si="44"/>
        <v>380</v>
      </c>
      <c r="M65" s="344">
        <f t="shared" si="44"/>
        <v>380</v>
      </c>
      <c r="N65" s="344">
        <f t="shared" si="44"/>
        <v>380</v>
      </c>
      <c r="O65" s="344">
        <f t="shared" si="44"/>
        <v>380</v>
      </c>
      <c r="P65" s="344">
        <f t="shared" si="44"/>
        <v>380</v>
      </c>
      <c r="Q65" s="344">
        <f t="shared" si="44"/>
        <v>380</v>
      </c>
      <c r="R65" s="344">
        <f t="shared" si="40"/>
        <v>380</v>
      </c>
      <c r="S65" s="344">
        <f t="shared" si="41"/>
        <v>380</v>
      </c>
      <c r="T65" s="344">
        <f t="shared" si="42"/>
        <v>380</v>
      </c>
      <c r="U65" s="344">
        <f t="shared" si="43"/>
        <v>380</v>
      </c>
    </row>
    <row r="66" spans="1:21" ht="15.75" x14ac:dyDescent="0.25">
      <c r="A66" s="345" t="s">
        <v>228</v>
      </c>
      <c r="B66" s="346">
        <f>SUM(B57:B65)</f>
        <v>300774</v>
      </c>
      <c r="C66" s="346">
        <f t="shared" ref="C66:Q66" si="45">SUM(C57:C65)</f>
        <v>2954</v>
      </c>
      <c r="D66" s="346">
        <f t="shared" si="45"/>
        <v>2954</v>
      </c>
      <c r="E66" s="346">
        <f t="shared" si="45"/>
        <v>2954</v>
      </c>
      <c r="F66" s="346">
        <f t="shared" si="45"/>
        <v>2954</v>
      </c>
      <c r="G66" s="346">
        <f t="shared" si="45"/>
        <v>2954</v>
      </c>
      <c r="H66" s="346">
        <f t="shared" si="45"/>
        <v>2954</v>
      </c>
      <c r="I66" s="346">
        <f t="shared" si="45"/>
        <v>2954</v>
      </c>
      <c r="J66" s="346">
        <f t="shared" si="45"/>
        <v>2954</v>
      </c>
      <c r="K66" s="346">
        <f t="shared" si="45"/>
        <v>2954</v>
      </c>
      <c r="L66" s="346">
        <f t="shared" si="45"/>
        <v>2954</v>
      </c>
      <c r="M66" s="346">
        <f t="shared" si="45"/>
        <v>2954</v>
      </c>
      <c r="N66" s="346">
        <f t="shared" si="45"/>
        <v>2954</v>
      </c>
      <c r="O66" s="346">
        <f t="shared" si="45"/>
        <v>2954</v>
      </c>
      <c r="P66" s="346">
        <f t="shared" si="45"/>
        <v>2954</v>
      </c>
      <c r="Q66" s="346">
        <f t="shared" si="45"/>
        <v>365964</v>
      </c>
      <c r="R66" s="346">
        <f t="shared" ref="R66:U66" si="46">SUM(R57:R65)</f>
        <v>2954</v>
      </c>
      <c r="S66" s="346">
        <f t="shared" si="46"/>
        <v>2954</v>
      </c>
      <c r="T66" s="346">
        <f t="shared" si="46"/>
        <v>2954</v>
      </c>
      <c r="U66" s="346">
        <f t="shared" si="46"/>
        <v>2954</v>
      </c>
    </row>
    <row r="67" spans="1:21" ht="15.75" x14ac:dyDescent="0.25">
      <c r="A67" s="345" t="s">
        <v>229</v>
      </c>
      <c r="B67" s="347">
        <f>B66</f>
        <v>300774</v>
      </c>
      <c r="C67" s="347">
        <f>B67+C66</f>
        <v>303728</v>
      </c>
      <c r="D67" s="347">
        <f t="shared" ref="D67:Q67" si="47">C67+D66</f>
        <v>306682</v>
      </c>
      <c r="E67" s="347">
        <f t="shared" si="47"/>
        <v>309636</v>
      </c>
      <c r="F67" s="347">
        <f t="shared" si="47"/>
        <v>312590</v>
      </c>
      <c r="G67" s="347">
        <f t="shared" si="47"/>
        <v>315544</v>
      </c>
      <c r="H67" s="347">
        <f t="shared" si="47"/>
        <v>318498</v>
      </c>
      <c r="I67" s="347">
        <f t="shared" si="47"/>
        <v>321452</v>
      </c>
      <c r="J67" s="347">
        <f t="shared" si="47"/>
        <v>324406</v>
      </c>
      <c r="K67" s="347">
        <f t="shared" si="47"/>
        <v>327360</v>
      </c>
      <c r="L67" s="347">
        <f t="shared" si="47"/>
        <v>330314</v>
      </c>
      <c r="M67" s="347">
        <f t="shared" si="47"/>
        <v>333268</v>
      </c>
      <c r="N67" s="347">
        <f t="shared" si="47"/>
        <v>336222</v>
      </c>
      <c r="O67" s="347">
        <f t="shared" si="47"/>
        <v>339176</v>
      </c>
      <c r="P67" s="347">
        <f t="shared" si="47"/>
        <v>342130</v>
      </c>
      <c r="Q67" s="347">
        <f t="shared" si="47"/>
        <v>708094</v>
      </c>
      <c r="R67" s="347">
        <f t="shared" ref="R67" si="48">Q67+R66</f>
        <v>711048</v>
      </c>
      <c r="S67" s="347">
        <f t="shared" ref="S67" si="49">R67+S66</f>
        <v>714002</v>
      </c>
      <c r="T67" s="347">
        <f t="shared" ref="T67" si="50">S67+T66</f>
        <v>716956</v>
      </c>
      <c r="U67" s="347">
        <f t="shared" ref="U67" si="51">T67+U66</f>
        <v>719910</v>
      </c>
    </row>
    <row r="68" spans="1:21" x14ac:dyDescent="0.25">
      <c r="A68" s="342" t="s">
        <v>230</v>
      </c>
      <c r="B68" s="344">
        <f t="shared" ref="B68:Q68" si="52">B56-B67</f>
        <v>-300774</v>
      </c>
      <c r="C68" s="344">
        <f t="shared" si="52"/>
        <v>-303728</v>
      </c>
      <c r="D68" s="344">
        <f t="shared" si="52"/>
        <v>-306682</v>
      </c>
      <c r="E68" s="344">
        <f t="shared" si="52"/>
        <v>-308666</v>
      </c>
      <c r="F68" s="344">
        <f t="shared" si="52"/>
        <v>-292582</v>
      </c>
      <c r="G68" s="344">
        <f t="shared" si="52"/>
        <v>-295536</v>
      </c>
      <c r="H68" s="344">
        <f t="shared" si="52"/>
        <v>-281528</v>
      </c>
      <c r="I68" s="344">
        <f t="shared" si="52"/>
        <v>-284482</v>
      </c>
      <c r="J68" s="344">
        <f t="shared" si="52"/>
        <v>-286491</v>
      </c>
      <c r="K68" s="344">
        <f t="shared" si="52"/>
        <v>-289445</v>
      </c>
      <c r="L68" s="344">
        <f t="shared" si="52"/>
        <v>-292399</v>
      </c>
      <c r="M68" s="344">
        <f t="shared" si="52"/>
        <v>-248811</v>
      </c>
      <c r="N68" s="344">
        <f t="shared" si="52"/>
        <v>-251765</v>
      </c>
      <c r="O68" s="344">
        <f t="shared" si="52"/>
        <v>-208177</v>
      </c>
      <c r="P68" s="344">
        <f t="shared" si="52"/>
        <v>-211131</v>
      </c>
      <c r="Q68" s="344">
        <f t="shared" si="52"/>
        <v>-577095</v>
      </c>
      <c r="R68" s="344">
        <f t="shared" ref="R68" si="53">R56-R67</f>
        <v>-565929</v>
      </c>
      <c r="S68" s="344">
        <f t="shared" ref="S68" si="54">S56-S67</f>
        <v>-568883</v>
      </c>
      <c r="T68" s="344">
        <f t="shared" ref="T68" si="55">T56-T67</f>
        <v>-571837</v>
      </c>
      <c r="U68" s="344">
        <f t="shared" ref="U68" si="56">U56-U67</f>
        <v>-574791</v>
      </c>
    </row>
  </sheetData>
  <mergeCells count="3">
    <mergeCell ref="D2:E2"/>
    <mergeCell ref="F2:G2"/>
    <mergeCell ref="H2:I2"/>
  </mergeCells>
  <conditionalFormatting sqref="B32:AD32">
    <cfRule type="cellIs" dxfId="3" priority="3" operator="lessThan">
      <formula>0</formula>
    </cfRule>
  </conditionalFormatting>
  <conditionalFormatting sqref="B32:AD32">
    <cfRule type="cellIs" dxfId="2" priority="4" operator="greaterThan">
      <formula>0</formula>
    </cfRule>
  </conditionalFormatting>
  <conditionalFormatting sqref="B68:U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D5B5-5733-4C09-9B6A-B07F51076F2A}">
  <sheetPr>
    <tabColor rgb="FFFBE3D5"/>
  </sheetPr>
  <dimension ref="A1:G6"/>
  <sheetViews>
    <sheetView workbookViewId="0">
      <selection activeCell="F5" sqref="F5"/>
    </sheetView>
  </sheetViews>
  <sheetFormatPr baseColWidth="10" defaultRowHeight="15" x14ac:dyDescent="0.25"/>
  <cols>
    <col min="1" max="1" width="13.42578125" bestFit="1" customWidth="1"/>
    <col min="2" max="2" width="90.5703125" customWidth="1"/>
    <col min="3" max="3" width="13" style="349" bestFit="1" customWidth="1"/>
    <col min="4" max="4" width="11.42578125" style="349"/>
  </cols>
  <sheetData>
    <row r="1" spans="1:7" s="9" customFormat="1" x14ac:dyDescent="0.25">
      <c r="A1" s="9" t="s">
        <v>246</v>
      </c>
      <c r="C1" s="349"/>
      <c r="D1" s="349"/>
    </row>
    <row r="2" spans="1:7" x14ac:dyDescent="0.25">
      <c r="A2" t="s">
        <v>247</v>
      </c>
      <c r="B2" t="s">
        <v>248</v>
      </c>
      <c r="C2" s="349">
        <f>14*58500</f>
        <v>819000</v>
      </c>
    </row>
    <row r="3" spans="1:7" x14ac:dyDescent="0.25">
      <c r="A3" t="s">
        <v>249</v>
      </c>
      <c r="B3" t="s">
        <v>250</v>
      </c>
      <c r="C3" s="349">
        <v>1060000</v>
      </c>
    </row>
    <row r="4" spans="1:7" ht="30" x14ac:dyDescent="0.25">
      <c r="A4" t="s">
        <v>181</v>
      </c>
      <c r="B4" s="111" t="s">
        <v>251</v>
      </c>
      <c r="C4" s="349">
        <f>47500*10</f>
        <v>475000</v>
      </c>
      <c r="D4" s="349">
        <f>5*43500</f>
        <v>217500</v>
      </c>
    </row>
    <row r="5" spans="1:7" ht="30" x14ac:dyDescent="0.25">
      <c r="A5" t="s">
        <v>252</v>
      </c>
      <c r="B5" s="111" t="s">
        <v>253</v>
      </c>
      <c r="C5" s="349">
        <f>49*9500</f>
        <v>465500</v>
      </c>
      <c r="D5" s="349">
        <v>370000</v>
      </c>
      <c r="F5" s="350" t="s">
        <v>256</v>
      </c>
      <c r="G5" s="350"/>
    </row>
    <row r="6" spans="1:7" ht="30" x14ac:dyDescent="0.25">
      <c r="A6" t="s">
        <v>254</v>
      </c>
      <c r="B6" s="111" t="s">
        <v>255</v>
      </c>
      <c r="C6" s="349">
        <f>5*76500</f>
        <v>382500</v>
      </c>
      <c r="D6" s="349">
        <f>4*87500</f>
        <v>350000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16</v>
      </c>
      <c r="B1" s="32" t="s">
        <v>17</v>
      </c>
      <c r="C1" s="32" t="s">
        <v>18</v>
      </c>
      <c r="D1" s="32" t="s">
        <v>156</v>
      </c>
      <c r="E1" s="32" t="s">
        <v>157</v>
      </c>
      <c r="L1" s="9" t="s">
        <v>158</v>
      </c>
      <c r="M1" s="9" t="s">
        <v>159</v>
      </c>
      <c r="N1" s="9" t="s">
        <v>160</v>
      </c>
    </row>
    <row r="2" spans="1:14" x14ac:dyDescent="0.25">
      <c r="A2" s="2" t="str">
        <f>PLANTILLA!C4</f>
        <v>Jordi Ricart</v>
      </c>
      <c r="B2" s="2">
        <f>PLANTILLA!D4</f>
        <v>22</v>
      </c>
      <c r="C2" s="57">
        <f ca="1">PLANTILLA!E4</f>
        <v>7</v>
      </c>
      <c r="D2" s="109">
        <f t="shared" ref="D2" ca="1" si="0">TODAY()-(B2*112)-C2</f>
        <v>42209</v>
      </c>
      <c r="E2" s="18">
        <f t="shared" ref="E2" ca="1" si="1">VLOOKUP(D2,L:N,3,0)</f>
        <v>35</v>
      </c>
      <c r="L2" s="5">
        <v>43748</v>
      </c>
      <c r="M2">
        <v>15</v>
      </c>
      <c r="N2">
        <v>48</v>
      </c>
    </row>
    <row r="3" spans="1:14" x14ac:dyDescent="0.25">
      <c r="A3" s="2" t="e">
        <f>PLANTILLA!#REF!</f>
        <v>#REF!</v>
      </c>
      <c r="B3" s="2" t="e">
        <f>PLANTILLA!#REF!</f>
        <v>#REF!</v>
      </c>
      <c r="C3" s="167" t="e">
        <f>PLANTILLA!#REF!</f>
        <v>#REF!</v>
      </c>
      <c r="D3" s="109" t="e">
        <f t="shared" ref="D3:D14" ca="1" si="2">TODAY()-(B3*112)-C3</f>
        <v>#REF!</v>
      </c>
      <c r="E3" s="18" t="e">
        <f t="shared" ref="E3:E14" ca="1" si="3">VLOOKUP(D3,L:N,3,0)</f>
        <v>#REF!</v>
      </c>
      <c r="L3" s="5">
        <v>43747</v>
      </c>
      <c r="M3">
        <v>15</v>
      </c>
      <c r="N3">
        <v>48</v>
      </c>
    </row>
    <row r="4" spans="1:14" x14ac:dyDescent="0.25">
      <c r="A4" s="2" t="str">
        <f>PLANTILLA!C6</f>
        <v>Antero Lombo</v>
      </c>
      <c r="B4" s="2">
        <f>PLANTILLA!D6</f>
        <v>31</v>
      </c>
      <c r="C4" s="167">
        <f ca="1">PLANTILLA!E6</f>
        <v>56</v>
      </c>
      <c r="D4" s="109">
        <f t="shared" ca="1" si="2"/>
        <v>41152</v>
      </c>
      <c r="E4" s="18">
        <f t="shared" ca="1" si="3"/>
        <v>25</v>
      </c>
      <c r="L4" s="5">
        <v>43746</v>
      </c>
      <c r="M4">
        <v>15</v>
      </c>
      <c r="N4">
        <v>48</v>
      </c>
    </row>
    <row r="5" spans="1:14" x14ac:dyDescent="0.25">
      <c r="A5" s="2" t="str">
        <f>PLANTILLA!C9</f>
        <v>Juan Carlos Morata</v>
      </c>
      <c r="B5" s="2">
        <f>PLANTILLA!D9</f>
        <v>18</v>
      </c>
      <c r="C5" s="167">
        <f ca="1">PLANTILLA!E9</f>
        <v>91</v>
      </c>
      <c r="D5" s="109">
        <f t="shared" ca="1" si="2"/>
        <v>42573</v>
      </c>
      <c r="E5" s="18">
        <f t="shared" ca="1" si="3"/>
        <v>38</v>
      </c>
      <c r="L5" s="5">
        <v>43745</v>
      </c>
      <c r="M5">
        <v>15</v>
      </c>
      <c r="N5">
        <v>48</v>
      </c>
    </row>
    <row r="6" spans="1:14" x14ac:dyDescent="0.25">
      <c r="A6" s="2" t="e">
        <f>PLANTILLA!#REF!</f>
        <v>#REF!</v>
      </c>
      <c r="B6" s="2" t="e">
        <f>PLANTILLA!#REF!</f>
        <v>#REF!</v>
      </c>
      <c r="C6" s="167" t="e">
        <f>PLANTILLA!#REF!</f>
        <v>#REF!</v>
      </c>
      <c r="D6" s="109" t="e">
        <f t="shared" ca="1" si="2"/>
        <v>#REF!</v>
      </c>
      <c r="E6" s="18" t="e">
        <f t="shared" ca="1" si="3"/>
        <v>#REF!</v>
      </c>
      <c r="L6" s="5">
        <v>43744</v>
      </c>
      <c r="M6">
        <v>14</v>
      </c>
      <c r="N6">
        <v>48</v>
      </c>
    </row>
    <row r="7" spans="1:14" x14ac:dyDescent="0.25">
      <c r="A7" s="2" t="e">
        <f>PLANTILLA!#REF!</f>
        <v>#REF!</v>
      </c>
      <c r="B7" s="2" t="e">
        <f>PLANTILLA!#REF!</f>
        <v>#REF!</v>
      </c>
      <c r="C7" s="167" t="e">
        <f>PLANTILLA!#REF!</f>
        <v>#REF!</v>
      </c>
      <c r="D7" s="109" t="e">
        <f t="shared" ca="1" si="2"/>
        <v>#REF!</v>
      </c>
      <c r="E7" s="18" t="e">
        <f t="shared" ca="1" si="3"/>
        <v>#REF!</v>
      </c>
      <c r="L7" s="5">
        <v>43743</v>
      </c>
      <c r="M7">
        <v>14</v>
      </c>
      <c r="N7">
        <v>48</v>
      </c>
    </row>
    <row r="8" spans="1:14" x14ac:dyDescent="0.25">
      <c r="A8" s="2" t="str">
        <f>PLANTILLA!C11</f>
        <v>Mauro Ascariz</v>
      </c>
      <c r="B8" s="2">
        <f>PLANTILLA!D11</f>
        <v>19</v>
      </c>
      <c r="C8" s="167">
        <f ca="1">PLANTILLA!E11</f>
        <v>84</v>
      </c>
      <c r="D8" s="109">
        <f t="shared" ca="1" si="2"/>
        <v>42468</v>
      </c>
      <c r="E8" s="18">
        <f t="shared" ca="1" si="3"/>
        <v>37</v>
      </c>
      <c r="L8" s="5">
        <v>43742</v>
      </c>
      <c r="M8">
        <v>14</v>
      </c>
      <c r="N8">
        <v>48</v>
      </c>
    </row>
    <row r="9" spans="1:14" x14ac:dyDescent="0.25">
      <c r="A9" s="2" t="e">
        <f>PLANTILLA!#REF!</f>
        <v>#REF!</v>
      </c>
      <c r="B9" s="2" t="e">
        <f>PLANTILLA!#REF!</f>
        <v>#REF!</v>
      </c>
      <c r="C9" s="167" t="e">
        <f>PLANTILLA!#REF!</f>
        <v>#REF!</v>
      </c>
      <c r="D9" s="109" t="e">
        <f t="shared" ca="1" si="2"/>
        <v>#REF!</v>
      </c>
      <c r="E9" s="18" t="e">
        <f t="shared" ca="1" si="3"/>
        <v>#REF!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PLANTILLA!C12</f>
        <v>Calogero Coluccio</v>
      </c>
      <c r="B10" s="2">
        <f>PLANTILLA!D12</f>
        <v>24</v>
      </c>
      <c r="C10" s="167">
        <f ca="1">PLANTILLA!E12</f>
        <v>19</v>
      </c>
      <c r="D10" s="109">
        <f t="shared" ca="1" si="2"/>
        <v>41973</v>
      </c>
      <c r="E10" s="18">
        <f t="shared" ca="1" si="3"/>
        <v>33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PLANTILLA!C13</f>
        <v>Julian Blanco</v>
      </c>
      <c r="B11" s="2">
        <f>PLANTILLA!D13</f>
        <v>24</v>
      </c>
      <c r="C11" s="167">
        <f ca="1">PLANTILLA!E13</f>
        <v>73</v>
      </c>
      <c r="D11" s="109">
        <f t="shared" ca="1" si="2"/>
        <v>41919</v>
      </c>
      <c r="E11" s="18">
        <f t="shared" ca="1" si="3"/>
        <v>32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PLANTILLA!C18</f>
        <v>Fernan de Caranza</v>
      </c>
      <c r="B12" s="2">
        <f>PLANTILLA!D18</f>
        <v>20</v>
      </c>
      <c r="C12" s="167">
        <f ca="1">PLANTILLA!E18</f>
        <v>54</v>
      </c>
      <c r="D12" s="109">
        <f t="shared" ca="1" si="2"/>
        <v>42386</v>
      </c>
      <c r="E12" s="18">
        <f t="shared" ca="1" si="3"/>
        <v>36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PLANTILLA!C20</f>
        <v>Hemmu Ramchi</v>
      </c>
      <c r="B13" s="2">
        <f>PLANTILLA!D20</f>
        <v>22</v>
      </c>
      <c r="C13" s="167">
        <f ca="1">PLANTILLA!E20</f>
        <v>105</v>
      </c>
      <c r="D13" s="109">
        <f t="shared" ca="1" si="2"/>
        <v>42111</v>
      </c>
      <c r="E13" s="18">
        <f t="shared" ca="1" si="3"/>
        <v>34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PLANTILLA!C21</f>
        <v>Marc Costa</v>
      </c>
      <c r="B14" s="2">
        <f>PLANTILLA!D21</f>
        <v>19</v>
      </c>
      <c r="C14" s="167">
        <f ca="1">PLANTILLA!E21</f>
        <v>20</v>
      </c>
      <c r="D14" s="109">
        <f t="shared" ca="1" si="2"/>
        <v>42532</v>
      </c>
      <c r="E14" s="18">
        <f t="shared" ca="1" si="3"/>
        <v>38</v>
      </c>
      <c r="L14" s="5">
        <v>43736</v>
      </c>
      <c r="M14">
        <v>13</v>
      </c>
      <c r="N14">
        <v>48</v>
      </c>
    </row>
    <row r="15" spans="1:14" x14ac:dyDescent="0.25">
      <c r="A15" s="2" t="e">
        <f>PLANTILLA!#REF!</f>
        <v>#REF!</v>
      </c>
      <c r="B15" s="2" t="e">
        <f>PLANTILLA!#REF!</f>
        <v>#REF!</v>
      </c>
      <c r="C15" s="167" t="e">
        <f>PLANTILLA!#REF!</f>
        <v>#REF!</v>
      </c>
      <c r="D15" s="109" t="e">
        <f t="shared" ref="D15:D24" ca="1" si="4">TODAY()-(B15*112)-C15</f>
        <v>#REF!</v>
      </c>
      <c r="E15" s="290" t="e">
        <f t="shared" ref="E15:E24" ca="1" si="5">VLOOKUP(D15,L:N,3,0)</f>
        <v>#REF!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PLANTILLA!C22</f>
        <v>Albert Millau</v>
      </c>
      <c r="B16" s="2">
        <f>PLANTILLA!D22</f>
        <v>26</v>
      </c>
      <c r="C16" s="167">
        <f ca="1">PLANTILLA!E22</f>
        <v>1</v>
      </c>
      <c r="D16" s="109">
        <f t="shared" ca="1" si="4"/>
        <v>41767</v>
      </c>
      <c r="E16" s="290">
        <f t="shared" ca="1" si="5"/>
        <v>31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PLANTILLA!C23</f>
        <v>Pablo Carbo</v>
      </c>
      <c r="B17" s="2">
        <f>PLANTILLA!D23</f>
        <v>34</v>
      </c>
      <c r="C17" s="167">
        <f ca="1">PLANTILLA!E23</f>
        <v>12</v>
      </c>
      <c r="D17" s="109">
        <f t="shared" ca="1" si="4"/>
        <v>40860</v>
      </c>
      <c r="E17" s="290">
        <f t="shared" ca="1" si="5"/>
        <v>23</v>
      </c>
      <c r="L17" s="5">
        <v>43733</v>
      </c>
      <c r="M17">
        <v>13</v>
      </c>
      <c r="N17">
        <v>48</v>
      </c>
    </row>
    <row r="18" spans="1:14" x14ac:dyDescent="0.25">
      <c r="A18" s="2" t="e">
        <f>PLANTILLA!#REF!</f>
        <v>#REF!</v>
      </c>
      <c r="B18" s="2" t="e">
        <f>PLANTILLA!#REF!</f>
        <v>#REF!</v>
      </c>
      <c r="C18" s="167" t="e">
        <f>PLANTILLA!#REF!</f>
        <v>#REF!</v>
      </c>
      <c r="D18" s="109" t="e">
        <f t="shared" ca="1" si="4"/>
        <v>#REF!</v>
      </c>
      <c r="E18" s="290" t="e">
        <f t="shared" ca="1" si="5"/>
        <v>#REF!</v>
      </c>
      <c r="L18" s="5">
        <v>43732</v>
      </c>
      <c r="M18">
        <v>13</v>
      </c>
      <c r="N18">
        <v>48</v>
      </c>
    </row>
    <row r="19" spans="1:14" x14ac:dyDescent="0.25">
      <c r="A19" s="2" t="e">
        <f>PLANTILLA!#REF!</f>
        <v>#REF!</v>
      </c>
      <c r="B19" s="2" t="e">
        <f>PLANTILLA!#REF!</f>
        <v>#REF!</v>
      </c>
      <c r="C19" s="167" t="e">
        <f>PLANTILLA!#REF!</f>
        <v>#REF!</v>
      </c>
      <c r="D19" s="109" t="e">
        <f t="shared" ca="1" si="4"/>
        <v>#REF!</v>
      </c>
      <c r="E19" s="290" t="e">
        <f t="shared" ca="1" si="5"/>
        <v>#REF!</v>
      </c>
      <c r="L19" s="5">
        <v>43731</v>
      </c>
      <c r="M19">
        <v>13</v>
      </c>
      <c r="N19">
        <v>48</v>
      </c>
    </row>
    <row r="20" spans="1:14" x14ac:dyDescent="0.25">
      <c r="A20" s="2" t="e">
        <f>PLANTILLA!#REF!</f>
        <v>#REF!</v>
      </c>
      <c r="B20" s="2" t="e">
        <f>PLANTILLA!#REF!</f>
        <v>#REF!</v>
      </c>
      <c r="C20" s="167" t="e">
        <f>PLANTILLA!#REF!</f>
        <v>#REF!</v>
      </c>
      <c r="D20" s="109" t="e">
        <f t="shared" ca="1" si="4"/>
        <v>#REF!</v>
      </c>
      <c r="E20" s="290" t="e">
        <f t="shared" ca="1" si="5"/>
        <v>#REF!</v>
      </c>
      <c r="L20" s="5">
        <v>43730</v>
      </c>
      <c r="M20">
        <v>12</v>
      </c>
      <c r="N20">
        <v>48</v>
      </c>
    </row>
    <row r="21" spans="1:14" x14ac:dyDescent="0.25">
      <c r="A21" s="2" t="e">
        <f>PLANTILLA!#REF!</f>
        <v>#REF!</v>
      </c>
      <c r="B21" s="2" t="e">
        <f>PLANTILLA!#REF!</f>
        <v>#REF!</v>
      </c>
      <c r="C21" s="167" t="e">
        <f>PLANTILLA!#REF!</f>
        <v>#REF!</v>
      </c>
      <c r="D21" s="109" t="e">
        <f t="shared" ca="1" si="4"/>
        <v>#REF!</v>
      </c>
      <c r="E21" s="290" t="e">
        <f t="shared" ca="1" si="5"/>
        <v>#REF!</v>
      </c>
      <c r="L21" s="5">
        <v>43729</v>
      </c>
      <c r="M21">
        <v>12</v>
      </c>
      <c r="N21">
        <v>48</v>
      </c>
    </row>
    <row r="22" spans="1:14" x14ac:dyDescent="0.25">
      <c r="A22" s="2" t="e">
        <f>PLANTILLA!#REF!</f>
        <v>#REF!</v>
      </c>
      <c r="B22" s="2" t="e">
        <f>PLANTILLA!#REF!</f>
        <v>#REF!</v>
      </c>
      <c r="C22" s="167" t="e">
        <f>PLANTILLA!#REF!</f>
        <v>#REF!</v>
      </c>
      <c r="D22" s="109" t="e">
        <f t="shared" ca="1" si="4"/>
        <v>#REF!</v>
      </c>
      <c r="E22" s="290" t="e">
        <f t="shared" ca="1" si="5"/>
        <v>#REF!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67" t="e">
        <f>PLANTILLA!#REF!</f>
        <v>#REF!</v>
      </c>
      <c r="D23" s="109" t="e">
        <f t="shared" ca="1" si="4"/>
        <v>#REF!</v>
      </c>
      <c r="E23" s="290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67" t="e">
        <f>PLANTILLA!#REF!</f>
        <v>#REF!</v>
      </c>
      <c r="D24" s="109" t="e">
        <f t="shared" ca="1" si="4"/>
        <v>#REF!</v>
      </c>
      <c r="E24" s="290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67"/>
      <c r="D25" s="109"/>
      <c r="E25" s="18"/>
      <c r="L25" s="5">
        <v>43725</v>
      </c>
      <c r="M25">
        <v>12</v>
      </c>
      <c r="N25">
        <v>48</v>
      </c>
    </row>
    <row r="26" spans="1:14" x14ac:dyDescent="0.25">
      <c r="C26" s="167"/>
      <c r="D26" s="109"/>
      <c r="E26" s="18"/>
      <c r="L26" s="5">
        <v>43724</v>
      </c>
      <c r="M26">
        <v>12</v>
      </c>
      <c r="N26">
        <v>48</v>
      </c>
    </row>
    <row r="27" spans="1:14" x14ac:dyDescent="0.25">
      <c r="C27" s="167"/>
      <c r="D27" s="109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67"/>
      <c r="D28" s="109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67"/>
      <c r="D29" s="109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67"/>
      <c r="D30" s="109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67"/>
      <c r="D31" s="109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67"/>
      <c r="D32" s="109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67"/>
      <c r="D33" s="109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67"/>
      <c r="D34" s="109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67"/>
      <c r="D35" s="109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67"/>
      <c r="D36" s="109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67"/>
      <c r="D37" s="109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67"/>
      <c r="D38" s="109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67"/>
      <c r="D39" s="109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67"/>
      <c r="D40" s="109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67"/>
      <c r="D41" s="109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67"/>
      <c r="D42" s="109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67"/>
      <c r="D43" s="109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67"/>
      <c r="D44" s="109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67"/>
      <c r="D45" s="109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SemEntrenamiento</vt:lpstr>
      <vt:lpstr>PLANNING</vt:lpstr>
      <vt:lpstr>PORTEROS</vt:lpstr>
      <vt:lpstr>ESTADIO</vt:lpstr>
      <vt:lpstr>Patrocinadores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2022-04-29T10:59:07Z</dcterms:modified>
</cp:coreProperties>
</file>