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624011B2-196E-4A75-B6F1-AF6D81E21657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Hall_of_Fame" sheetId="1" r:id="rId1"/>
    <sheet name="FITES" sheetId="31" r:id="rId2"/>
    <sheet name="PLANTILLA" sheetId="2" r:id="rId3"/>
    <sheet name="JUVENILES" sheetId="3" r:id="rId4"/>
    <sheet name="SemEntrenamiento" sheetId="17" r:id="rId5"/>
    <sheet name="PLANNING" sheetId="30" r:id="rId6"/>
    <sheet name="ESTADIO" sheetId="7" r:id="rId7"/>
    <sheet name="Patrocinadores" sheetId="32" r:id="rId8"/>
    <sheet name="Generaciones" sheetId="9" r:id="rId9"/>
    <sheet name="253CENTRO" sheetId="25" r:id="rId10"/>
    <sheet name="253_CENTROBANDA" sheetId="23" r:id="rId11"/>
    <sheet name="COMPARATIVA" sheetId="21" r:id="rId12"/>
    <sheet name="POR" sheetId="10" r:id="rId13"/>
    <sheet name="DEF" sheetId="11" r:id="rId14"/>
    <sheet name="JUG" sheetId="12" r:id="rId15"/>
    <sheet name="LAT" sheetId="13" r:id="rId16"/>
    <sheet name="ATTLAT" sheetId="28" r:id="rId17"/>
    <sheet name="PAS" sheetId="26" r:id="rId18"/>
    <sheet name="ANO" sheetId="27" r:id="rId19"/>
  </sheets>
  <definedNames>
    <definedName name="_xlnm._FilterDatabase" localSheetId="2" hidden="1">PLANTILLA!$A$1:$BF$25</definedName>
    <definedName name="_xlnm._FilterDatabase" localSheetId="4" hidden="1">SemEntrenamiento!$Q$1:$AA$20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Z18" i="2" l="1"/>
  <c r="Z21" i="2"/>
  <c r="Z17" i="2"/>
  <c r="Z15" i="2"/>
  <c r="A19" i="17"/>
  <c r="B19" i="17"/>
  <c r="C19" i="17"/>
  <c r="D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22" i="17"/>
  <c r="B22" i="17"/>
  <c r="C22" i="17"/>
  <c r="D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21" i="17"/>
  <c r="B21" i="17"/>
  <c r="C21" i="17"/>
  <c r="D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20" i="17"/>
  <c r="B20" i="17"/>
  <c r="C20" i="17"/>
  <c r="D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16" i="17"/>
  <c r="B16" i="17"/>
  <c r="C16" i="17"/>
  <c r="D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15" i="17"/>
  <c r="B15" i="17"/>
  <c r="C15" i="17"/>
  <c r="D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18" i="17"/>
  <c r="B18" i="17"/>
  <c r="C18" i="17"/>
  <c r="D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11" i="17"/>
  <c r="B11" i="17"/>
  <c r="C11" i="17"/>
  <c r="D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4" i="17"/>
  <c r="B4" i="17"/>
  <c r="C4" i="17"/>
  <c r="D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5" i="17"/>
  <c r="B5" i="17"/>
  <c r="C5" i="17"/>
  <c r="D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3" i="17"/>
  <c r="B3" i="17"/>
  <c r="C3" i="17"/>
  <c r="D3" i="17"/>
  <c r="F3" i="17"/>
  <c r="G3" i="17"/>
  <c r="H3" i="17"/>
  <c r="J3" i="17"/>
  <c r="K3" i="17"/>
  <c r="L3" i="17"/>
  <c r="M3" i="17"/>
  <c r="N3" i="17"/>
  <c r="O3" i="17"/>
  <c r="P3" i="17"/>
  <c r="Q3" i="17"/>
  <c r="R3" i="17"/>
  <c r="U3" i="17"/>
  <c r="V3" i="17"/>
  <c r="W3" i="17"/>
  <c r="A7" i="17"/>
  <c r="B7" i="17"/>
  <c r="C7" i="17"/>
  <c r="D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6" i="17"/>
  <c r="B6" i="17"/>
  <c r="C6" i="17"/>
  <c r="D6" i="17"/>
  <c r="F6" i="17"/>
  <c r="G6" i="17"/>
  <c r="H6" i="17"/>
  <c r="J6" i="17"/>
  <c r="K6" i="17"/>
  <c r="L6" i="17"/>
  <c r="M6" i="17"/>
  <c r="N6" i="17"/>
  <c r="O6" i="17"/>
  <c r="P6" i="17"/>
  <c r="Q6" i="17"/>
  <c r="R6" i="17"/>
  <c r="U6" i="17"/>
  <c r="V6" i="17"/>
  <c r="W6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Q9" i="17"/>
  <c r="R9" i="17"/>
  <c r="U9" i="17"/>
  <c r="V9" i="17"/>
  <c r="W9" i="17"/>
  <c r="A13" i="17"/>
  <c r="B13" i="17"/>
  <c r="C13" i="17"/>
  <c r="D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17" i="17"/>
  <c r="B17" i="17"/>
  <c r="C17" i="17"/>
  <c r="D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2" i="17"/>
  <c r="B2" i="17"/>
  <c r="C2" i="17"/>
  <c r="D2" i="17"/>
  <c r="F2" i="17"/>
  <c r="G2" i="17"/>
  <c r="H2" i="17"/>
  <c r="J2" i="17"/>
  <c r="K2" i="17"/>
  <c r="L2" i="17"/>
  <c r="M2" i="17"/>
  <c r="N2" i="17"/>
  <c r="O2" i="17"/>
  <c r="P2" i="17"/>
  <c r="Q2" i="17"/>
  <c r="R2" i="17"/>
  <c r="U2" i="17"/>
  <c r="V2" i="17"/>
  <c r="W2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Q8" i="17"/>
  <c r="R8" i="17"/>
  <c r="U8" i="17"/>
  <c r="V8" i="17"/>
  <c r="W8" i="17"/>
  <c r="A14" i="17"/>
  <c r="B14" i="17"/>
  <c r="C14" i="17"/>
  <c r="D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10" i="17"/>
  <c r="B10" i="17"/>
  <c r="C10" i="17"/>
  <c r="D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I8" i="2"/>
  <c r="AS8" i="2"/>
  <c r="AT8" i="2"/>
  <c r="AU8" i="2"/>
  <c r="AV8" i="2"/>
  <c r="AW8" i="2"/>
  <c r="AX8" i="2"/>
  <c r="AY8" i="2"/>
  <c r="AZ8" i="2"/>
  <c r="BA8" i="2"/>
  <c r="BB8" i="2"/>
  <c r="BC8" i="2"/>
  <c r="BD8" i="2"/>
  <c r="V8" i="2"/>
  <c r="Q8" i="2"/>
  <c r="R8" i="2"/>
  <c r="N8" i="2"/>
  <c r="J8" i="2"/>
  <c r="AF8" i="2" s="1"/>
  <c r="K8" i="2"/>
  <c r="L8" i="2"/>
  <c r="L36" i="1"/>
  <c r="C12" i="32"/>
  <c r="D12" i="32"/>
  <c r="D14" i="32"/>
  <c r="C14" i="32"/>
  <c r="D13" i="32"/>
  <c r="C13" i="32"/>
  <c r="C11" i="32"/>
  <c r="C10" i="32"/>
  <c r="AA23" i="2"/>
  <c r="AA24" i="2"/>
  <c r="AA21" i="2"/>
  <c r="AA14" i="2"/>
  <c r="AA16" i="2"/>
  <c r="AA15" i="2"/>
  <c r="AA13" i="2"/>
  <c r="AA18" i="2"/>
  <c r="AA9" i="2"/>
  <c r="AA19" i="2"/>
  <c r="AE8" i="2" l="1"/>
  <c r="AG8" i="2"/>
  <c r="AH8" i="2"/>
  <c r="Y19" i="2"/>
  <c r="Y12" i="2"/>
  <c r="Y24" i="2"/>
  <c r="Y22" i="2"/>
  <c r="Y18" i="2"/>
  <c r="Y21" i="2"/>
  <c r="Y14" i="2"/>
  <c r="Y17" i="2"/>
  <c r="Y13" i="2"/>
  <c r="Y16" i="2"/>
  <c r="Y15" i="2"/>
  <c r="B29" i="1" l="1"/>
  <c r="D6" i="32" l="1"/>
  <c r="C6" i="32"/>
  <c r="C5" i="32"/>
  <c r="C4" i="32" l="1"/>
  <c r="D4" i="32"/>
  <c r="C2" i="32"/>
  <c r="T7" i="2" l="1"/>
  <c r="AS7" i="2"/>
  <c r="AT7" i="2"/>
  <c r="AU7" i="2"/>
  <c r="AV7" i="2"/>
  <c r="AW7" i="2"/>
  <c r="AX7" i="2"/>
  <c r="AY7" i="2"/>
  <c r="AZ7" i="2"/>
  <c r="BA7" i="2"/>
  <c r="BB7" i="2"/>
  <c r="BC7" i="2"/>
  <c r="BD7" i="2"/>
  <c r="AI7" i="2"/>
  <c r="V7" i="2"/>
  <c r="Q7" i="2"/>
  <c r="R7" i="2"/>
  <c r="N7" i="2"/>
  <c r="J7" i="2"/>
  <c r="AH7" i="2" s="1"/>
  <c r="K7" i="2"/>
  <c r="L7" i="2"/>
  <c r="AE7" i="2" l="1"/>
  <c r="AF7" i="2"/>
  <c r="AG7" i="2"/>
  <c r="AT6" i="2"/>
  <c r="AU6" i="2"/>
  <c r="AV6" i="2"/>
  <c r="AW6" i="2"/>
  <c r="AX6" i="2"/>
  <c r="AY6" i="2"/>
  <c r="AZ6" i="2"/>
  <c r="BA6" i="2"/>
  <c r="BB6" i="2"/>
  <c r="BC6" i="2"/>
  <c r="BD6" i="2"/>
  <c r="AS6" i="2"/>
  <c r="AI6" i="2" l="1"/>
  <c r="V6" i="2"/>
  <c r="T6" i="2"/>
  <c r="R6" i="2"/>
  <c r="Q6" i="2"/>
  <c r="N6" i="2"/>
  <c r="L6" i="2"/>
  <c r="K6" i="2"/>
  <c r="J6" i="2"/>
  <c r="AE6" i="2" s="1"/>
  <c r="AG6" i="2" l="1"/>
  <c r="AH6" i="2"/>
  <c r="AF6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S54" i="7" l="1"/>
  <c r="S53" i="7"/>
  <c r="S52" i="7"/>
  <c r="S51" i="7"/>
  <c r="T57" i="7"/>
  <c r="U57" i="7"/>
  <c r="T58" i="7"/>
  <c r="U58" i="7" s="1"/>
  <c r="T59" i="7"/>
  <c r="U59" i="7"/>
  <c r="T60" i="7"/>
  <c r="U60" i="7"/>
  <c r="T61" i="7"/>
  <c r="U61" i="7"/>
  <c r="S58" i="7"/>
  <c r="S59" i="7"/>
  <c r="S60" i="7"/>
  <c r="S61" i="7"/>
  <c r="S57" i="7"/>
  <c r="Q58" i="7"/>
  <c r="Q59" i="7"/>
  <c r="Q60" i="7"/>
  <c r="Q57" i="7"/>
  <c r="I38" i="7"/>
  <c r="I39" i="7"/>
  <c r="I40" i="7"/>
  <c r="I37" i="7"/>
  <c r="G38" i="7"/>
  <c r="G39" i="7"/>
  <c r="G40" i="7"/>
  <c r="G37" i="7"/>
  <c r="R48" i="7"/>
  <c r="C37" i="7"/>
  <c r="C39" i="7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J50" i="7"/>
  <c r="J54" i="7" s="1"/>
  <c r="H47" i="7"/>
  <c r="H51" i="7" s="1"/>
  <c r="F49" i="7"/>
  <c r="F53" i="7" s="1"/>
  <c r="E48" i="7"/>
  <c r="E52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R51" i="7"/>
  <c r="T51" i="7"/>
  <c r="U51" i="7"/>
  <c r="R52" i="7"/>
  <c r="T52" i="7"/>
  <c r="U52" i="7"/>
  <c r="R53" i="7"/>
  <c r="T53" i="7"/>
  <c r="U53" i="7"/>
  <c r="R54" i="7"/>
  <c r="T54" i="7"/>
  <c r="U54" i="7"/>
  <c r="U55" i="7" s="1"/>
  <c r="C43" i="7"/>
  <c r="D37" i="7"/>
  <c r="D38" i="7"/>
  <c r="D39" i="7"/>
  <c r="D40" i="7"/>
  <c r="B58" i="7"/>
  <c r="B59" i="7"/>
  <c r="B60" i="7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D60" i="7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D59" i="7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D58" i="7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D57" i="7"/>
  <c r="P54" i="7"/>
  <c r="O54" i="7"/>
  <c r="N54" i="7"/>
  <c r="M54" i="7"/>
  <c r="L54" i="7"/>
  <c r="K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D52" i="7"/>
  <c r="C52" i="7"/>
  <c r="B52" i="7"/>
  <c r="Q51" i="7"/>
  <c r="P51" i="7"/>
  <c r="O51" i="7"/>
  <c r="N51" i="7"/>
  <c r="M51" i="7"/>
  <c r="L51" i="7"/>
  <c r="K51" i="7"/>
  <c r="J51" i="7"/>
  <c r="I51" i="7"/>
  <c r="G51" i="7"/>
  <c r="F51" i="7"/>
  <c r="E51" i="7"/>
  <c r="D51" i="7"/>
  <c r="C51" i="7"/>
  <c r="B51" i="7"/>
  <c r="Q54" i="7"/>
  <c r="Q55" i="7" s="1"/>
  <c r="R40" i="7"/>
  <c r="R39" i="7"/>
  <c r="R38" i="7"/>
  <c r="R37" i="7"/>
  <c r="B36" i="7"/>
  <c r="S55" i="7" l="1"/>
  <c r="T55" i="7"/>
  <c r="R55" i="7"/>
  <c r="U63" i="7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62" i="7"/>
  <c r="C62" i="7" s="1"/>
  <c r="B57" i="7"/>
  <c r="K55" i="7"/>
  <c r="L55" i="7"/>
  <c r="E55" i="7"/>
  <c r="M55" i="7"/>
  <c r="F55" i="7"/>
  <c r="N55" i="7"/>
  <c r="J55" i="7"/>
  <c r="G55" i="7"/>
  <c r="O55" i="7"/>
  <c r="C55" i="7"/>
  <c r="C56" i="7" s="1"/>
  <c r="D55" i="7"/>
  <c r="H55" i="7"/>
  <c r="P55" i="7"/>
  <c r="B55" i="7"/>
  <c r="B56" i="7" s="1"/>
  <c r="I55" i="7"/>
  <c r="E57" i="7"/>
  <c r="C66" i="7" l="1"/>
  <c r="B66" i="7"/>
  <c r="B67" i="7" s="1"/>
  <c r="B68" i="7" s="1"/>
  <c r="D62" i="7"/>
  <c r="D56" i="7"/>
  <c r="F57" i="7"/>
  <c r="C67" i="7" l="1"/>
  <c r="C68" i="7" s="1"/>
  <c r="E62" i="7"/>
  <c r="D66" i="7"/>
  <c r="E56" i="7"/>
  <c r="G57" i="7"/>
  <c r="D67" i="7" l="1"/>
  <c r="D68" i="7" s="1"/>
  <c r="F62" i="7"/>
  <c r="E66" i="7"/>
  <c r="H57" i="7"/>
  <c r="F56" i="7"/>
  <c r="E67" i="7" l="1"/>
  <c r="E68" i="7" s="1"/>
  <c r="G62" i="7"/>
  <c r="F66" i="7"/>
  <c r="I57" i="7"/>
  <c r="G56" i="7"/>
  <c r="F67" i="7" l="1"/>
  <c r="F68" i="7" s="1"/>
  <c r="H62" i="7"/>
  <c r="G66" i="7"/>
  <c r="J57" i="7"/>
  <c r="H56" i="7"/>
  <c r="G67" i="7" l="1"/>
  <c r="G68" i="7" s="1"/>
  <c r="I62" i="7"/>
  <c r="H66" i="7"/>
  <c r="K57" i="7"/>
  <c r="I56" i="7"/>
  <c r="H67" i="7" l="1"/>
  <c r="H68" i="7" s="1"/>
  <c r="J62" i="7"/>
  <c r="I66" i="7"/>
  <c r="L57" i="7"/>
  <c r="J56" i="7"/>
  <c r="I67" i="7" l="1"/>
  <c r="I68" i="7" s="1"/>
  <c r="K62" i="7"/>
  <c r="J66" i="7"/>
  <c r="M57" i="7"/>
  <c r="K56" i="7"/>
  <c r="J67" i="7" l="1"/>
  <c r="J68" i="7" s="1"/>
  <c r="L62" i="7"/>
  <c r="K66" i="7"/>
  <c r="N57" i="7"/>
  <c r="L56" i="7"/>
  <c r="K67" i="7" l="1"/>
  <c r="K68" i="7" s="1"/>
  <c r="M62" i="7"/>
  <c r="L66" i="7"/>
  <c r="M56" i="7"/>
  <c r="O57" i="7"/>
  <c r="L67" i="7" l="1"/>
  <c r="L68" i="7" s="1"/>
  <c r="N62" i="7"/>
  <c r="M66" i="7"/>
  <c r="P57" i="7"/>
  <c r="N56" i="7"/>
  <c r="M67" i="7" l="1"/>
  <c r="M68" i="7" s="1"/>
  <c r="O62" i="7"/>
  <c r="N66" i="7"/>
  <c r="O56" i="7"/>
  <c r="N67" i="7" l="1"/>
  <c r="N68" i="7" s="1"/>
  <c r="P62" i="7"/>
  <c r="O66" i="7"/>
  <c r="P56" i="7"/>
  <c r="O67" i="7" l="1"/>
  <c r="O68" i="7" s="1"/>
  <c r="Q62" i="7"/>
  <c r="P66" i="7"/>
  <c r="Q56" i="7"/>
  <c r="R56" i="7" s="1"/>
  <c r="S56" i="7" s="1"/>
  <c r="T56" i="7" s="1"/>
  <c r="U56" i="7" s="1"/>
  <c r="P67" i="7" l="1"/>
  <c r="P68" i="7" s="1"/>
  <c r="Q66" i="7"/>
  <c r="R62" i="7"/>
  <c r="Q67" i="7" l="1"/>
  <c r="Q68" i="7" s="1"/>
  <c r="S62" i="7"/>
  <c r="R66" i="7"/>
  <c r="R67" i="7" l="1"/>
  <c r="R68" i="7" s="1"/>
  <c r="S66" i="7"/>
  <c r="T62" i="7"/>
  <c r="S67" i="7" l="1"/>
  <c r="S68" i="7" s="1"/>
  <c r="U62" i="7"/>
  <c r="U66" i="7" s="1"/>
  <c r="T66" i="7"/>
  <c r="T67" i="7" l="1"/>
  <c r="T68" i="7" s="1"/>
  <c r="U67" i="7"/>
  <c r="U68" i="7" s="1"/>
  <c r="K4" i="30" l="1"/>
  <c r="U5" i="30"/>
  <c r="V5" i="30"/>
  <c r="U6" i="30"/>
  <c r="V6" i="30"/>
  <c r="U7" i="30"/>
  <c r="V7" i="30"/>
  <c r="U8" i="30"/>
  <c r="V8" i="30"/>
  <c r="U9" i="30"/>
  <c r="V9" i="30"/>
  <c r="U10" i="30"/>
  <c r="V10" i="30"/>
  <c r="U18" i="30"/>
  <c r="V18" i="30"/>
  <c r="U21" i="30"/>
  <c r="V21" i="30"/>
  <c r="V4" i="30"/>
  <c r="U4" i="30"/>
  <c r="N19" i="30"/>
  <c r="N17" i="30"/>
  <c r="N16" i="30"/>
  <c r="N13" i="30"/>
  <c r="N15" i="30"/>
  <c r="N11" i="30"/>
  <c r="N12" i="30"/>
  <c r="H5" i="30"/>
  <c r="I5" i="30"/>
  <c r="M5" i="30"/>
  <c r="N5" i="30"/>
  <c r="O5" i="30"/>
  <c r="P5" i="30"/>
  <c r="Q5" i="30"/>
  <c r="R5" i="30"/>
  <c r="H6" i="30"/>
  <c r="I6" i="30"/>
  <c r="L6" i="30"/>
  <c r="M6" i="30"/>
  <c r="O6" i="30"/>
  <c r="P6" i="30"/>
  <c r="R6" i="30"/>
  <c r="H7" i="30"/>
  <c r="I7" i="30"/>
  <c r="L7" i="30"/>
  <c r="M7" i="30"/>
  <c r="N7" i="30"/>
  <c r="O7" i="30"/>
  <c r="P7" i="30"/>
  <c r="Q7" i="30"/>
  <c r="R7" i="30"/>
  <c r="H8" i="30"/>
  <c r="I8" i="30"/>
  <c r="L8" i="30"/>
  <c r="M8" i="30"/>
  <c r="O8" i="30"/>
  <c r="P8" i="30"/>
  <c r="Q8" i="30"/>
  <c r="R8" i="30"/>
  <c r="H9" i="30"/>
  <c r="I9" i="30"/>
  <c r="L9" i="30"/>
  <c r="M9" i="30"/>
  <c r="N9" i="30"/>
  <c r="O9" i="30"/>
  <c r="P9" i="30"/>
  <c r="Q9" i="30"/>
  <c r="R9" i="30"/>
  <c r="H10" i="30"/>
  <c r="I10" i="30"/>
  <c r="L10" i="30"/>
  <c r="M10" i="30"/>
  <c r="N10" i="30"/>
  <c r="O10" i="30"/>
  <c r="P10" i="30"/>
  <c r="Q10" i="30"/>
  <c r="R10" i="30"/>
  <c r="H11" i="30"/>
  <c r="I11" i="30"/>
  <c r="L11" i="30"/>
  <c r="M11" i="30"/>
  <c r="O11" i="30"/>
  <c r="P11" i="30"/>
  <c r="Q11" i="30"/>
  <c r="R11" i="30"/>
  <c r="H12" i="30"/>
  <c r="I12" i="30"/>
  <c r="L12" i="30"/>
  <c r="M12" i="30"/>
  <c r="O12" i="30"/>
  <c r="R12" i="30"/>
  <c r="H13" i="30"/>
  <c r="I13" i="30"/>
  <c r="L13" i="30"/>
  <c r="M13" i="30"/>
  <c r="O13" i="30"/>
  <c r="P13" i="30"/>
  <c r="R13" i="30"/>
  <c r="H14" i="30"/>
  <c r="I14" i="30"/>
  <c r="L14" i="30"/>
  <c r="M14" i="30"/>
  <c r="O14" i="30"/>
  <c r="P14" i="30"/>
  <c r="Q14" i="30"/>
  <c r="R14" i="30"/>
  <c r="H15" i="30"/>
  <c r="I15" i="30"/>
  <c r="L15" i="30"/>
  <c r="M15" i="30"/>
  <c r="O15" i="30"/>
  <c r="P15" i="30"/>
  <c r="R15" i="30"/>
  <c r="H16" i="30"/>
  <c r="I16" i="30"/>
  <c r="L16" i="30"/>
  <c r="M16" i="30"/>
  <c r="O16" i="30"/>
  <c r="R16" i="30"/>
  <c r="H17" i="30"/>
  <c r="I17" i="30"/>
  <c r="L17" i="30"/>
  <c r="M17" i="30"/>
  <c r="O17" i="30"/>
  <c r="P17" i="30"/>
  <c r="R17" i="30"/>
  <c r="H18" i="30"/>
  <c r="I18" i="30"/>
  <c r="L18" i="30"/>
  <c r="M18" i="30"/>
  <c r="O18" i="30"/>
  <c r="P18" i="30"/>
  <c r="Q18" i="30"/>
  <c r="R18" i="30"/>
  <c r="H19" i="30"/>
  <c r="I19" i="30"/>
  <c r="L19" i="30"/>
  <c r="M19" i="30"/>
  <c r="O19" i="30"/>
  <c r="P19" i="30"/>
  <c r="R19" i="30"/>
  <c r="H20" i="30"/>
  <c r="I20" i="30"/>
  <c r="L20" i="30"/>
  <c r="M20" i="30"/>
  <c r="O20" i="30"/>
  <c r="R20" i="30"/>
  <c r="H21" i="30"/>
  <c r="I21" i="30"/>
  <c r="L21" i="30"/>
  <c r="M21" i="30"/>
  <c r="O21" i="30"/>
  <c r="P21" i="30"/>
  <c r="Q21" i="30"/>
  <c r="R21" i="30"/>
  <c r="H22" i="30"/>
  <c r="I22" i="30"/>
  <c r="L22" i="30"/>
  <c r="M22" i="30"/>
  <c r="O22" i="30"/>
  <c r="P22" i="30"/>
  <c r="R22" i="30"/>
  <c r="M4" i="30"/>
  <c r="N4" i="30"/>
  <c r="O4" i="30"/>
  <c r="P4" i="30"/>
  <c r="Q4" i="30"/>
  <c r="R4" i="30"/>
  <c r="H4" i="30"/>
  <c r="I4" i="30"/>
  <c r="B2" i="30"/>
  <c r="D2" i="30" s="1"/>
  <c r="B3" i="30" s="1"/>
  <c r="D3" i="30" s="1"/>
  <c r="N24" i="12" l="1"/>
  <c r="N26" i="12"/>
  <c r="N23" i="12"/>
  <c r="N19" i="12"/>
  <c r="N18" i="12"/>
  <c r="N17" i="12"/>
  <c r="N16" i="12"/>
  <c r="Y10" i="2"/>
  <c r="N8" i="30" s="1"/>
  <c r="Y23" i="2"/>
  <c r="N21" i="30" s="1"/>
  <c r="N6" i="30" l="1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H26" i="28"/>
  <c r="G26" i="28"/>
  <c r="F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D23" i="28"/>
  <c r="B23" i="28"/>
  <c r="A23" i="28"/>
  <c r="Q22" i="28"/>
  <c r="S22" i="28" s="1"/>
  <c r="N22" i="28"/>
  <c r="X22" i="28" s="1"/>
  <c r="AA22" i="28" s="1"/>
  <c r="M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H20" i="28"/>
  <c r="G20" i="28"/>
  <c r="F20" i="28"/>
  <c r="D20" i="28"/>
  <c r="B20" i="28"/>
  <c r="A20" i="28"/>
  <c r="N19" i="28"/>
  <c r="X19" i="28" s="1"/>
  <c r="M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J18" i="28"/>
  <c r="I18" i="28"/>
  <c r="H18" i="28"/>
  <c r="G18" i="28"/>
  <c r="F18" i="28"/>
  <c r="D18" i="28"/>
  <c r="B18" i="28"/>
  <c r="A18" i="28"/>
  <c r="M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K15" i="28"/>
  <c r="J15" i="28"/>
  <c r="I15" i="28"/>
  <c r="H15" i="28"/>
  <c r="G15" i="28"/>
  <c r="F15" i="28"/>
  <c r="D15" i="28"/>
  <c r="B15" i="28"/>
  <c r="A15" i="28"/>
  <c r="M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K10" i="28"/>
  <c r="J10" i="28"/>
  <c r="I10" i="28"/>
  <c r="H10" i="28"/>
  <c r="G10" i="28"/>
  <c r="F10" i="28"/>
  <c r="D10" i="28"/>
  <c r="B10" i="28"/>
  <c r="A10" i="28"/>
  <c r="A1" i="28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T11" i="2"/>
  <c r="AT11" i="2"/>
  <c r="AU11" i="2"/>
  <c r="AV11" i="2"/>
  <c r="AW11" i="2"/>
  <c r="AX11" i="2"/>
  <c r="AY11" i="2"/>
  <c r="AZ11" i="2"/>
  <c r="BA11" i="2"/>
  <c r="BB11" i="2"/>
  <c r="BC11" i="2"/>
  <c r="BD11" i="2"/>
  <c r="AI11" i="2"/>
  <c r="AS11" i="2"/>
  <c r="V11" i="2"/>
  <c r="Q11" i="2"/>
  <c r="R11" i="2"/>
  <c r="N11" i="2"/>
  <c r="J20" i="2"/>
  <c r="E20" i="28" s="1"/>
  <c r="J11" i="2"/>
  <c r="AF11" i="2" s="1"/>
  <c r="K11" i="2"/>
  <c r="L11" i="2"/>
  <c r="AE11" i="2" l="1"/>
  <c r="AG11" i="2"/>
  <c r="AH11" i="2"/>
  <c r="G21" i="21" l="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Y17" i="12"/>
  <c r="AB17" i="12" s="1"/>
  <c r="Y23" i="12"/>
  <c r="AB23" i="12" s="1"/>
  <c r="Q19" i="12"/>
  <c r="Q18" i="12"/>
  <c r="Q17" i="12"/>
  <c r="Y24" i="12"/>
  <c r="AB24" i="12" s="1"/>
  <c r="Q26" i="12"/>
  <c r="N15" i="12"/>
  <c r="Q15" i="12" s="1"/>
  <c r="N21" i="12"/>
  <c r="Q21" i="12" s="1"/>
  <c r="Q23" i="12"/>
  <c r="N20" i="12"/>
  <c r="Q20" i="12" s="1"/>
  <c r="Q16" i="12"/>
  <c r="Y19" i="12"/>
  <c r="AB19" i="12" s="1"/>
  <c r="Y18" i="12"/>
  <c r="AB18" i="12" s="1"/>
  <c r="Y21" i="12" l="1"/>
  <c r="AB21" i="12" s="1"/>
  <c r="R24" i="27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AB20" i="12" s="1"/>
  <c r="Y15" i="12"/>
  <c r="AB15" i="12" s="1"/>
  <c r="Q24" i="12"/>
  <c r="R12" i="12" s="1"/>
  <c r="E5" i="21" s="1"/>
  <c r="Y26" i="12"/>
  <c r="AB26" i="12" s="1"/>
  <c r="Y16" i="12"/>
  <c r="AB16" i="12" s="1"/>
  <c r="AC12" i="12" l="1"/>
  <c r="E17" i="21" s="1"/>
  <c r="T10" i="27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J27" i="12"/>
  <c r="K27" i="12"/>
  <c r="L27" i="12"/>
  <c r="M27" i="12"/>
  <c r="AA20" i="11" l="1"/>
  <c r="AD20" i="11" s="1"/>
  <c r="AB19" i="11"/>
  <c r="AB13" i="11"/>
  <c r="AB18" i="11"/>
  <c r="AC7" i="11"/>
  <c r="AE7" i="11" s="1"/>
  <c r="AE2" i="11"/>
  <c r="AD2" i="11"/>
  <c r="N18" i="11"/>
  <c r="Q18" i="11" s="1"/>
  <c r="AD18" i="11" s="1"/>
  <c r="N24" i="11"/>
  <c r="Q24" i="11" s="1"/>
  <c r="N23" i="11"/>
  <c r="Q23" i="11" s="1"/>
  <c r="N22" i="11"/>
  <c r="P22" i="11" s="1"/>
  <c r="N21" i="11"/>
  <c r="P21" i="11" s="1"/>
  <c r="N20" i="11"/>
  <c r="R20" i="11" s="1"/>
  <c r="AC20" i="11" l="1"/>
  <c r="AA24" i="11"/>
  <c r="AA23" i="11"/>
  <c r="AA18" i="11"/>
  <c r="AA22" i="11"/>
  <c r="AA21" i="11"/>
  <c r="R21" i="11"/>
  <c r="Q21" i="11"/>
  <c r="R23" i="11"/>
  <c r="P24" i="11"/>
  <c r="P20" i="11"/>
  <c r="Q20" i="11"/>
  <c r="Q22" i="11"/>
  <c r="R22" i="11"/>
  <c r="P18" i="11"/>
  <c r="AC18" i="11" s="1"/>
  <c r="R18" i="11"/>
  <c r="AE18" i="11" s="1"/>
  <c r="AE24" i="11" l="1"/>
  <c r="AD24" i="11"/>
  <c r="AE21" i="11"/>
  <c r="AD21" i="11"/>
  <c r="AD22" i="11"/>
  <c r="AC22" i="11"/>
  <c r="AE22" i="11"/>
  <c r="AE23" i="11"/>
  <c r="AD23" i="11"/>
  <c r="A1" i="11"/>
  <c r="N19" i="11"/>
  <c r="AA19" i="11" s="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J30" i="11"/>
  <c r="K30" i="11"/>
  <c r="L30" i="11"/>
  <c r="M30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Q19" i="11"/>
  <c r="AD19" i="11" s="1"/>
  <c r="I15" i="21"/>
  <c r="I10" i="26" l="1"/>
  <c r="I10" i="27"/>
  <c r="I6" i="10"/>
  <c r="I15" i="11"/>
  <c r="F13" i="3"/>
  <c r="F22" i="3"/>
  <c r="F17" i="3"/>
  <c r="F16" i="3"/>
  <c r="F3" i="3"/>
  <c r="F18" i="3"/>
  <c r="F20" i="3"/>
  <c r="F6" i="3"/>
  <c r="I11" i="27" l="1"/>
  <c r="I11" i="13"/>
  <c r="I11" i="26"/>
  <c r="I13" i="12"/>
  <c r="I16" i="11"/>
  <c r="I7" i="10"/>
  <c r="I20" i="28" l="1"/>
  <c r="N18" i="30"/>
  <c r="I20" i="26"/>
  <c r="I20" i="27"/>
  <c r="I20" i="13"/>
  <c r="I22" i="12"/>
  <c r="I16" i="10"/>
  <c r="I25" i="11"/>
  <c r="I23" i="13"/>
  <c r="I23" i="27"/>
  <c r="I23" i="26"/>
  <c r="I25" i="12"/>
  <c r="I28" i="11"/>
  <c r="I19" i="10"/>
  <c r="B21" i="7"/>
  <c r="B19" i="7"/>
  <c r="B18" i="7"/>
  <c r="C16" i="7"/>
  <c r="C19" i="7" s="1"/>
  <c r="F21" i="3"/>
  <c r="C18" i="7" l="1"/>
  <c r="D16" i="7"/>
  <c r="C21" i="7"/>
  <c r="AD2" i="2"/>
  <c r="I2" i="2"/>
  <c r="M2" i="2"/>
  <c r="P2" i="2"/>
  <c r="U2" i="2"/>
  <c r="S2" i="2"/>
  <c r="U25" i="2"/>
  <c r="S25" i="2"/>
  <c r="T20" i="2"/>
  <c r="AI20" i="2"/>
  <c r="AT20" i="2"/>
  <c r="AU20" i="2"/>
  <c r="AV20" i="2"/>
  <c r="AW20" i="2"/>
  <c r="AX20" i="2"/>
  <c r="AY20" i="2"/>
  <c r="AZ20" i="2"/>
  <c r="BA20" i="2"/>
  <c r="BB20" i="2"/>
  <c r="BC20" i="2"/>
  <c r="BD20" i="2"/>
  <c r="AS20" i="2"/>
  <c r="V20" i="2"/>
  <c r="Q20" i="2"/>
  <c r="R20" i="2"/>
  <c r="N20" i="2"/>
  <c r="AH20" i="2"/>
  <c r="K20" i="2"/>
  <c r="L20" i="2"/>
  <c r="D19" i="7" l="1"/>
  <c r="D21" i="7"/>
  <c r="E16" i="7"/>
  <c r="D18" i="7"/>
  <c r="AE20" i="2"/>
  <c r="AF20" i="2"/>
  <c r="AG20" i="2"/>
  <c r="E19" i="7" l="1"/>
  <c r="E21" i="7"/>
  <c r="F16" i="7"/>
  <c r="E18" i="7"/>
  <c r="F7" i="3"/>
  <c r="G16" i="7" l="1"/>
  <c r="F21" i="7"/>
  <c r="F19" i="7"/>
  <c r="F18" i="7"/>
  <c r="F5" i="3"/>
  <c r="H16" i="7" l="1"/>
  <c r="G18" i="7"/>
  <c r="G19" i="7"/>
  <c r="G21" i="7"/>
  <c r="O28" i="1"/>
  <c r="F10" i="3"/>
  <c r="J10" i="3"/>
  <c r="K10" i="3"/>
  <c r="Z10" i="3"/>
  <c r="I16" i="7" l="1"/>
  <c r="H18" i="7"/>
  <c r="H21" i="7"/>
  <c r="H19" i="7"/>
  <c r="F4" i="3"/>
  <c r="J16" i="7" l="1"/>
  <c r="I21" i="7"/>
  <c r="I18" i="7"/>
  <c r="I19" i="7"/>
  <c r="A10" i="13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K16" i="7" l="1"/>
  <c r="J19" i="7"/>
  <c r="J18" i="7"/>
  <c r="J21" i="7"/>
  <c r="R7" i="11"/>
  <c r="R19" i="11" s="1"/>
  <c r="AE19" i="11" s="1"/>
  <c r="P19" i="11"/>
  <c r="AC19" i="11" s="1"/>
  <c r="J6" i="21"/>
  <c r="L16" i="7" l="1"/>
  <c r="K19" i="7"/>
  <c r="K21" i="7"/>
  <c r="K18" i="7"/>
  <c r="J8" i="21"/>
  <c r="J9" i="21"/>
  <c r="N13" i="11"/>
  <c r="AA13" i="11" s="1"/>
  <c r="M16" i="7" l="1"/>
  <c r="L19" i="7"/>
  <c r="L21" i="7"/>
  <c r="L18" i="7"/>
  <c r="N16" i="7" l="1"/>
  <c r="M19" i="7"/>
  <c r="M21" i="7"/>
  <c r="M18" i="7"/>
  <c r="I26" i="28"/>
  <c r="O16" i="7" l="1"/>
  <c r="N21" i="7"/>
  <c r="N19" i="7"/>
  <c r="N18" i="7"/>
  <c r="I26" i="27"/>
  <c r="I26" i="26"/>
  <c r="I26" i="13"/>
  <c r="I27" i="12"/>
  <c r="I22" i="10"/>
  <c r="I30" i="11"/>
  <c r="O32" i="1"/>
  <c r="O21" i="1"/>
  <c r="O9" i="1"/>
  <c r="P16" i="7" l="1"/>
  <c r="O18" i="7"/>
  <c r="O19" i="7"/>
  <c r="O21" i="7"/>
  <c r="AT10" i="2"/>
  <c r="AU10" i="2"/>
  <c r="AV10" i="2"/>
  <c r="AW10" i="2"/>
  <c r="AX10" i="2"/>
  <c r="AY10" i="2"/>
  <c r="AZ10" i="2"/>
  <c r="BA10" i="2"/>
  <c r="BB10" i="2"/>
  <c r="BC10" i="2"/>
  <c r="BD10" i="2"/>
  <c r="AI10" i="2"/>
  <c r="AT9" i="2"/>
  <c r="AU9" i="2"/>
  <c r="AV9" i="2"/>
  <c r="AW9" i="2"/>
  <c r="AX9" i="2"/>
  <c r="AY9" i="2"/>
  <c r="AZ9" i="2"/>
  <c r="BA9" i="2"/>
  <c r="BB9" i="2"/>
  <c r="BC9" i="2"/>
  <c r="BD9" i="2"/>
  <c r="AI9" i="2"/>
  <c r="T10" i="2"/>
  <c r="Q16" i="7" l="1"/>
  <c r="P18" i="7"/>
  <c r="P19" i="7"/>
  <c r="P21" i="7"/>
  <c r="AS10" i="2"/>
  <c r="V10" i="2"/>
  <c r="Q10" i="2"/>
  <c r="R10" i="2"/>
  <c r="N10" i="2"/>
  <c r="J10" i="2"/>
  <c r="E11" i="28" s="1"/>
  <c r="K10" i="2"/>
  <c r="L10" i="2"/>
  <c r="AS9" i="2"/>
  <c r="V9" i="2"/>
  <c r="T9" i="2"/>
  <c r="Q9" i="2"/>
  <c r="R9" i="2"/>
  <c r="N9" i="2"/>
  <c r="K9" i="2"/>
  <c r="L9" i="2"/>
  <c r="J9" i="2"/>
  <c r="E12" i="28" s="1"/>
  <c r="R16" i="7" l="1"/>
  <c r="Q18" i="7"/>
  <c r="Q21" i="7"/>
  <c r="Q19" i="7"/>
  <c r="E12" i="26"/>
  <c r="E12" i="27"/>
  <c r="E12" i="13"/>
  <c r="E14" i="12"/>
  <c r="E17" i="11"/>
  <c r="E8" i="10"/>
  <c r="E11" i="27"/>
  <c r="E11" i="26"/>
  <c r="E11" i="13"/>
  <c r="E13" i="12"/>
  <c r="E7" i="10"/>
  <c r="E16" i="11"/>
  <c r="AE9" i="2"/>
  <c r="AH10" i="2"/>
  <c r="AG10" i="2"/>
  <c r="AH9" i="2"/>
  <c r="AG9" i="2"/>
  <c r="AF10" i="2"/>
  <c r="AE10" i="2"/>
  <c r="AF9" i="2"/>
  <c r="S16" i="7" l="1"/>
  <c r="R21" i="7"/>
  <c r="R18" i="7"/>
  <c r="R19" i="7"/>
  <c r="O16" i="1"/>
  <c r="T16" i="7" l="1"/>
  <c r="S19" i="7"/>
  <c r="S21" i="7"/>
  <c r="S18" i="7"/>
  <c r="AI15" i="2"/>
  <c r="I3" i="17" s="1"/>
  <c r="AT15" i="2"/>
  <c r="AU15" i="2"/>
  <c r="AV15" i="2"/>
  <c r="S3" i="17" s="1"/>
  <c r="AW15" i="2"/>
  <c r="T3" i="17" s="1"/>
  <c r="AX15" i="2"/>
  <c r="AY15" i="2"/>
  <c r="AZ15" i="2"/>
  <c r="BA15" i="2"/>
  <c r="X3" i="17" s="1"/>
  <c r="BB15" i="2"/>
  <c r="Y3" i="17" s="1"/>
  <c r="BC15" i="2"/>
  <c r="Z3" i="17" s="1"/>
  <c r="BD15" i="2"/>
  <c r="AA3" i="17" s="1"/>
  <c r="T15" i="2"/>
  <c r="AS15" i="2"/>
  <c r="V15" i="2"/>
  <c r="Q15" i="2"/>
  <c r="R15" i="2"/>
  <c r="N15" i="2"/>
  <c r="J15" i="2"/>
  <c r="E16" i="28" s="1"/>
  <c r="K15" i="2"/>
  <c r="L15" i="2"/>
  <c r="A12" i="17"/>
  <c r="B12" i="17"/>
  <c r="C12" i="17"/>
  <c r="D12" i="17"/>
  <c r="F12" i="17"/>
  <c r="G12" i="17"/>
  <c r="H12" i="17"/>
  <c r="J12" i="17"/>
  <c r="K12" i="17"/>
  <c r="L12" i="17"/>
  <c r="M12" i="17"/>
  <c r="N12" i="17"/>
  <c r="O12" i="17"/>
  <c r="P12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U16" i="7" l="1"/>
  <c r="T19" i="7"/>
  <c r="T21" i="7"/>
  <c r="T18" i="7"/>
  <c r="E16" i="26"/>
  <c r="E16" i="27"/>
  <c r="E16" i="13"/>
  <c r="E18" i="12"/>
  <c r="E21" i="11"/>
  <c r="E12" i="10"/>
  <c r="AH15" i="2"/>
  <c r="AG15" i="2"/>
  <c r="AF15" i="2"/>
  <c r="AE15" i="2"/>
  <c r="AB16" i="2"/>
  <c r="AB18" i="2"/>
  <c r="AB17" i="2"/>
  <c r="AB24" i="2"/>
  <c r="AB22" i="2"/>
  <c r="AB21" i="2"/>
  <c r="L19" i="28" l="1"/>
  <c r="Q17" i="30"/>
  <c r="L21" i="28"/>
  <c r="Q19" i="30"/>
  <c r="L22" i="28"/>
  <c r="Q20" i="30"/>
  <c r="L17" i="28"/>
  <c r="Q15" i="30"/>
  <c r="L24" i="28"/>
  <c r="Q22" i="30"/>
  <c r="L18" i="28"/>
  <c r="Q16" i="30"/>
  <c r="V16" i="7"/>
  <c r="U19" i="7"/>
  <c r="U21" i="7"/>
  <c r="U18" i="7"/>
  <c r="L22" i="27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AE13" i="11" s="1"/>
  <c r="AH13" i="11" s="1"/>
  <c r="D16" i="21" s="1"/>
  <c r="Q13" i="11"/>
  <c r="AD13" i="11" s="1"/>
  <c r="AG13" i="11" s="1"/>
  <c r="C16" i="21" s="1"/>
  <c r="P13" i="11"/>
  <c r="AC13" i="11" s="1"/>
  <c r="AF13" i="11" s="1"/>
  <c r="B16" i="21" s="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E11" i="7"/>
  <c r="P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D21" i="3" s="1"/>
  <c r="Z16" i="3"/>
  <c r="K16" i="3"/>
  <c r="J16" i="3"/>
  <c r="Z20" i="3"/>
  <c r="K20" i="3"/>
  <c r="J20" i="3"/>
  <c r="Z21" i="3"/>
  <c r="K21" i="3"/>
  <c r="J21" i="3"/>
  <c r="Z5" i="3"/>
  <c r="K5" i="3"/>
  <c r="J5" i="3"/>
  <c r="Z22" i="3"/>
  <c r="K22" i="3"/>
  <c r="J22" i="3"/>
  <c r="Z6" i="3"/>
  <c r="K6" i="3"/>
  <c r="J6" i="3"/>
  <c r="Z13" i="3"/>
  <c r="K13" i="3"/>
  <c r="J13" i="3"/>
  <c r="Z3" i="3"/>
  <c r="K3" i="3"/>
  <c r="J3" i="3"/>
  <c r="Z18" i="3"/>
  <c r="K18" i="3"/>
  <c r="J18" i="3"/>
  <c r="Z9" i="3"/>
  <c r="K9" i="3"/>
  <c r="J9" i="3"/>
  <c r="F9" i="3"/>
  <c r="Z14" i="3"/>
  <c r="K14" i="3"/>
  <c r="J14" i="3"/>
  <c r="F14" i="3"/>
  <c r="Z7" i="3"/>
  <c r="K7" i="3"/>
  <c r="J7" i="3"/>
  <c r="Z15" i="3"/>
  <c r="K15" i="3"/>
  <c r="J15" i="3"/>
  <c r="F15" i="3"/>
  <c r="Z11" i="3"/>
  <c r="K11" i="3"/>
  <c r="J11" i="3"/>
  <c r="F11" i="3"/>
  <c r="Z19" i="3"/>
  <c r="K19" i="3"/>
  <c r="J19" i="3"/>
  <c r="F19" i="3"/>
  <c r="Z17" i="3"/>
  <c r="K17" i="3"/>
  <c r="J17" i="3"/>
  <c r="Z4" i="3"/>
  <c r="K4" i="3"/>
  <c r="J4" i="3"/>
  <c r="BD24" i="2"/>
  <c r="BC24" i="2"/>
  <c r="BB24" i="2"/>
  <c r="BA24" i="2"/>
  <c r="AZ24" i="2"/>
  <c r="AY24" i="2"/>
  <c r="AX24" i="2"/>
  <c r="AW24" i="2"/>
  <c r="AV24" i="2"/>
  <c r="AU24" i="2"/>
  <c r="AT24" i="2"/>
  <c r="AI24" i="2"/>
  <c r="AS24" i="2"/>
  <c r="V24" i="2"/>
  <c r="T24" i="2"/>
  <c r="R24" i="2"/>
  <c r="Q24" i="2"/>
  <c r="N24" i="2"/>
  <c r="L24" i="2"/>
  <c r="K24" i="2"/>
  <c r="J24" i="2"/>
  <c r="E24" i="28" s="1"/>
  <c r="BD23" i="2"/>
  <c r="BC23" i="2"/>
  <c r="BB23" i="2"/>
  <c r="BA23" i="2"/>
  <c r="AZ23" i="2"/>
  <c r="AY23" i="2"/>
  <c r="AX23" i="2"/>
  <c r="AW23" i="2"/>
  <c r="AV23" i="2"/>
  <c r="AU23" i="2"/>
  <c r="AT23" i="2"/>
  <c r="AI23" i="2"/>
  <c r="AS23" i="2"/>
  <c r="V23" i="2"/>
  <c r="T23" i="2"/>
  <c r="R23" i="2"/>
  <c r="Q23" i="2"/>
  <c r="N23" i="2"/>
  <c r="L23" i="2"/>
  <c r="K23" i="2"/>
  <c r="J23" i="2"/>
  <c r="E23" i="28" s="1"/>
  <c r="BD22" i="2"/>
  <c r="AA8" i="17" s="1"/>
  <c r="BC22" i="2"/>
  <c r="Z8" i="17" s="1"/>
  <c r="BB22" i="2"/>
  <c r="Y8" i="17" s="1"/>
  <c r="BA22" i="2"/>
  <c r="X8" i="17" s="1"/>
  <c r="AZ22" i="2"/>
  <c r="AY22" i="2"/>
  <c r="AX22" i="2"/>
  <c r="AW22" i="2"/>
  <c r="T8" i="17" s="1"/>
  <c r="AV22" i="2"/>
  <c r="S8" i="17" s="1"/>
  <c r="AU22" i="2"/>
  <c r="AT22" i="2"/>
  <c r="AI22" i="2"/>
  <c r="I8" i="17" s="1"/>
  <c r="AS22" i="2"/>
  <c r="V22" i="2"/>
  <c r="T22" i="2"/>
  <c r="R22" i="2"/>
  <c r="Q22" i="2"/>
  <c r="N22" i="2"/>
  <c r="L22" i="2"/>
  <c r="K22" i="2"/>
  <c r="J22" i="2"/>
  <c r="E22" i="28" s="1"/>
  <c r="BD21" i="2"/>
  <c r="AA2" i="17" s="1"/>
  <c r="BC21" i="2"/>
  <c r="Z2" i="17" s="1"/>
  <c r="BB21" i="2"/>
  <c r="Y2" i="17" s="1"/>
  <c r="BA21" i="2"/>
  <c r="X2" i="17" s="1"/>
  <c r="AZ21" i="2"/>
  <c r="AY21" i="2"/>
  <c r="AX21" i="2"/>
  <c r="AW21" i="2"/>
  <c r="T2" i="17" s="1"/>
  <c r="AV21" i="2"/>
  <c r="S2" i="17" s="1"/>
  <c r="AU21" i="2"/>
  <c r="AT21" i="2"/>
  <c r="AI21" i="2"/>
  <c r="I2" i="17" s="1"/>
  <c r="AS21" i="2"/>
  <c r="V21" i="2"/>
  <c r="T21" i="2"/>
  <c r="R21" i="2"/>
  <c r="Q21" i="2"/>
  <c r="N21" i="2"/>
  <c r="L21" i="2"/>
  <c r="K21" i="2"/>
  <c r="J21" i="2"/>
  <c r="E21" i="28" s="1"/>
  <c r="E26" i="28"/>
  <c r="BD16" i="2"/>
  <c r="BC16" i="2"/>
  <c r="BB16" i="2"/>
  <c r="BA16" i="2"/>
  <c r="AZ16" i="2"/>
  <c r="AY16" i="2"/>
  <c r="AX16" i="2"/>
  <c r="AW16" i="2"/>
  <c r="AV16" i="2"/>
  <c r="AU16" i="2"/>
  <c r="AT16" i="2"/>
  <c r="AI16" i="2"/>
  <c r="AS16" i="2"/>
  <c r="V16" i="2"/>
  <c r="T16" i="2"/>
  <c r="R16" i="2"/>
  <c r="Q16" i="2"/>
  <c r="N16" i="2"/>
  <c r="L16" i="2"/>
  <c r="K16" i="2"/>
  <c r="J16" i="2"/>
  <c r="E17" i="28" s="1"/>
  <c r="BD18" i="2"/>
  <c r="AA9" i="17" s="1"/>
  <c r="BC18" i="2"/>
  <c r="Z9" i="17" s="1"/>
  <c r="BB18" i="2"/>
  <c r="Y9" i="17" s="1"/>
  <c r="BA18" i="2"/>
  <c r="X9" i="17" s="1"/>
  <c r="AZ18" i="2"/>
  <c r="AY18" i="2"/>
  <c r="AX18" i="2"/>
  <c r="AW18" i="2"/>
  <c r="T9" i="17" s="1"/>
  <c r="AV18" i="2"/>
  <c r="S9" i="17" s="1"/>
  <c r="AU18" i="2"/>
  <c r="AT18" i="2"/>
  <c r="AI18" i="2"/>
  <c r="I9" i="17" s="1"/>
  <c r="AS18" i="2"/>
  <c r="V18" i="2"/>
  <c r="T18" i="2"/>
  <c r="R18" i="2"/>
  <c r="Q18" i="2"/>
  <c r="N18" i="2"/>
  <c r="L18" i="2"/>
  <c r="K18" i="2"/>
  <c r="J18" i="2"/>
  <c r="E19" i="28" s="1"/>
  <c r="BD17" i="2"/>
  <c r="AA6" i="17" s="1"/>
  <c r="BC17" i="2"/>
  <c r="Z6" i="17" s="1"/>
  <c r="BB17" i="2"/>
  <c r="Y6" i="17" s="1"/>
  <c r="BA17" i="2"/>
  <c r="X6" i="17" s="1"/>
  <c r="AZ17" i="2"/>
  <c r="AY17" i="2"/>
  <c r="AX17" i="2"/>
  <c r="AW17" i="2"/>
  <c r="T6" i="17" s="1"/>
  <c r="AV17" i="2"/>
  <c r="S6" i="17" s="1"/>
  <c r="AU17" i="2"/>
  <c r="AT17" i="2"/>
  <c r="AI17" i="2"/>
  <c r="I6" i="17" s="1"/>
  <c r="AS17" i="2"/>
  <c r="V17" i="2"/>
  <c r="T17" i="2"/>
  <c r="R17" i="2"/>
  <c r="Q17" i="2"/>
  <c r="N17" i="2"/>
  <c r="L17" i="2"/>
  <c r="K17" i="2"/>
  <c r="J17" i="2"/>
  <c r="E18" i="28" s="1"/>
  <c r="BD14" i="2"/>
  <c r="BC14" i="2"/>
  <c r="BB14" i="2"/>
  <c r="BA14" i="2"/>
  <c r="AZ14" i="2"/>
  <c r="AY14" i="2"/>
  <c r="AX14" i="2"/>
  <c r="AW14" i="2"/>
  <c r="AV14" i="2"/>
  <c r="AU14" i="2"/>
  <c r="AT14" i="2"/>
  <c r="AI14" i="2"/>
  <c r="AS14" i="2"/>
  <c r="AB14" i="2"/>
  <c r="V14" i="2"/>
  <c r="T14" i="2"/>
  <c r="R14" i="2"/>
  <c r="Q14" i="2"/>
  <c r="N14" i="2"/>
  <c r="L14" i="2"/>
  <c r="K14" i="2"/>
  <c r="J14" i="2"/>
  <c r="E15" i="28" s="1"/>
  <c r="E27" i="28"/>
  <c r="BD12" i="2"/>
  <c r="BC12" i="2"/>
  <c r="BB12" i="2"/>
  <c r="BA12" i="2"/>
  <c r="AZ12" i="2"/>
  <c r="AY12" i="2"/>
  <c r="AX12" i="2"/>
  <c r="AW12" i="2"/>
  <c r="AV12" i="2"/>
  <c r="AU12" i="2"/>
  <c r="AT12" i="2"/>
  <c r="AI12" i="2"/>
  <c r="AS12" i="2"/>
  <c r="V12" i="2"/>
  <c r="T12" i="2"/>
  <c r="R12" i="2"/>
  <c r="Q12" i="2"/>
  <c r="N12" i="2"/>
  <c r="L12" i="2"/>
  <c r="K12" i="2"/>
  <c r="J12" i="2"/>
  <c r="E13" i="28" s="1"/>
  <c r="BD13" i="2"/>
  <c r="BC13" i="2"/>
  <c r="BB13" i="2"/>
  <c r="BA13" i="2"/>
  <c r="AZ13" i="2"/>
  <c r="AY13" i="2"/>
  <c r="AX13" i="2"/>
  <c r="AW13" i="2"/>
  <c r="AV13" i="2"/>
  <c r="AU13" i="2"/>
  <c r="AT13" i="2"/>
  <c r="AI13" i="2"/>
  <c r="AS13" i="2"/>
  <c r="AB13" i="2"/>
  <c r="V13" i="2"/>
  <c r="T13" i="2"/>
  <c r="R13" i="2"/>
  <c r="Q13" i="2"/>
  <c r="N13" i="2"/>
  <c r="L13" i="2"/>
  <c r="K13" i="2"/>
  <c r="J13" i="2"/>
  <c r="E14" i="28" s="1"/>
  <c r="E25" i="28"/>
  <c r="BD19" i="2"/>
  <c r="BC19" i="2"/>
  <c r="BB19" i="2"/>
  <c r="BA19" i="2"/>
  <c r="AZ19" i="2"/>
  <c r="AY19" i="2"/>
  <c r="AX19" i="2"/>
  <c r="AW19" i="2"/>
  <c r="AV19" i="2"/>
  <c r="AU19" i="2"/>
  <c r="AT19" i="2"/>
  <c r="AI19" i="2"/>
  <c r="AS19" i="2"/>
  <c r="AB19" i="2"/>
  <c r="V19" i="2"/>
  <c r="T19" i="2"/>
  <c r="R19" i="2"/>
  <c r="Q19" i="2"/>
  <c r="N19" i="2"/>
  <c r="L19" i="2"/>
  <c r="K19" i="2"/>
  <c r="J19" i="2"/>
  <c r="E10" i="28" s="1"/>
  <c r="BD5" i="2"/>
  <c r="BC5" i="2"/>
  <c r="BB5" i="2"/>
  <c r="BA5" i="2"/>
  <c r="AZ5" i="2"/>
  <c r="AY5" i="2"/>
  <c r="AX5" i="2"/>
  <c r="AW5" i="2"/>
  <c r="AV5" i="2"/>
  <c r="AU5" i="2"/>
  <c r="AT5" i="2"/>
  <c r="AI5" i="2"/>
  <c r="AS5" i="2"/>
  <c r="W5" i="2"/>
  <c r="L5" i="30" s="1"/>
  <c r="V5" i="2"/>
  <c r="T5" i="2"/>
  <c r="R5" i="2"/>
  <c r="Q5" i="2"/>
  <c r="N5" i="2"/>
  <c r="L5" i="2"/>
  <c r="K5" i="2"/>
  <c r="J5" i="2"/>
  <c r="BD4" i="2"/>
  <c r="AA12" i="17" s="1"/>
  <c r="BC4" i="2"/>
  <c r="Z12" i="17" s="1"/>
  <c r="BB4" i="2"/>
  <c r="Y12" i="17" s="1"/>
  <c r="BA4" i="2"/>
  <c r="X12" i="17" s="1"/>
  <c r="AZ4" i="2"/>
  <c r="W12" i="17" s="1"/>
  <c r="AY4" i="2"/>
  <c r="V12" i="17" s="1"/>
  <c r="AX4" i="2"/>
  <c r="U12" i="17" s="1"/>
  <c r="AW4" i="2"/>
  <c r="T12" i="17" s="1"/>
  <c r="AV4" i="2"/>
  <c r="S12" i="17" s="1"/>
  <c r="AU4" i="2"/>
  <c r="R12" i="17" s="1"/>
  <c r="AT4" i="2"/>
  <c r="Q12" i="17" s="1"/>
  <c r="AI4" i="2"/>
  <c r="I12" i="17" s="1"/>
  <c r="AS4" i="2"/>
  <c r="W4" i="2"/>
  <c r="L4" i="30" s="1"/>
  <c r="V4" i="2"/>
  <c r="T4" i="2"/>
  <c r="R4" i="2"/>
  <c r="Q4" i="2"/>
  <c r="N4" i="2"/>
  <c r="L4" i="2"/>
  <c r="K4" i="2"/>
  <c r="J4" i="2"/>
  <c r="AF4" i="2" s="1"/>
  <c r="D1" i="2"/>
  <c r="O14" i="1"/>
  <c r="O33" i="1"/>
  <c r="O17" i="1"/>
  <c r="O31" i="1"/>
  <c r="O13" i="1"/>
  <c r="O12" i="1"/>
  <c r="O30" i="1"/>
  <c r="O11" i="1"/>
  <c r="O7" i="1"/>
  <c r="O8" i="1"/>
  <c r="O26" i="1"/>
  <c r="O29" i="1"/>
  <c r="O27" i="1"/>
  <c r="O25" i="1"/>
  <c r="O22" i="1"/>
  <c r="O24" i="1"/>
  <c r="O23" i="1"/>
  <c r="O18" i="1"/>
  <c r="O20" i="1"/>
  <c r="O19" i="1"/>
  <c r="O6" i="1"/>
  <c r="O15" i="1"/>
  <c r="O10" i="1"/>
  <c r="D11" i="3" l="1"/>
  <c r="D18" i="3"/>
  <c r="D16" i="3"/>
  <c r="D17" i="3"/>
  <c r="D13" i="3"/>
  <c r="D19" i="3"/>
  <c r="D15" i="3"/>
  <c r="D20" i="3"/>
  <c r="D10" i="3"/>
  <c r="D14" i="3"/>
  <c r="D9" i="3"/>
  <c r="D4" i="3"/>
  <c r="D7" i="3"/>
  <c r="D6" i="3"/>
  <c r="D3" i="3"/>
  <c r="D5" i="3"/>
  <c r="F22" i="2"/>
  <c r="E8" i="17" s="1"/>
  <c r="F21" i="2"/>
  <c r="E2" i="17" s="1"/>
  <c r="F8" i="2"/>
  <c r="E20" i="17" s="1"/>
  <c r="F19" i="2"/>
  <c r="E13" i="17" s="1"/>
  <c r="F9" i="2"/>
  <c r="E16" i="17" s="1"/>
  <c r="F16" i="2"/>
  <c r="E7" i="17" s="1"/>
  <c r="F23" i="2"/>
  <c r="E14" i="17" s="1"/>
  <c r="F18" i="2"/>
  <c r="E9" i="17" s="1"/>
  <c r="F13" i="2"/>
  <c r="E4" i="17" s="1"/>
  <c r="F10" i="2"/>
  <c r="E15" i="17" s="1"/>
  <c r="F17" i="2"/>
  <c r="E6" i="17" s="1"/>
  <c r="F7" i="2"/>
  <c r="E21" i="17" s="1"/>
  <c r="F4" i="2"/>
  <c r="F5" i="2"/>
  <c r="E19" i="17" s="1"/>
  <c r="F14" i="2"/>
  <c r="E5" i="17" s="1"/>
  <c r="F20" i="2"/>
  <c r="E17" i="17" s="1"/>
  <c r="F11" i="2"/>
  <c r="E18" i="17" s="1"/>
  <c r="F15" i="2"/>
  <c r="E3" i="17" s="1"/>
  <c r="F12" i="2"/>
  <c r="E11" i="17" s="1"/>
  <c r="F6" i="2"/>
  <c r="E22" i="17" s="1"/>
  <c r="F24" i="2"/>
  <c r="E10" i="17" s="1"/>
  <c r="D22" i="3"/>
  <c r="K22" i="28"/>
  <c r="P20" i="30"/>
  <c r="K14" i="28"/>
  <c r="P12" i="30"/>
  <c r="L10" i="28"/>
  <c r="Q6" i="30"/>
  <c r="L14" i="28"/>
  <c r="Q12" i="30"/>
  <c r="L15" i="28"/>
  <c r="Q13" i="30"/>
  <c r="K18" i="28"/>
  <c r="P16" i="30"/>
  <c r="C20" i="7"/>
  <c r="B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I10" i="7"/>
  <c r="U20" i="7"/>
  <c r="I11" i="7"/>
  <c r="W16" i="7"/>
  <c r="V18" i="7"/>
  <c r="V20" i="7"/>
  <c r="V19" i="7"/>
  <c r="V21" i="7"/>
  <c r="I16" i="21"/>
  <c r="AG5" i="2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7" i="12"/>
  <c r="E30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1" i="10"/>
  <c r="E27" i="27"/>
  <c r="E27" i="26"/>
  <c r="E27" i="13"/>
  <c r="E23" i="10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S13" i="11"/>
  <c r="B4" i="21" s="1"/>
  <c r="T13" i="11"/>
  <c r="C4" i="21" s="1"/>
  <c r="U13" i="11"/>
  <c r="D4" i="21" s="1"/>
  <c r="R2" i="2"/>
  <c r="Q2" i="2"/>
  <c r="T2" i="2"/>
  <c r="T25" i="2"/>
  <c r="I12" i="7"/>
  <c r="AH24" i="2"/>
  <c r="AG21" i="2"/>
  <c r="AG23" i="2"/>
  <c r="AG14" i="2"/>
  <c r="AG16" i="2"/>
  <c r="AG19" i="2"/>
  <c r="E12" i="12"/>
  <c r="E10" i="13"/>
  <c r="L12" i="12"/>
  <c r="L10" i="13"/>
  <c r="AG12" i="2"/>
  <c r="J8" i="7"/>
  <c r="C24" i="7"/>
  <c r="C8" i="7"/>
  <c r="C9" i="7"/>
  <c r="K8" i="7"/>
  <c r="B12" i="7"/>
  <c r="B26" i="3"/>
  <c r="AF23" i="2"/>
  <c r="AH23" i="2"/>
  <c r="AF14" i="2"/>
  <c r="AF19" i="2"/>
  <c r="AE18" i="2"/>
  <c r="AE22" i="2"/>
  <c r="AF13" i="2"/>
  <c r="AF16" i="2"/>
  <c r="AE14" i="2"/>
  <c r="AF24" i="2"/>
  <c r="AG17" i="2"/>
  <c r="AF17" i="2"/>
  <c r="V25" i="2"/>
  <c r="AH19" i="2"/>
  <c r="AG24" i="2"/>
  <c r="AH21" i="2"/>
  <c r="AE19" i="2"/>
  <c r="AH16" i="2"/>
  <c r="AG4" i="2"/>
  <c r="AH12" i="2"/>
  <c r="AE17" i="2"/>
  <c r="AE24" i="2"/>
  <c r="AF22" i="2"/>
  <c r="AF12" i="2"/>
  <c r="AF21" i="2"/>
  <c r="B24" i="7"/>
  <c r="B28" i="7" s="1"/>
  <c r="B17" i="7"/>
  <c r="L8" i="7"/>
  <c r="B13" i="7"/>
  <c r="B10" i="7" s="1"/>
  <c r="C23" i="7"/>
  <c r="AH14" i="2"/>
  <c r="B30" i="7"/>
  <c r="C30" i="7" s="1"/>
  <c r="C25" i="7"/>
  <c r="E13" i="11"/>
  <c r="E4" i="10"/>
  <c r="G13" i="11"/>
  <c r="G4" i="10"/>
  <c r="AH13" i="2"/>
  <c r="AE4" i="2"/>
  <c r="AH17" i="2"/>
  <c r="AH5" i="2"/>
  <c r="AE13" i="2"/>
  <c r="AF18" i="2"/>
  <c r="C11" i="7"/>
  <c r="AH4" i="2"/>
  <c r="AE5" i="2"/>
  <c r="AG18" i="2"/>
  <c r="AG22" i="2"/>
  <c r="AF5" i="2"/>
  <c r="AG13" i="2"/>
  <c r="AE12" i="2"/>
  <c r="AH18" i="2"/>
  <c r="AE16" i="2"/>
  <c r="AE21" i="2"/>
  <c r="AH22" i="2"/>
  <c r="AE23" i="2"/>
  <c r="P4" i="10"/>
  <c r="W4" i="10" s="1"/>
  <c r="C3" i="21" s="1"/>
  <c r="I3" i="21" s="1"/>
  <c r="Q4" i="10"/>
  <c r="X4" i="10" s="1"/>
  <c r="D3" i="21" s="1"/>
  <c r="O5" i="10"/>
  <c r="X16" i="7" l="1"/>
  <c r="W18" i="7"/>
  <c r="W20" i="7"/>
  <c r="W19" i="7"/>
  <c r="W21" i="7"/>
  <c r="C20" i="28"/>
  <c r="C14" i="11"/>
  <c r="Y14" i="11" s="1"/>
  <c r="C23" i="28"/>
  <c r="C15" i="9"/>
  <c r="D15" i="9" s="1"/>
  <c r="E15" i="9" s="1"/>
  <c r="C13" i="28"/>
  <c r="C24" i="28"/>
  <c r="C15" i="28"/>
  <c r="C12" i="28"/>
  <c r="C19" i="28"/>
  <c r="C2" i="9"/>
  <c r="D2" i="9" s="1"/>
  <c r="E2" i="9" s="1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5" i="13"/>
  <c r="C15" i="12"/>
  <c r="W15" i="12" s="1"/>
  <c r="C13" i="13"/>
  <c r="C22" i="12"/>
  <c r="W22" i="12" s="1"/>
  <c r="C20" i="13"/>
  <c r="C17" i="12"/>
  <c r="W17" i="12" s="1"/>
  <c r="C15" i="13"/>
  <c r="C29" i="13"/>
  <c r="C21" i="12"/>
  <c r="W21" i="12" s="1"/>
  <c r="C19" i="13"/>
  <c r="C27" i="13"/>
  <c r="C27" i="12"/>
  <c r="W27" i="12" s="1"/>
  <c r="C26" i="13"/>
  <c r="C28" i="11"/>
  <c r="Y28" i="11" s="1"/>
  <c r="C25" i="12"/>
  <c r="W25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16" i="10"/>
  <c r="C25" i="11"/>
  <c r="Y25" i="11" s="1"/>
  <c r="C18" i="10"/>
  <c r="C27" i="11"/>
  <c r="Y27" i="11" s="1"/>
  <c r="C9" i="10"/>
  <c r="C18" i="11"/>
  <c r="Y18" i="11" s="1"/>
  <c r="C22" i="10"/>
  <c r="C30" i="11"/>
  <c r="Y30" i="11" s="1"/>
  <c r="C21" i="10"/>
  <c r="C17" i="10"/>
  <c r="C26" i="11"/>
  <c r="Y26" i="11" s="1"/>
  <c r="C15" i="10"/>
  <c r="C24" i="11"/>
  <c r="Y24" i="11" s="1"/>
  <c r="C25" i="10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B13" i="2" s="1"/>
  <c r="C10" i="10"/>
  <c r="C12" i="9"/>
  <c r="D12" i="9" s="1"/>
  <c r="E12" i="9" s="1"/>
  <c r="C14" i="10"/>
  <c r="C20" i="10"/>
  <c r="C11" i="9"/>
  <c r="D11" i="9" s="1"/>
  <c r="E11" i="9" s="1"/>
  <c r="B23" i="2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C14" i="9"/>
  <c r="D14" i="9" s="1"/>
  <c r="E14" i="9" s="1"/>
  <c r="C9" i="9"/>
  <c r="D9" i="9" s="1"/>
  <c r="E9" i="9" s="1"/>
  <c r="C12" i="12"/>
  <c r="W12" i="12" s="1"/>
  <c r="C10" i="13"/>
  <c r="E12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C22" i="7"/>
  <c r="C17" i="7"/>
  <c r="Y16" i="7" l="1"/>
  <c r="X18" i="7"/>
  <c r="X20" i="7"/>
  <c r="X21" i="7"/>
  <c r="X19" i="7"/>
  <c r="B20" i="2"/>
  <c r="B22" i="2"/>
  <c r="B9" i="2"/>
  <c r="B18" i="2"/>
  <c r="B24" i="2"/>
  <c r="B19" i="2"/>
  <c r="B10" i="2"/>
  <c r="B12" i="2"/>
  <c r="E23" i="7"/>
  <c r="E25" i="7"/>
  <c r="D17" i="7"/>
  <c r="D22" i="7"/>
  <c r="D26" i="7" s="1"/>
  <c r="D31" i="7" s="1"/>
  <c r="B33" i="7"/>
  <c r="C32" i="7"/>
  <c r="E24" i="7"/>
  <c r="E31" i="7"/>
  <c r="F30" i="7"/>
  <c r="G30" i="7" s="1"/>
  <c r="Z16" i="7" l="1"/>
  <c r="Y18" i="7"/>
  <c r="Y20" i="7"/>
  <c r="Y19" i="7"/>
  <c r="Y21" i="7"/>
  <c r="F24" i="7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AA16" i="7" l="1"/>
  <c r="Z20" i="7"/>
  <c r="Z18" i="7"/>
  <c r="Z21" i="7"/>
  <c r="Z19" i="7"/>
  <c r="G24" i="7"/>
  <c r="G25" i="7"/>
  <c r="F22" i="7"/>
  <c r="F26" i="7" s="1"/>
  <c r="F31" i="7" s="1"/>
  <c r="F17" i="7"/>
  <c r="D33" i="7"/>
  <c r="E32" i="7"/>
  <c r="G23" i="7"/>
  <c r="J30" i="7"/>
  <c r="K30" i="7" s="1"/>
  <c r="I31" i="7"/>
  <c r="AB16" i="7" l="1"/>
  <c r="AA19" i="7"/>
  <c r="AA21" i="7"/>
  <c r="AA20" i="7"/>
  <c r="AA18" i="7"/>
  <c r="H24" i="7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AC16" i="7" l="1"/>
  <c r="AB19" i="7"/>
  <c r="AB21" i="7"/>
  <c r="AB18" i="7"/>
  <c r="AB20" i="7"/>
  <c r="I25" i="7"/>
  <c r="I23" i="7"/>
  <c r="G32" i="7"/>
  <c r="F33" i="7"/>
  <c r="H22" i="7"/>
  <c r="H26" i="7" s="1"/>
  <c r="H31" i="7" s="1"/>
  <c r="H17" i="7"/>
  <c r="I24" i="7"/>
  <c r="M31" i="7"/>
  <c r="N30" i="7"/>
  <c r="O30" i="7" s="1"/>
  <c r="AD16" i="7" l="1"/>
  <c r="AC19" i="7"/>
  <c r="AC21" i="7"/>
  <c r="AC20" i="7"/>
  <c r="AC18" i="7"/>
  <c r="J24" i="7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AD20" i="7" l="1"/>
  <c r="AD21" i="7"/>
  <c r="AD18" i="7"/>
  <c r="AD19" i="7"/>
  <c r="K24" i="7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N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<sst xmlns="http://schemas.openxmlformats.org/spreadsheetml/2006/main" count="1225" uniqueCount="417">
  <si>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</si>
  <si>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</si>
  <si>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</si>
  <si>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</si>
  <si>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</si>
  <si>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</si>
  <si>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</si>
  <si>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</si>
  <si>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</si>
  <si>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</si>
  <si>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</si>
  <si>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</si>
  <si>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</si>
  <si>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</si>
  <si>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</si>
  <si>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</si>
  <si>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</si>
  <si>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</si>
  <si>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</si>
  <si>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</si>
  <si>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</si>
  <si>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</si>
  <si>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</si>
  <si>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</si>
  <si>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</si>
  <si>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</si>
  <si>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</si>
  <si>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</si>
  <si>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</si>
  <si>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</si>
  <si>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</si>
  <si>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</si>
  <si>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</si>
  <si>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</si>
  <si>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</si>
  <si>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</si>
  <si>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</si>
  <si>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</si>
  <si>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</si>
  <si>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</si>
  <si>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</si>
  <si>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</si>
  <si>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</si>
  <si>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</si>
  <si>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</si>
  <si>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</si>
  <si>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</si>
  <si>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</si>
  <si>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</si>
  <si>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</si>
  <si>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</si>
  <si>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</si>
  <si>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</si>
  <si>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</si>
  <si>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</si>
  <si>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</si>
  <si>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</si>
  <si>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</si>
  <si>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</si>
  <si>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</si>
  <si>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</si>
  <si>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</si>
  <si>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</si>
  <si>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</si>
  <si>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</si>
  <si>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</si>
  <si>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</si>
  <si>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</si>
  <si>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</si>
  <si>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</si>
  <si>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</si>
  <si>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</si>
  <si>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JMn</t>
  </si>
  <si>
    <t>JMx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</si>
  <si>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</si>
  <si>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</si>
  <si>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</si>
  <si>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</si>
  <si>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</si>
  <si>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</si>
  <si>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</si>
  <si>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</si>
  <si>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</si>
  <si>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</si>
  <si>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</si>
  <si>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</si>
  <si>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</si>
  <si>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</si>
  <si>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</si>
  <si>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</si>
  <si>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</si>
  <si>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</si>
  <si>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</si>
  <si>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</si>
  <si>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</si>
  <si>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</si>
  <si>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</si>
  <si>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</si>
  <si>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</si>
  <si>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</si>
  <si>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</si>
  <si>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</si>
  <si>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</si>
  <si>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</si>
  <si>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</si>
  <si>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</si>
  <si>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CEN</t>
  </si>
  <si>
    <t>#2</t>
  </si>
  <si>
    <t>B. Corominola</t>
  </si>
  <si>
    <t>12/25/2019</t>
  </si>
  <si>
    <t>#9</t>
  </si>
  <si>
    <t>G. Durand</t>
  </si>
  <si>
    <t>IMP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</si>
  <si>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</si>
  <si>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</si>
  <si>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</si>
  <si>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</si>
  <si>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</si>
  <si>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</si>
  <si>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</si>
  <si>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</si>
  <si>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</si>
  <si>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#10</t>
  </si>
  <si>
    <t>#7</t>
  </si>
  <si>
    <t>A. Baldoví</t>
  </si>
  <si>
    <t>#14</t>
  </si>
  <si>
    <t>#13</t>
  </si>
  <si>
    <t>R. Abrain</t>
  </si>
  <si>
    <t>#16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</si>
  <si>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</si>
  <si>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</si>
  <si>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</si>
  <si>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</si>
  <si>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</si>
  <si>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</si>
  <si>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</si>
  <si>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</si>
  <si>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</si>
  <si>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</si>
  <si>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</si>
  <si>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</si>
  <si>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</si>
  <si>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</si>
  <si>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</si>
  <si>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</si>
  <si>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</si>
  <si>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</si>
  <si>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</si>
  <si>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</si>
  <si>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Actualización</t>
  </si>
  <si>
    <t>Capitan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</si>
  <si>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</si>
  <si>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</si>
  <si>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</si>
  <si>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</si>
  <si>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</si>
  <si>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</si>
  <si>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</si>
  <si>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</si>
  <si>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</si>
  <si>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</si>
  <si>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</si>
  <si>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</si>
  <si>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</si>
  <si>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</si>
  <si>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</si>
  <si>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</si>
  <si>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</si>
  <si>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</si>
  <si>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</si>
  <si>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</si>
  <si>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</si>
  <si>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</si>
  <si>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</si>
  <si>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</si>
  <si>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</si>
  <si>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</si>
  <si>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</si>
  <si>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</si>
  <si>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</si>
  <si>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</si>
  <si>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</si>
  <si>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</si>
  <si>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</si>
  <si>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</si>
  <si>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</si>
  <si>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</si>
  <si>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</si>
  <si>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</si>
  <si>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</si>
  <si>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</si>
  <si>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</si>
  <si>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</si>
  <si>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</si>
  <si>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</si>
  <si>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</si>
  <si>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</si>
  <si>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</si>
  <si>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</si>
  <si>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</si>
  <si>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</si>
  <si>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</si>
  <si>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</si>
  <si>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</si>
  <si>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</si>
  <si>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</si>
  <si>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</si>
  <si>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</si>
  <si>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</si>
  <si>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</si>
  <si>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</si>
  <si>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</si>
  <si>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</si>
  <si>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</si>
  <si>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</si>
  <si>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</si>
  <si>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</si>
  <si>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</si>
  <si>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</si>
  <si>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</si>
  <si>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</si>
  <si>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#12</t>
  </si>
  <si>
    <t>#8</t>
  </si>
  <si>
    <t>#4</t>
  </si>
  <si>
    <t>Alberto Retegui</t>
  </si>
  <si>
    <t>IHL</t>
  </si>
  <si>
    <t>11/23/2020</t>
  </si>
  <si>
    <t>10/31/2020</t>
  </si>
  <si>
    <t>Lois Cabistany</t>
  </si>
  <si>
    <t>Gabriel Durand</t>
  </si>
  <si>
    <t>D. Alemany</t>
  </si>
  <si>
    <t>L. Müller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</si>
  <si>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</si>
  <si>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</si>
  <si>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</si>
  <si>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</si>
  <si>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</si>
  <si>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</si>
  <si>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</si>
  <si>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</si>
  <si>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</si>
  <si>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</si>
  <si>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</si>
  <si>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B. Ramonjoan</t>
  </si>
  <si>
    <t>David Alemany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</si>
  <si>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</si>
  <si>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</si>
  <si>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</si>
  <si>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</si>
  <si>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</si>
  <si>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</si>
  <si>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</si>
  <si>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</si>
  <si>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</si>
  <si>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</si>
  <si>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</si>
  <si>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</si>
  <si>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</si>
  <si>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</si>
  <si>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#15</t>
  </si>
  <si>
    <t>#6</t>
  </si>
  <si>
    <t>#17</t>
  </si>
  <si>
    <t>Dor</t>
  </si>
  <si>
    <t>ATT LATERAL</t>
  </si>
  <si>
    <t>Grellier &gt; Escuder &gt; Velayo &gt; Teixe &gt; Candela &gt; Juliol &gt; Abrain &gt; Tarrida</t>
  </si>
  <si>
    <t>MC</t>
  </si>
  <si>
    <t>E2</t>
  </si>
  <si>
    <t xml:space="preserve">(+2) </t>
  </si>
  <si>
    <t xml:space="preserve">(+1) </t>
  </si>
  <si>
    <t>P. Molins</t>
  </si>
  <si>
    <t>Repte</t>
  </si>
  <si>
    <t>Descripció</t>
  </si>
  <si>
    <t>Entrada denegada</t>
  </si>
  <si>
    <t>Es tracta d'aconseguir un cert nombre de partits sense rebre cap gol. S'obté un major nivell com més partits s'aconsegueixin.</t>
  </si>
  <si>
    <t>Data Inici Fites</t>
  </si>
  <si>
    <t>Data Actualitzacio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</si>
  <si>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</si>
  <si>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</si>
  <si>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</si>
  <si>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</si>
  <si>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</si>
  <si>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</si>
  <si>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</si>
  <si>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</si>
  <si>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Nivell</t>
  </si>
  <si>
    <t>2-5-3</t>
  </si>
  <si>
    <t>3-5-2</t>
  </si>
  <si>
    <t>Minim</t>
  </si>
  <si>
    <t>4-5-1</t>
  </si>
  <si>
    <t>3-4-3</t>
  </si>
  <si>
    <t>#20</t>
  </si>
  <si>
    <t>D. Gurri</t>
  </si>
  <si>
    <t>X. Sorigue</t>
  </si>
  <si>
    <t>F. Onrubia Rivas</t>
  </si>
  <si>
    <t>SEMANAS</t>
  </si>
  <si>
    <t>ENTRENAMIENTO</t>
  </si>
  <si>
    <t>OBJETIVO</t>
  </si>
  <si>
    <t>JUGADAS</t>
  </si>
  <si>
    <t>Paso</t>
  </si>
  <si>
    <t>Paso1</t>
  </si>
  <si>
    <t>EntTOTAL</t>
  </si>
  <si>
    <t>EntPARCIAL</t>
  </si>
  <si>
    <t>DEL</t>
  </si>
  <si>
    <t>DL</t>
  </si>
  <si>
    <t>R</t>
  </si>
  <si>
    <t>Salario</t>
  </si>
  <si>
    <t>FechaInicio</t>
  </si>
  <si>
    <t>FechaFinal</t>
  </si>
  <si>
    <t>Alberto 'Máquina' Retegui llegue a PASES ClaseMundial</t>
  </si>
  <si>
    <t>Alberto 'Máquina' Retegui llegue a JUGADAS Mitico</t>
  </si>
  <si>
    <t>Portero: P20-D14-BP20</t>
  </si>
  <si>
    <t>Defensa Central: D17-J16.5-P9-BP10</t>
  </si>
  <si>
    <t>Defensa Lateral Cabeceador: D18-L15-P9-J9-BP10</t>
  </si>
  <si>
    <t>Defensa Lateral BPero: D17-L15-P9-J8-BP19</t>
  </si>
  <si>
    <t>Inner Mixto: D11-J18.5-P13-A6-BP10</t>
  </si>
  <si>
    <t>Inner Ofensivo: D5-J18.5-P15-A10-BP10</t>
  </si>
  <si>
    <t>Inner Defensivo Potente: D16-J18.5-P6-BP10</t>
  </si>
  <si>
    <t>Extremo Normal: D8-J17-L18-P10-A7-BP10</t>
  </si>
  <si>
    <t>Extremo BPero: D8-J17-L17-P9-A7-BP15</t>
  </si>
  <si>
    <t>Delantero Defensivo: J15-L9-P16-A14-BP10 // J15-L9-P15-A15-BP10</t>
  </si>
  <si>
    <t>Delantero Jugón: J12-L10-P13-A18-BP10 // J12-L12-P12-A18-BP10</t>
  </si>
  <si>
    <t>Delantero Normal Potente: J14-L7-P12-A18-BP10 // J14-L9-P11-A18-BP10</t>
  </si>
  <si>
    <t>A partir de aquí o bien INNER OFENSIVO o bien EXTREMO NORMAL/Bepero a ver con el DT ANDORRA ABS</t>
  </si>
  <si>
    <t>3 jugadores candidatos, Baldovi/Retegui/Balsebre</t>
  </si>
  <si>
    <t>En conclusión y a modo de visión general, al cumplir los 29 años:</t>
  </si>
  <si>
    <t>T. Joara</t>
  </si>
  <si>
    <t>Comentario</t>
  </si>
  <si>
    <t>Relleno</t>
  </si>
  <si>
    <t>Nuevos</t>
  </si>
  <si>
    <t>Antiguo</t>
  </si>
  <si>
    <t>Fecha</t>
  </si>
  <si>
    <t>Semana</t>
  </si>
  <si>
    <t>Tiempo</t>
  </si>
  <si>
    <t>Lluvia</t>
  </si>
  <si>
    <t>Soleado</t>
  </si>
  <si>
    <t>Nublado</t>
  </si>
  <si>
    <t>Rival</t>
  </si>
  <si>
    <t>Preferentes</t>
  </si>
  <si>
    <t>Tribunas</t>
  </si>
  <si>
    <t>Palcos</t>
  </si>
  <si>
    <t>Entradas Grada general</t>
  </si>
  <si>
    <t>Entradas Preferentes</t>
  </si>
  <si>
    <t>Entradas Tribunas</t>
  </si>
  <si>
    <t>Entradas Palcos</t>
  </si>
  <si>
    <t>TOTAL INGRESO</t>
  </si>
  <si>
    <t>CUM INGRESO</t>
  </si>
  <si>
    <t>Construccion Grada general</t>
  </si>
  <si>
    <t>Construccion Preferentes</t>
  </si>
  <si>
    <t>Construccion Tribunas</t>
  </si>
  <si>
    <t>Construccion Palcos</t>
  </si>
  <si>
    <t>Mantenimiento Grada general</t>
  </si>
  <si>
    <t>Mantenimiento Preferentes</t>
  </si>
  <si>
    <t>Mantenimiento Tribunas</t>
  </si>
  <si>
    <t>Mantenimiento Palcos</t>
  </si>
  <si>
    <t>TOTAL COSTE</t>
  </si>
  <si>
    <t>CUM COSTE</t>
  </si>
  <si>
    <t>Balance</t>
  </si>
  <si>
    <t>Fijo Construccion</t>
  </si>
  <si>
    <t>Occitania</t>
  </si>
  <si>
    <t>Pinkman</t>
  </si>
  <si>
    <t>Benaventurats</t>
  </si>
  <si>
    <t xml:space="preserve">Qldxcalhattrick </t>
  </si>
  <si>
    <t>InterGorditos</t>
  </si>
  <si>
    <t>Ussassai</t>
  </si>
  <si>
    <t>Howwach</t>
  </si>
  <si>
    <t>Robot</t>
  </si>
  <si>
    <t>Ovelles</t>
  </si>
  <si>
    <t>POT</t>
  </si>
  <si>
    <t>J. Saumench</t>
  </si>
  <si>
    <t>A. Aranyó</t>
  </si>
  <si>
    <t>FC Pinkman - Luke JC</t>
  </si>
  <si>
    <t>357 hts</t>
  </si>
  <si>
    <t>#19</t>
  </si>
  <si>
    <t>J. A. Ensesa</t>
  </si>
  <si>
    <t>#21</t>
  </si>
  <si>
    <t>Temporada 56</t>
  </si>
  <si>
    <t>ZeraSum</t>
  </si>
  <si>
    <t>Obtén 58 500 € por cada partido de liga jugado.</t>
  </si>
  <si>
    <t>Elmhedden</t>
  </si>
  <si>
    <t>Obtén 1 060 000 € por ascender de división.</t>
  </si>
  <si>
    <t>Obtén 47 500 € por cada partido de liga ganado.
Obtén 43 500 € por cada partido de liga ganado como visitante.</t>
  </si>
  <si>
    <t>MegaBrain</t>
  </si>
  <si>
    <t>Obtén 9 500 € por cada gol marcado en un partido de liga, con un máximo de 47 500 € por semana.
Obtén 370 000 € si acabas la temporada entre los 3 primeros de tu grupo.</t>
  </si>
  <si>
    <t>Bigfoots</t>
  </si>
  <si>
    <t>Obtén 76 500 € por cada vez que mantengas tu portería a cero en partido de liga como local.
Obtén 87 500 € por cada vez que mantengas tu portería a cero en partido de liga como visitante.</t>
  </si>
  <si>
    <t>Saldria mejor que la priemra opcion si marco 48 goles o mas</t>
  </si>
  <si>
    <t>C. Ambit</t>
  </si>
  <si>
    <t>Pep Lluis Castellar</t>
  </si>
  <si>
    <t>Lucas Muller</t>
  </si>
  <si>
    <t>Universal</t>
  </si>
  <si>
    <t>Obtén 60000 € por cada partido de liga jugado.</t>
  </si>
  <si>
    <t>Gustaf</t>
  </si>
  <si>
    <t>Obtén 131.000€ ganado en liga en casa</t>
  </si>
  <si>
    <t>Pitch</t>
  </si>
  <si>
    <t>Obtén 50500 € por cada vez que mantengas tu portería a cero en partido de liga.
Obtén 6500 € por por cada go marcado en liga con un max de 32.000 por semana.</t>
  </si>
  <si>
    <t>Eimhedenç</t>
  </si>
  <si>
    <t xml:space="preserve">
    Obtén 21 500 € por cada gol marcado en partido de liga como visitante, con un máximo de 107 500 € por semana.
    Obtén 72 000 € por cada vez que mantengas tu portería a cero en partido de liga como visitante.</t>
  </si>
  <si>
    <t xml:space="preserve">
    Obtén 94 500 € por cada vez que mantengas tu portería a cero en partido de liga como local.
    Obtén 28 000 € por cada partido de liga ganado.</t>
  </si>
  <si>
    <t>Zero</t>
  </si>
  <si>
    <t>Luke JC - Congres Athletic</t>
  </si>
  <si>
    <t>405 hts</t>
  </si>
  <si>
    <t>Pere Molins</t>
  </si>
  <si>
    <t>Praxedes Recatala</t>
  </si>
  <si>
    <t>Jesus Albet</t>
  </si>
  <si>
    <t>Dani Gurri</t>
  </si>
  <si>
    <t>#18</t>
  </si>
  <si>
    <t>B. Herwartz</t>
  </si>
  <si>
    <t>P.L. Poquet</t>
  </si>
  <si>
    <t>A. Vives</t>
  </si>
  <si>
    <t>J. Forroy</t>
  </si>
  <si>
    <t>J.Viaña</t>
  </si>
  <si>
    <t>J. M. Garriga</t>
  </si>
  <si>
    <t>T. Fiolet</t>
  </si>
  <si>
    <t>I. Chulia</t>
  </si>
  <si>
    <t>P. Bardolet</t>
  </si>
  <si>
    <t>A. Mañe</t>
  </si>
  <si>
    <t>A. Benages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</si>
</sst>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#,##0\ &quot;€&quot;;[Red]\-#,##0\ &quot;€&quot;"/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  <numFmt numFmtId="179" formatCode="_-* #,##0\ _€_-;\-* #,##0\ _€_-;_-* &quot;-&quot;??\ _€_-;_-@_-"/>
    <numFmt numFmtId="180" formatCode="_-* #,##0\ &quot;€&quot;_-;\-* #,##0\ &quot;€&quot;_-;_-* &quot;-&quot;??\ &quot;€&quot;_-;_-@_-"/>
  </numFmts>
  <fonts count="47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b/>
      <sz val="12"/>
      <color rgb="FFFFFFFF"/>
      <name val="Verdana"/>
      <family val="2"/>
    </font>
    <font>
      <b/>
      <sz val="12"/>
      <name val="Calibri"/>
      <family val="2"/>
    </font>
    <font>
      <sz val="8"/>
      <color rgb="FFFF0000"/>
      <name val="Verdana"/>
      <family val="2"/>
    </font>
    <font>
      <b/>
      <sz val="9"/>
      <color rgb="FFFFFFFF"/>
      <name val="Verdana"/>
      <family val="2"/>
    </font>
    <font>
      <b/>
      <sz val="9"/>
      <color rgb="FF000000"/>
      <name val="Verdana"/>
      <family val="2"/>
    </font>
    <font>
      <b/>
      <sz val="14"/>
      <name val="Calibri"/>
      <family val="2"/>
    </font>
    <font>
      <b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7" fillId="0" borderId="0" applyBorder="0" applyProtection="0"/>
    <xf numFmtId="164" fontId="1" fillId="0" borderId="0" applyBorder="0" applyAlignment="0" applyProtection="0"/>
    <xf numFmtId="173" fontId="27" fillId="0" borderId="0" applyBorder="0" applyProtection="0"/>
    <xf numFmtId="42" fontId="1" fillId="0" borderId="0" applyBorder="0" applyAlignment="0" applyProtection="0"/>
    <xf numFmtId="166" fontId="27" fillId="0" borderId="0" applyBorder="0" applyProtection="0"/>
    <xf numFmtId="0" fontId="27" fillId="0" borderId="0"/>
  </cellStyleXfs>
  <cellXfs count="405">
    <xf numFmtId="0" fontId="0" fillId="0" borderId="0" xfId="0"/>
    <xf numFmtId="0" fontId="2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0" fontId="10" fillId="5" borderId="5" xfId="1" applyNumberFormat="1" applyFont="1" applyFill="1" applyBorder="1" applyAlignment="1">
      <alignment horizontal="lef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6" fillId="15" borderId="15" xfId="6" applyFont="1" applyFill="1" applyBorder="1" applyAlignment="1">
      <alignment horizontal="center"/>
    </xf>
    <xf numFmtId="0" fontId="17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1" fontId="27" fillId="0" borderId="0" xfId="6" applyNumberFormat="1"/>
    <xf numFmtId="1" fontId="18" fillId="0" borderId="0" xfId="6" applyNumberFormat="1" applyFont="1" applyAlignment="1">
      <alignment horizontal="right"/>
    </xf>
    <xf numFmtId="172" fontId="27" fillId="0" borderId="20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7" fillId="0" borderId="0" xfId="6" applyNumberFormat="1" applyAlignment="1">
      <alignment horizontal="center"/>
    </xf>
    <xf numFmtId="0" fontId="27" fillId="0" borderId="21" xfId="6" applyBorder="1" applyAlignment="1">
      <alignment horizontal="center"/>
    </xf>
    <xf numFmtId="0" fontId="15" fillId="0" borderId="20" xfId="6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7" fillId="0" borderId="25" xfId="6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2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7" fillId="0" borderId="24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0" fillId="0" borderId="0" xfId="6" applyFont="1" applyAlignment="1">
      <alignment horizontal="center"/>
    </xf>
    <xf numFmtId="0" fontId="2" fillId="0" borderId="4" xfId="6" applyFont="1" applyBorder="1"/>
    <xf numFmtId="0" fontId="22" fillId="0" borderId="0" xfId="6" applyFont="1" applyAlignment="1">
      <alignment horizontal="center"/>
    </xf>
    <xf numFmtId="165" fontId="2" fillId="0" borderId="4" xfId="6" applyNumberFormat="1" applyFont="1" applyBorder="1"/>
    <xf numFmtId="165" fontId="27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165" fontId="0" fillId="0" borderId="0" xfId="0" applyNumberFormat="1" applyAlignment="1">
      <alignment horizontal="center"/>
    </xf>
    <xf numFmtId="167" fontId="27" fillId="0" borderId="0" xfId="5" applyNumberFormat="1"/>
    <xf numFmtId="0" fontId="0" fillId="0" borderId="0" xfId="0" applyAlignment="1">
      <alignment wrapText="1"/>
    </xf>
    <xf numFmtId="0" fontId="24" fillId="21" borderId="38" xfId="0" applyFont="1" applyFill="1" applyBorder="1" applyAlignment="1">
      <alignment horizontal="center" wrapText="1"/>
    </xf>
    <xf numFmtId="0" fontId="0" fillId="20" borderId="35" xfId="0" applyFill="1" applyBorder="1"/>
    <xf numFmtId="0" fontId="25" fillId="22" borderId="39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0" xfId="0" applyBorder="1" applyAlignment="1">
      <alignment wrapText="1"/>
    </xf>
    <xf numFmtId="1" fontId="0" fillId="0" borderId="36" xfId="0" applyNumberFormat="1" applyBorder="1"/>
    <xf numFmtId="0" fontId="0" fillId="0" borderId="40" xfId="0" applyBorder="1"/>
    <xf numFmtId="0" fontId="26" fillId="23" borderId="41" xfId="0" applyFont="1" applyFill="1" applyBorder="1" applyAlignment="1">
      <alignment horizontal="center" wrapText="1"/>
    </xf>
    <xf numFmtId="0" fontId="25" fillId="23" borderId="41" xfId="0" applyFont="1" applyFill="1" applyBorder="1" applyAlignment="1">
      <alignment horizontal="center" wrapText="1"/>
    </xf>
    <xf numFmtId="1" fontId="0" fillId="24" borderId="42" xfId="0" applyNumberFormat="1" applyFill="1" applyBorder="1"/>
    <xf numFmtId="0" fontId="26" fillId="0" borderId="37" xfId="0" applyFont="1" applyBorder="1" applyAlignment="1">
      <alignment horizontal="center" wrapText="1"/>
    </xf>
    <xf numFmtId="174" fontId="27" fillId="0" borderId="4" xfId="3" applyNumberFormat="1" applyBorder="1"/>
    <xf numFmtId="0" fontId="26" fillId="0" borderId="4" xfId="0" applyFont="1" applyBorder="1" applyAlignment="1">
      <alignment horizontal="center" wrapText="1"/>
    </xf>
    <xf numFmtId="174" fontId="27" fillId="0" borderId="40" xfId="3" applyNumberFormat="1" applyBorder="1"/>
    <xf numFmtId="1" fontId="0" fillId="25" borderId="43" xfId="0" applyNumberFormat="1" applyFill="1" applyBorder="1"/>
    <xf numFmtId="0" fontId="26" fillId="26" borderId="44" xfId="0" applyFont="1" applyFill="1" applyBorder="1" applyAlignment="1">
      <alignment horizontal="center" wrapText="1"/>
    </xf>
    <xf numFmtId="0" fontId="26" fillId="27" borderId="45" xfId="0" applyFont="1" applyFill="1" applyBorder="1" applyAlignment="1">
      <alignment horizontal="center" wrapText="1"/>
    </xf>
    <xf numFmtId="1" fontId="0" fillId="28" borderId="46" xfId="0" applyNumberFormat="1" applyFill="1" applyBorder="1"/>
    <xf numFmtId="167" fontId="27" fillId="29" borderId="47" xfId="5" applyNumberFormat="1" applyFill="1" applyBorder="1"/>
    <xf numFmtId="167" fontId="27" fillId="30" borderId="48" xfId="5" applyNumberFormat="1" applyFill="1" applyBorder="1"/>
    <xf numFmtId="1" fontId="0" fillId="0" borderId="0" xfId="0" applyNumberFormat="1"/>
    <xf numFmtId="167" fontId="27" fillId="31" borderId="49" xfId="5" applyNumberFormat="1" applyFill="1" applyBorder="1"/>
    <xf numFmtId="175" fontId="0" fillId="31" borderId="49" xfId="0" applyNumberFormat="1" applyFill="1" applyBorder="1" applyAlignment="1">
      <alignment wrapText="1"/>
    </xf>
    <xf numFmtId="175" fontId="0" fillId="31" borderId="49" xfId="0" applyNumberFormat="1" applyFill="1" applyBorder="1"/>
    <xf numFmtId="0" fontId="9" fillId="32" borderId="50" xfId="0" applyFont="1" applyFill="1" applyBorder="1" applyAlignment="1">
      <alignment horizontal="right"/>
    </xf>
    <xf numFmtId="175" fontId="2" fillId="33" borderId="51" xfId="0" applyNumberFormat="1" applyFont="1" applyFill="1" applyBorder="1"/>
    <xf numFmtId="0" fontId="2" fillId="34" borderId="52" xfId="0" applyFont="1" applyFill="1" applyBorder="1" applyAlignment="1">
      <alignment horizontal="center"/>
    </xf>
    <xf numFmtId="0" fontId="0" fillId="35" borderId="53" xfId="0" applyFill="1" applyBorder="1"/>
    <xf numFmtId="1" fontId="0" fillId="35" borderId="53" xfId="0" applyNumberFormat="1" applyFill="1" applyBorder="1"/>
    <xf numFmtId="0" fontId="0" fillId="32" borderId="50" xfId="0" applyFill="1" applyBorder="1" applyAlignment="1">
      <alignment horizontal="right"/>
    </xf>
    <xf numFmtId="1" fontId="0" fillId="32" borderId="50" xfId="0" applyNumberFormat="1" applyFill="1" applyBorder="1"/>
    <xf numFmtId="0" fontId="0" fillId="36" borderId="54" xfId="0" applyFill="1" applyBorder="1" applyAlignment="1">
      <alignment horizontal="right" wrapText="1"/>
    </xf>
    <xf numFmtId="176" fontId="0" fillId="36" borderId="54" xfId="0" applyNumberFormat="1" applyFill="1" applyBorder="1"/>
    <xf numFmtId="0" fontId="0" fillId="37" borderId="55" xfId="0" applyFill="1" applyBorder="1" applyAlignment="1">
      <alignment horizontal="right" wrapText="1"/>
    </xf>
    <xf numFmtId="176" fontId="0" fillId="37" borderId="55" xfId="0" applyNumberFormat="1" applyFill="1" applyBorder="1"/>
    <xf numFmtId="0" fontId="5" fillId="35" borderId="53" xfId="0" applyFont="1" applyFill="1" applyBorder="1" applyAlignment="1">
      <alignment horizontal="right" wrapText="1"/>
    </xf>
    <xf numFmtId="176" fontId="23" fillId="35" borderId="53" xfId="0" applyNumberFormat="1" applyFont="1" applyFill="1" applyBorder="1"/>
    <xf numFmtId="0" fontId="23" fillId="35" borderId="53" xfId="0" applyFont="1" applyFill="1" applyBorder="1" applyAlignment="1">
      <alignment horizontal="right" wrapText="1"/>
    </xf>
    <xf numFmtId="0" fontId="7" fillId="38" borderId="56" xfId="0" applyFont="1" applyFill="1" applyBorder="1" applyAlignment="1">
      <alignment horizontal="right" vertical="center"/>
    </xf>
    <xf numFmtId="0" fontId="7" fillId="38" borderId="56" xfId="0" applyFont="1" applyFill="1" applyBorder="1" applyAlignment="1">
      <alignment horizontal="center" vertical="center"/>
    </xf>
    <xf numFmtId="0" fontId="7" fillId="39" borderId="57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8" xfId="0" applyFill="1" applyBorder="1"/>
    <xf numFmtId="0" fontId="0" fillId="40" borderId="58" xfId="0" applyFill="1" applyBorder="1" applyAlignment="1">
      <alignment horizontal="center"/>
    </xf>
    <xf numFmtId="165" fontId="0" fillId="40" borderId="58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2" xfId="0" applyFill="1" applyBorder="1"/>
    <xf numFmtId="165" fontId="0" fillId="43" borderId="62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1" xfId="0" applyFont="1" applyFill="1" applyBorder="1" applyAlignment="1">
      <alignment horizontal="left" vertical="center"/>
    </xf>
    <xf numFmtId="1" fontId="10" fillId="13" borderId="61" xfId="0" applyNumberFormat="1" applyFont="1" applyFill="1" applyBorder="1" applyAlignment="1">
      <alignment horizontal="left" vertical="center"/>
    </xf>
    <xf numFmtId="0" fontId="10" fillId="5" borderId="61" xfId="0" applyFont="1" applyFill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168" fontId="10" fillId="5" borderId="61" xfId="0" applyNumberFormat="1" applyFont="1" applyFill="1" applyBorder="1" applyAlignment="1">
      <alignment horizontal="left" vertical="center"/>
    </xf>
    <xf numFmtId="2" fontId="10" fillId="5" borderId="61" xfId="0" applyNumberFormat="1" applyFont="1" applyFill="1" applyBorder="1" applyAlignment="1">
      <alignment horizontal="left" vertical="center"/>
    </xf>
    <xf numFmtId="1" fontId="10" fillId="14" borderId="61" xfId="0" applyNumberFormat="1" applyFont="1" applyFill="1" applyBorder="1" applyAlignment="1">
      <alignment horizontal="left" vertical="center"/>
    </xf>
    <xf numFmtId="1" fontId="10" fillId="5" borderId="61" xfId="0" applyNumberFormat="1" applyFont="1" applyFill="1" applyBorder="1" applyAlignment="1">
      <alignment horizontal="center" vertical="center"/>
    </xf>
    <xf numFmtId="2" fontId="10" fillId="5" borderId="61" xfId="0" applyNumberFormat="1" applyFont="1" applyFill="1" applyBorder="1" applyAlignment="1">
      <alignment horizontal="center" vertical="center"/>
    </xf>
    <xf numFmtId="166" fontId="10" fillId="5" borderId="61" xfId="5" applyFont="1" applyFill="1" applyBorder="1" applyAlignment="1">
      <alignment horizontal="center" vertical="center"/>
    </xf>
    <xf numFmtId="170" fontId="10" fillId="5" borderId="61" xfId="1" applyNumberFormat="1" applyFont="1" applyFill="1" applyBorder="1" applyAlignment="1">
      <alignment horizontal="right" vertical="center"/>
    </xf>
    <xf numFmtId="170" fontId="10" fillId="5" borderId="61" xfId="1" applyNumberFormat="1" applyFont="1" applyFill="1" applyBorder="1" applyAlignment="1">
      <alignment horizontal="left" vertical="center"/>
    </xf>
    <xf numFmtId="171" fontId="10" fillId="5" borderId="61" xfId="1" applyNumberFormat="1" applyFont="1" applyFill="1" applyBorder="1" applyAlignment="1">
      <alignment horizontal="right" vertical="center"/>
    </xf>
    <xf numFmtId="170" fontId="6" fillId="5" borderId="61" xfId="1" applyNumberFormat="1" applyFont="1" applyFill="1" applyBorder="1" applyAlignment="1">
      <alignment horizontal="right" vertical="center"/>
    </xf>
    <xf numFmtId="171" fontId="6" fillId="5" borderId="61" xfId="5" applyNumberFormat="1" applyFont="1" applyFill="1" applyBorder="1" applyAlignment="1">
      <alignment horizontal="center" vertical="center"/>
    </xf>
    <xf numFmtId="171" fontId="10" fillId="5" borderId="61" xfId="1" applyNumberFormat="1" applyFont="1" applyFill="1" applyBorder="1" applyAlignment="1">
      <alignment horizontal="center" vertical="center"/>
    </xf>
    <xf numFmtId="165" fontId="10" fillId="5" borderId="61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/>
    </xf>
    <xf numFmtId="2" fontId="30" fillId="0" borderId="23" xfId="6" applyNumberFormat="1" applyFont="1" applyBorder="1" applyAlignment="1">
      <alignment horizontal="center"/>
    </xf>
    <xf numFmtId="2" fontId="30" fillId="0" borderId="24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7" borderId="2" xfId="0" applyFill="1" applyBorder="1" applyAlignment="1">
      <alignment horizontal="center"/>
    </xf>
    <xf numFmtId="0" fontId="0" fillId="47" borderId="2" xfId="0" applyFill="1" applyBorder="1"/>
    <xf numFmtId="165" fontId="0" fillId="47" borderId="2" xfId="0" applyNumberFormat="1" applyFill="1" applyBorder="1"/>
    <xf numFmtId="170" fontId="32" fillId="5" borderId="5" xfId="1" applyNumberFormat="1" applyFont="1" applyFill="1" applyBorder="1" applyAlignment="1">
      <alignment horizontal="right" vertical="center"/>
    </xf>
    <xf numFmtId="0" fontId="2" fillId="0" borderId="61" xfId="0" applyFont="1" applyBorder="1" applyAlignment="1">
      <alignment horizontal="center"/>
    </xf>
    <xf numFmtId="0" fontId="10" fillId="0" borderId="61" xfId="0" applyFont="1" applyBorder="1" applyAlignment="1">
      <alignment horizontal="center" vertical="center"/>
    </xf>
    <xf numFmtId="0" fontId="0" fillId="47" borderId="2" xfId="0" applyFont="1" applyFill="1" applyBorder="1" applyAlignment="1">
      <alignment horizontal="center"/>
    </xf>
    <xf numFmtId="0" fontId="0" fillId="47" borderId="2" xfId="0" applyFont="1" applyFill="1" applyBorder="1"/>
    <xf numFmtId="0" fontId="0" fillId="3" borderId="65" xfId="0" applyFill="1" applyBorder="1" applyAlignment="1">
      <alignment horizontal="center"/>
    </xf>
    <xf numFmtId="0" fontId="0" fillId="3" borderId="65" xfId="0" applyFill="1" applyBorder="1"/>
    <xf numFmtId="165" fontId="0" fillId="3" borderId="65" xfId="0" applyNumberFormat="1" applyFill="1" applyBorder="1"/>
    <xf numFmtId="0" fontId="0" fillId="47" borderId="65" xfId="0" applyFill="1" applyBorder="1" applyAlignment="1">
      <alignment horizontal="center"/>
    </xf>
    <xf numFmtId="2" fontId="30" fillId="0" borderId="28" xfId="6" applyNumberFormat="1" applyFont="1" applyBorder="1" applyAlignment="1">
      <alignment horizontal="center"/>
    </xf>
    <xf numFmtId="0" fontId="2" fillId="47" borderId="2" xfId="0" applyFont="1" applyFill="1" applyBorder="1"/>
    <xf numFmtId="2" fontId="2" fillId="47" borderId="3" xfId="0" applyNumberFormat="1" applyFont="1" applyFill="1" applyBorder="1"/>
    <xf numFmtId="168" fontId="32" fillId="5" borderId="5" xfId="0" applyNumberFormat="1" applyFont="1" applyFill="1" applyBorder="1" applyAlignment="1">
      <alignment horizontal="center" vertical="center"/>
    </xf>
    <xf numFmtId="168" fontId="32" fillId="5" borderId="6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3" fillId="48" borderId="11" xfId="0" applyFont="1" applyFill="1" applyBorder="1" applyAlignment="1">
      <alignment horizontal="center" vertical="center"/>
    </xf>
    <xf numFmtId="170" fontId="32" fillId="5" borderId="61" xfId="1" applyNumberFormat="1" applyFont="1" applyFill="1" applyBorder="1" applyAlignment="1">
      <alignment horizontal="right" vertical="center"/>
    </xf>
    <xf numFmtId="2" fontId="30" fillId="0" borderId="22" xfId="6" applyNumberFormat="1" applyFont="1" applyBorder="1" applyAlignment="1">
      <alignment horizontal="center"/>
    </xf>
    <xf numFmtId="2" fontId="30" fillId="0" borderId="26" xfId="6" applyNumberFormat="1" applyFont="1" applyBorder="1" applyAlignment="1">
      <alignment horizontal="center"/>
    </xf>
    <xf numFmtId="2" fontId="30" fillId="0" borderId="27" xfId="6" applyNumberFormat="1" applyFont="1" applyBorder="1" applyAlignment="1">
      <alignment horizontal="center"/>
    </xf>
    <xf numFmtId="2" fontId="34" fillId="0" borderId="22" xfId="6" applyNumberFormat="1" applyFont="1" applyBorder="1" applyAlignment="1">
      <alignment horizontal="center"/>
    </xf>
    <xf numFmtId="2" fontId="34" fillId="0" borderId="23" xfId="6" applyNumberFormat="1" applyFont="1" applyBorder="1" applyAlignment="1">
      <alignment horizontal="center"/>
    </xf>
    <xf numFmtId="2" fontId="34" fillId="0" borderId="24" xfId="6" applyNumberFormat="1" applyFont="1" applyBorder="1" applyAlignment="1">
      <alignment horizontal="center"/>
    </xf>
    <xf numFmtId="172" fontId="27" fillId="0" borderId="20" xfId="6" applyNumberFormat="1" applyFont="1" applyBorder="1" applyAlignment="1">
      <alignment horizontal="center"/>
    </xf>
    <xf numFmtId="0" fontId="0" fillId="3" borderId="65" xfId="0" applyFont="1" applyFill="1" applyBorder="1" applyAlignment="1">
      <alignment horizontal="center"/>
    </xf>
    <xf numFmtId="0" fontId="0" fillId="3" borderId="65" xfId="0" applyFont="1" applyFill="1" applyBorder="1"/>
    <xf numFmtId="165" fontId="0" fillId="3" borderId="65" xfId="0" applyNumberFormat="1" applyFont="1" applyFill="1" applyBorder="1"/>
    <xf numFmtId="165" fontId="0" fillId="47" borderId="2" xfId="0" applyNumberFormat="1" applyFont="1" applyFill="1" applyBorder="1"/>
    <xf numFmtId="0" fontId="0" fillId="40" borderId="58" xfId="0" applyFont="1" applyFill="1" applyBorder="1" applyAlignment="1">
      <alignment horizontal="center"/>
    </xf>
    <xf numFmtId="0" fontId="0" fillId="40" borderId="58" xfId="0" applyFont="1" applyFill="1" applyBorder="1"/>
    <xf numFmtId="165" fontId="0" fillId="40" borderId="58" xfId="0" applyNumberFormat="1" applyFont="1" applyFill="1" applyBorder="1"/>
    <xf numFmtId="2" fontId="0" fillId="47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8" xfId="0" applyNumberFormat="1" applyFont="1" applyFill="1" applyBorder="1"/>
    <xf numFmtId="2" fontId="0" fillId="43" borderId="62" xfId="0" applyNumberFormat="1" applyFont="1" applyFill="1" applyBorder="1"/>
    <xf numFmtId="0" fontId="0" fillId="43" borderId="62" xfId="0" applyFont="1" applyFill="1" applyBorder="1"/>
    <xf numFmtId="165" fontId="0" fillId="43" borderId="62" xfId="0" applyNumberFormat="1" applyFont="1" applyFill="1" applyBorder="1"/>
    <xf numFmtId="2" fontId="0" fillId="0" borderId="0" xfId="0" applyNumberFormat="1" applyFont="1"/>
    <xf numFmtId="0" fontId="0" fillId="45" borderId="64" xfId="0" applyFont="1" applyFill="1" applyBorder="1" applyAlignment="1">
      <alignment horizontal="center"/>
    </xf>
    <xf numFmtId="165" fontId="0" fillId="44" borderId="63" xfId="0" applyNumberFormat="1" applyFont="1" applyFill="1" applyBorder="1"/>
    <xf numFmtId="0" fontId="0" fillId="0" borderId="63" xfId="0" applyFont="1" applyFill="1" applyBorder="1"/>
    <xf numFmtId="0" fontId="6" fillId="0" borderId="61" xfId="0" applyFont="1" applyBorder="1" applyAlignment="1">
      <alignment horizontal="center" vertical="center"/>
    </xf>
    <xf numFmtId="14" fontId="0" fillId="0" borderId="0" xfId="0" applyNumberFormat="1"/>
    <xf numFmtId="0" fontId="0" fillId="50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8" xfId="0" applyFill="1" applyBorder="1"/>
    <xf numFmtId="171" fontId="35" fillId="5" borderId="5" xfId="1" applyNumberFormat="1" applyFont="1" applyFill="1" applyBorder="1" applyAlignment="1">
      <alignment horizontal="right" vertical="center"/>
    </xf>
    <xf numFmtId="171" fontId="35" fillId="5" borderId="61" xfId="1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center"/>
    </xf>
    <xf numFmtId="0" fontId="2" fillId="49" borderId="0" xfId="0" applyFont="1" applyFill="1"/>
    <xf numFmtId="0" fontId="0" fillId="49" borderId="0" xfId="0" applyFill="1" applyAlignment="1">
      <alignment horizontal="center"/>
    </xf>
    <xf numFmtId="0" fontId="2" fillId="46" borderId="0" xfId="0" applyFont="1" applyFill="1"/>
    <xf numFmtId="0" fontId="2" fillId="50" borderId="0" xfId="0" applyFont="1" applyFill="1"/>
    <xf numFmtId="0" fontId="2" fillId="51" borderId="0" xfId="0" applyFont="1" applyFill="1"/>
    <xf numFmtId="0" fontId="0" fillId="51" borderId="0" xfId="0" applyFill="1" applyAlignment="1">
      <alignment horizontal="center"/>
    </xf>
    <xf numFmtId="0" fontId="0" fillId="52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5" xfId="0" applyFont="1" applyFill="1" applyBorder="1" applyAlignment="1">
      <alignment horizontal="center" vertical="center"/>
    </xf>
    <xf numFmtId="166" fontId="27" fillId="0" borderId="0" xfId="5"/>
    <xf numFmtId="0" fontId="2" fillId="3" borderId="65" xfId="0" applyFont="1" applyFill="1" applyBorder="1" applyAlignment="1">
      <alignment horizontal="center"/>
    </xf>
    <xf numFmtId="0" fontId="2" fillId="3" borderId="65" xfId="0" applyFont="1" applyFill="1" applyBorder="1"/>
    <xf numFmtId="0" fontId="2" fillId="0" borderId="2" xfId="0" applyFont="1" applyFill="1" applyBorder="1"/>
    <xf numFmtId="165" fontId="2" fillId="3" borderId="65" xfId="0" applyNumberFormat="1" applyFont="1" applyFill="1" applyBorder="1"/>
    <xf numFmtId="0" fontId="0" fillId="53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36" fillId="0" borderId="0" xfId="0" applyFont="1"/>
    <xf numFmtId="0" fontId="38" fillId="46" borderId="61" xfId="6" applyFont="1" applyFill="1" applyBorder="1" applyAlignment="1">
      <alignment horizontal="right"/>
    </xf>
    <xf numFmtId="0" fontId="2" fillId="46" borderId="61" xfId="6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8" borderId="61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15" fillId="0" borderId="67" xfId="0" applyFont="1" applyBorder="1" applyAlignment="1">
      <alignment horizontal="center"/>
    </xf>
    <xf numFmtId="177" fontId="15" fillId="0" borderId="67" xfId="0" applyNumberFormat="1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36" fillId="0" borderId="69" xfId="0" applyFont="1" applyBorder="1"/>
    <xf numFmtId="177" fontId="15" fillId="0" borderId="69" xfId="0" applyNumberFormat="1" applyFont="1" applyBorder="1"/>
    <xf numFmtId="177" fontId="15" fillId="0" borderId="70" xfId="0" applyNumberFormat="1" applyFont="1" applyBorder="1"/>
    <xf numFmtId="177" fontId="15" fillId="0" borderId="67" xfId="0" applyNumberFormat="1" applyFont="1" applyBorder="1"/>
    <xf numFmtId="0" fontId="2" fillId="0" borderId="71" xfId="0" applyFont="1" applyBorder="1" applyAlignment="1">
      <alignment horizontal="center"/>
    </xf>
    <xf numFmtId="0" fontId="7" fillId="11" borderId="72" xfId="0" applyFont="1" applyFill="1" applyBorder="1" applyAlignment="1">
      <alignment horizontal="center" vertical="center"/>
    </xf>
    <xf numFmtId="0" fontId="37" fillId="48" borderId="66" xfId="0" applyFont="1" applyFill="1" applyBorder="1" applyAlignment="1">
      <alignment horizontal="center" vertical="center"/>
    </xf>
    <xf numFmtId="0" fontId="37" fillId="48" borderId="73" xfId="0" applyFont="1" applyFill="1" applyBorder="1" applyAlignment="1">
      <alignment horizontal="center" vertical="center"/>
    </xf>
    <xf numFmtId="0" fontId="7" fillId="11" borderId="73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9" xfId="0" applyBorder="1"/>
    <xf numFmtId="177" fontId="0" fillId="0" borderId="65" xfId="0" applyNumberFormat="1" applyBorder="1"/>
    <xf numFmtId="177" fontId="0" fillId="0" borderId="69" xfId="0" applyNumberFormat="1" applyBorder="1"/>
    <xf numFmtId="177" fontId="0" fillId="0" borderId="74" xfId="0" applyNumberFormat="1" applyBorder="1"/>
    <xf numFmtId="177" fontId="0" fillId="0" borderId="70" xfId="0" applyNumberFormat="1" applyBorder="1"/>
    <xf numFmtId="0" fontId="15" fillId="0" borderId="69" xfId="0" applyFont="1" applyBorder="1" applyAlignment="1">
      <alignment horizontal="center"/>
    </xf>
    <xf numFmtId="177" fontId="15" fillId="0" borderId="69" xfId="0" applyNumberFormat="1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6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39" fillId="0" borderId="0" xfId="0" quotePrefix="1" applyFont="1" applyAlignment="1">
      <alignment horizontal="center"/>
    </xf>
    <xf numFmtId="0" fontId="40" fillId="39" borderId="57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7" fillId="6" borderId="36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right" vertical="center"/>
    </xf>
    <xf numFmtId="0" fontId="0" fillId="46" borderId="65" xfId="0" applyFill="1" applyBorder="1"/>
    <xf numFmtId="0" fontId="27" fillId="46" borderId="65" xfId="6" applyFont="1" applyFill="1" applyBorder="1" applyAlignment="1">
      <alignment horizontal="left"/>
    </xf>
    <xf numFmtId="0" fontId="30" fillId="46" borderId="65" xfId="6" applyFont="1" applyFill="1" applyBorder="1" applyAlignment="1">
      <alignment horizontal="left"/>
    </xf>
    <xf numFmtId="0" fontId="7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30" fillId="54" borderId="19" xfId="6" applyFont="1" applyFill="1" applyBorder="1" applyAlignment="1">
      <alignment horizontal="right"/>
    </xf>
    <xf numFmtId="2" fontId="38" fillId="0" borderId="28" xfId="6" applyNumberFormat="1" applyFont="1" applyBorder="1" applyAlignment="1">
      <alignment horizontal="center"/>
    </xf>
    <xf numFmtId="2" fontId="38" fillId="0" borderId="23" xfId="6" applyNumberFormat="1" applyFont="1" applyBorder="1" applyAlignment="1">
      <alignment horizontal="center"/>
    </xf>
    <xf numFmtId="2" fontId="38" fillId="0" borderId="24" xfId="6" applyNumberFormat="1" applyFont="1" applyBorder="1" applyAlignment="1">
      <alignment horizontal="center"/>
    </xf>
    <xf numFmtId="2" fontId="38" fillId="0" borderId="22" xfId="6" applyNumberFormat="1" applyFont="1" applyBorder="1" applyAlignment="1">
      <alignment horizontal="center"/>
    </xf>
    <xf numFmtId="2" fontId="41" fillId="0" borderId="24" xfId="6" applyNumberFormat="1" applyFont="1" applyBorder="1" applyAlignment="1">
      <alignment horizontal="center"/>
    </xf>
    <xf numFmtId="2" fontId="41" fillId="0" borderId="23" xfId="6" applyNumberFormat="1" applyFont="1" applyBorder="1" applyAlignment="1">
      <alignment horizontal="center"/>
    </xf>
    <xf numFmtId="0" fontId="0" fillId="0" borderId="65" xfId="0" applyBorder="1" applyAlignment="1">
      <alignment wrapText="1"/>
    </xf>
    <xf numFmtId="179" fontId="0" fillId="0" borderId="0" xfId="1" applyNumberFormat="1" applyFont="1"/>
    <xf numFmtId="179" fontId="0" fillId="0" borderId="0" xfId="0" applyNumberFormat="1"/>
    <xf numFmtId="0" fontId="0" fillId="49" borderId="65" xfId="0" applyFill="1" applyBorder="1" applyAlignment="1">
      <alignment horizontal="right" wrapText="1"/>
    </xf>
    <xf numFmtId="14" fontId="0" fillId="49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6" borderId="65" xfId="0" applyFill="1" applyBorder="1" applyAlignment="1">
      <alignment horizontal="right" wrapText="1"/>
    </xf>
    <xf numFmtId="0" fontId="0" fillId="46" borderId="0" xfId="0" applyFill="1" applyAlignment="1">
      <alignment horizontal="right"/>
    </xf>
    <xf numFmtId="0" fontId="2" fillId="46" borderId="0" xfId="0" applyFont="1" applyFill="1" applyAlignment="1">
      <alignment horizontal="right"/>
    </xf>
    <xf numFmtId="0" fontId="0" fillId="50" borderId="65" xfId="0" applyFill="1" applyBorder="1" applyAlignment="1">
      <alignment horizontal="right" wrapText="1"/>
    </xf>
    <xf numFmtId="180" fontId="0" fillId="50" borderId="0" xfId="3" applyNumberFormat="1" applyFont="1" applyFill="1" applyAlignment="1">
      <alignment horizontal="right"/>
    </xf>
    <xf numFmtId="0" fontId="15" fillId="50" borderId="65" xfId="0" applyFont="1" applyFill="1" applyBorder="1" applyAlignment="1">
      <alignment horizontal="right" wrapText="1"/>
    </xf>
    <xf numFmtId="180" fontId="15" fillId="50" borderId="0" xfId="0" applyNumberFormat="1" applyFont="1" applyFill="1" applyAlignment="1">
      <alignment horizontal="right"/>
    </xf>
    <xf numFmtId="180" fontId="15" fillId="50" borderId="0" xfId="3" applyNumberFormat="1" applyFont="1" applyFill="1" applyAlignment="1">
      <alignment horizontal="right"/>
    </xf>
    <xf numFmtId="0" fontId="0" fillId="53" borderId="65" xfId="0" applyFill="1" applyBorder="1" applyAlignment="1">
      <alignment horizontal="right" wrapText="1"/>
    </xf>
    <xf numFmtId="180" fontId="0" fillId="53" borderId="0" xfId="3" applyNumberFormat="1" applyFont="1" applyFill="1" applyAlignment="1">
      <alignment horizontal="right"/>
    </xf>
    <xf numFmtId="180" fontId="0" fillId="53" borderId="0" xfId="0" applyNumberFormat="1" applyFill="1" applyAlignment="1">
      <alignment horizontal="right"/>
    </xf>
    <xf numFmtId="0" fontId="15" fillId="53" borderId="65" xfId="0" applyFont="1" applyFill="1" applyBorder="1" applyAlignment="1">
      <alignment horizontal="right" wrapText="1"/>
    </xf>
    <xf numFmtId="180" fontId="15" fillId="53" borderId="0" xfId="0" applyNumberFormat="1" applyFont="1" applyFill="1" applyAlignment="1">
      <alignment horizontal="right"/>
    </xf>
    <xf numFmtId="180" fontId="2" fillId="53" borderId="0" xfId="0" applyNumberFormat="1" applyFont="1" applyFill="1" applyAlignment="1">
      <alignment horizontal="right"/>
    </xf>
    <xf numFmtId="0" fontId="0" fillId="46" borderId="0" xfId="0" applyFont="1" applyFill="1" applyAlignment="1">
      <alignment horizontal="right"/>
    </xf>
    <xf numFmtId="0" fontId="0" fillId="0" borderId="61" xfId="0" applyFont="1" applyBorder="1" applyAlignment="1">
      <alignment horizontal="center"/>
    </xf>
    <xf numFmtId="174" fontId="27" fillId="0" borderId="0" xfId="3" applyNumberFormat="1"/>
    <xf numFmtId="174" fontId="0" fillId="0" borderId="0" xfId="0" applyNumberFormat="1"/>
    <xf numFmtId="0" fontId="0" fillId="0" borderId="0" xfId="0" applyAlignment="1">
      <alignment horizontal="center"/>
    </xf>
    <xf numFmtId="0" fontId="0" fillId="47" borderId="58" xfId="0" applyFont="1" applyFill="1" applyBorder="1"/>
    <xf numFmtId="165" fontId="0" fillId="47" borderId="58" xfId="0" applyNumberFormat="1" applyFont="1" applyFill="1" applyBorder="1"/>
    <xf numFmtId="0" fontId="0" fillId="47" borderId="62" xfId="0" applyFont="1" applyFill="1" applyBorder="1"/>
    <xf numFmtId="165" fontId="0" fillId="47" borderId="62" xfId="0" applyNumberFormat="1" applyFont="1" applyFill="1" applyBorder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4" fillId="0" borderId="65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30" borderId="48" xfId="0" applyFill="1" applyBorder="1" applyAlignment="1">
      <alignment horizontal="center"/>
    </xf>
    <xf numFmtId="0" fontId="0" fillId="41" borderId="59" xfId="0" applyFill="1" applyBorder="1" applyAlignment="1">
      <alignment horizontal="center"/>
    </xf>
    <xf numFmtId="0" fontId="0" fillId="42" borderId="60" xfId="0" applyFill="1" applyBorder="1" applyAlignment="1">
      <alignment horizontal="center"/>
    </xf>
    <xf numFmtId="0" fontId="2" fillId="0" borderId="0" xfId="0" applyFont="1" applyAlignment="1">
      <alignment horizontal="center"/>
    </xf>
    <xf numFmtId="168" fontId="11" fillId="0" borderId="61" xfId="0" applyNumberFormat="1" applyFont="1" applyBorder="1"/>
    <xf numFmtId="170" fontId="42" fillId="5" borderId="5" xfId="1" applyNumberFormat="1" applyFont="1" applyFill="1" applyBorder="1" applyAlignment="1">
      <alignment horizontal="right" vertical="center"/>
    </xf>
    <xf numFmtId="0" fontId="2" fillId="49" borderId="61" xfId="6" applyFont="1" applyFill="1" applyBorder="1" applyAlignment="1">
      <alignment horizontal="right"/>
    </xf>
    <xf numFmtId="0" fontId="43" fillId="10" borderId="10" xfId="0" applyFont="1" applyFill="1" applyBorder="1" applyAlignment="1">
      <alignment horizontal="center" vertical="center"/>
    </xf>
    <xf numFmtId="171" fontId="44" fillId="5" borderId="5" xfId="5" applyNumberFormat="1" applyFont="1" applyFill="1" applyBorder="1" applyAlignment="1">
      <alignment horizontal="center" vertical="center"/>
    </xf>
    <xf numFmtId="0" fontId="14" fillId="0" borderId="0" xfId="0" applyFont="1"/>
    <xf numFmtId="0" fontId="30" fillId="47" borderId="19" xfId="6" applyFont="1" applyFill="1" applyBorder="1" applyAlignment="1">
      <alignment horizontal="right"/>
    </xf>
    <xf numFmtId="0" fontId="2" fillId="55" borderId="0" xfId="0" applyFont="1" applyFill="1" applyAlignment="1">
      <alignment horizontal="center"/>
    </xf>
    <xf numFmtId="0" fontId="30" fillId="56" borderId="65" xfId="6" applyFont="1" applyFill="1" applyBorder="1" applyAlignment="1">
      <alignment horizontal="right"/>
    </xf>
    <xf numFmtId="0" fontId="27" fillId="55" borderId="0" xfId="6" applyFill="1"/>
    <xf numFmtId="1" fontId="27" fillId="55" borderId="0" xfId="6" applyNumberFormat="1" applyFill="1"/>
    <xf numFmtId="0" fontId="2" fillId="55" borderId="0" xfId="6" applyFont="1" applyFill="1" applyAlignment="1">
      <alignment horizontal="center"/>
    </xf>
    <xf numFmtId="1" fontId="18" fillId="55" borderId="0" xfId="6" applyNumberFormat="1" applyFont="1" applyFill="1" applyAlignment="1">
      <alignment horizontal="right"/>
    </xf>
    <xf numFmtId="172" fontId="27" fillId="55" borderId="29" xfId="6" applyNumberFormat="1" applyFill="1" applyBorder="1" applyAlignment="1">
      <alignment horizontal="center"/>
    </xf>
    <xf numFmtId="0" fontId="21" fillId="55" borderId="0" xfId="6" applyFont="1" applyFill="1" applyAlignment="1">
      <alignment horizontal="center"/>
    </xf>
    <xf numFmtId="165" fontId="27" fillId="55" borderId="0" xfId="6" applyNumberFormat="1" applyFill="1" applyAlignment="1">
      <alignment horizontal="center"/>
    </xf>
    <xf numFmtId="0" fontId="27" fillId="55" borderId="30" xfId="6" applyFill="1" applyBorder="1" applyAlignment="1">
      <alignment horizontal="center"/>
    </xf>
    <xf numFmtId="0" fontId="15" fillId="55" borderId="0" xfId="6" applyFont="1" applyFill="1" applyAlignment="1">
      <alignment horizontal="center"/>
    </xf>
    <xf numFmtId="2" fontId="30" fillId="55" borderId="31" xfId="6" applyNumberFormat="1" applyFont="1" applyFill="1" applyBorder="1" applyAlignment="1">
      <alignment horizontal="center"/>
    </xf>
    <xf numFmtId="2" fontId="30" fillId="55" borderId="32" xfId="6" applyNumberFormat="1" applyFont="1" applyFill="1" applyBorder="1" applyAlignment="1">
      <alignment horizontal="center"/>
    </xf>
    <xf numFmtId="2" fontId="30" fillId="55" borderId="33" xfId="6" applyNumberFormat="1" applyFont="1" applyFill="1" applyBorder="1" applyAlignment="1">
      <alignment horizontal="center"/>
    </xf>
    <xf numFmtId="0" fontId="3" fillId="55" borderId="31" xfId="0" applyFont="1" applyFill="1" applyBorder="1" applyAlignment="1">
      <alignment horizontal="center"/>
    </xf>
    <xf numFmtId="0" fontId="27" fillId="55" borderId="33" xfId="6" applyFill="1" applyBorder="1" applyAlignment="1">
      <alignment horizontal="center"/>
    </xf>
    <xf numFmtId="0" fontId="27" fillId="55" borderId="34" xfId="6" applyFill="1" applyBorder="1" applyAlignment="1">
      <alignment horizontal="center"/>
    </xf>
    <xf numFmtId="0" fontId="0" fillId="55" borderId="34" xfId="0" applyFill="1" applyBorder="1" applyAlignment="1">
      <alignment horizontal="center"/>
    </xf>
    <xf numFmtId="0" fontId="0" fillId="55" borderId="32" xfId="0" applyFill="1" applyBorder="1" applyAlignment="1">
      <alignment horizontal="center"/>
    </xf>
    <xf numFmtId="168" fontId="0" fillId="55" borderId="0" xfId="0" applyNumberFormat="1" applyFill="1" applyAlignment="1">
      <alignment horizontal="center"/>
    </xf>
    <xf numFmtId="168" fontId="0" fillId="55" borderId="0" xfId="0" applyNumberFormat="1" applyFill="1"/>
    <xf numFmtId="0" fontId="27" fillId="55" borderId="0" xfId="6" applyFill="1" applyAlignment="1">
      <alignment horizontal="center"/>
    </xf>
    <xf numFmtId="0" fontId="0" fillId="55" borderId="0" xfId="0" applyFill="1"/>
    <xf numFmtId="0" fontId="27" fillId="56" borderId="65" xfId="6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15" borderId="15" xfId="6" applyFont="1" applyFill="1" applyBorder="1" applyAlignment="1">
      <alignment horizontal="left"/>
    </xf>
    <xf numFmtId="0" fontId="38" fillId="15" borderId="15" xfId="6" applyFont="1" applyFill="1" applyBorder="1" applyAlignment="1">
      <alignment horizontal="center"/>
    </xf>
    <xf numFmtId="0" fontId="41" fillId="15" borderId="15" xfId="6" applyFont="1" applyFill="1" applyBorder="1" applyAlignment="1">
      <alignment horizontal="center"/>
    </xf>
    <xf numFmtId="0" fontId="38" fillId="16" borderId="16" xfId="6" applyFont="1" applyFill="1" applyBorder="1" applyAlignment="1">
      <alignment horizontal="left"/>
    </xf>
    <xf numFmtId="0" fontId="38" fillId="17" borderId="17" xfId="6" applyFont="1" applyFill="1" applyBorder="1" applyAlignment="1">
      <alignment horizontal="left"/>
    </xf>
    <xf numFmtId="0" fontId="38" fillId="18" borderId="18" xfId="6" applyFont="1" applyFill="1" applyBorder="1" applyAlignment="1">
      <alignment horizontal="left"/>
    </xf>
    <xf numFmtId="0" fontId="45" fillId="16" borderId="16" xfId="6" applyFont="1" applyFill="1" applyBorder="1" applyAlignment="1">
      <alignment horizontal="center"/>
    </xf>
    <xf numFmtId="0" fontId="38" fillId="18" borderId="18" xfId="6" applyFont="1" applyFill="1" applyBorder="1" applyAlignment="1">
      <alignment horizontal="center"/>
    </xf>
    <xf numFmtId="0" fontId="38" fillId="17" borderId="17" xfId="6" applyFont="1" applyFill="1" applyBorder="1" applyAlignment="1">
      <alignment horizontal="center"/>
    </xf>
    <xf numFmtId="0" fontId="46" fillId="11" borderId="11" xfId="6" applyFont="1" applyFill="1" applyBorder="1" applyAlignment="1">
      <alignment horizontal="left"/>
    </xf>
    <xf numFmtId="0" fontId="46" fillId="19" borderId="65" xfId="6" applyFont="1" applyFill="1" applyBorder="1" applyAlignment="1">
      <alignment horizontal="left"/>
    </xf>
    <xf numFmtId="0" fontId="30" fillId="0" borderId="0" xfId="0" applyFont="1"/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L36" sqref="L36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87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51" t="s">
        <v>0</v>
      </c>
      <c r="B1" s="351"/>
      <c r="C1" s="351"/>
      <c r="E1" s="352" t="s">
        <v>1</v>
      </c>
      <c r="F1" s="352"/>
      <c r="G1" s="352"/>
      <c r="H1" s="352"/>
    </row>
    <row r="2" spans="1:23" x14ac:dyDescent="0.25">
      <c r="A2" s="353">
        <v>44665</v>
      </c>
      <c r="B2" s="353"/>
      <c r="C2" s="353"/>
      <c r="E2" s="2" t="s">
        <v>2</v>
      </c>
      <c r="F2" s="4" t="s">
        <v>400</v>
      </c>
      <c r="G2" s="157">
        <v>44640</v>
      </c>
      <c r="H2" t="s">
        <v>399</v>
      </c>
    </row>
    <row r="3" spans="1:23" x14ac:dyDescent="0.25">
      <c r="E3" s="2" t="s">
        <v>3</v>
      </c>
      <c r="F3" s="4" t="s">
        <v>371</v>
      </c>
      <c r="G3" s="157">
        <v>44486</v>
      </c>
      <c r="H3" t="s">
        <v>370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88"/>
      <c r="R4" s="6"/>
      <c r="S4" s="6"/>
      <c r="T4" s="6"/>
      <c r="U4" s="6"/>
    </row>
    <row r="5" spans="1:23" ht="18.75" x14ac:dyDescent="0.3">
      <c r="A5" s="6"/>
      <c r="B5" s="350" t="s">
        <v>4</v>
      </c>
      <c r="C5" s="350"/>
      <c r="E5" s="6"/>
      <c r="F5" s="6"/>
      <c r="G5" s="350" t="s">
        <v>5</v>
      </c>
      <c r="H5" s="350"/>
      <c r="I5" s="350"/>
      <c r="J5" s="8"/>
      <c r="K5" s="8"/>
      <c r="L5" s="350" t="s">
        <v>6</v>
      </c>
      <c r="M5" s="350"/>
      <c r="O5" s="9" t="s">
        <v>7</v>
      </c>
      <c r="P5" s="6"/>
      <c r="Q5" s="188"/>
      <c r="R5" s="350" t="s">
        <v>8</v>
      </c>
      <c r="S5" s="350"/>
      <c r="T5" s="6"/>
      <c r="U5" s="6"/>
    </row>
    <row r="6" spans="1:23" x14ac:dyDescent="0.25">
      <c r="A6" s="187">
        <v>1</v>
      </c>
      <c r="B6" s="10">
        <v>75</v>
      </c>
      <c r="C6" s="11" t="s">
        <v>9</v>
      </c>
      <c r="D6" s="12" t="s">
        <v>10</v>
      </c>
      <c r="F6" s="190">
        <v>1</v>
      </c>
      <c r="G6" s="10">
        <v>166</v>
      </c>
      <c r="H6" s="11" t="s">
        <v>9</v>
      </c>
      <c r="I6" s="12" t="s">
        <v>10</v>
      </c>
      <c r="K6" s="240">
        <v>1</v>
      </c>
      <c r="L6" s="10">
        <v>68</v>
      </c>
      <c r="M6" s="11" t="s">
        <v>21</v>
      </c>
      <c r="N6" s="11" t="s">
        <v>12</v>
      </c>
      <c r="O6" s="13">
        <f>L6/G11</f>
        <v>0.6071428571428571</v>
      </c>
      <c r="Q6" s="263">
        <v>1</v>
      </c>
      <c r="R6" s="10">
        <v>10</v>
      </c>
      <c r="S6" s="11" t="s">
        <v>34</v>
      </c>
      <c r="T6" s="11" t="s">
        <v>15</v>
      </c>
    </row>
    <row r="7" spans="1:23" x14ac:dyDescent="0.25">
      <c r="A7" s="187">
        <v>2</v>
      </c>
      <c r="B7" s="16">
        <v>25</v>
      </c>
      <c r="C7" s="15" t="s">
        <v>13</v>
      </c>
      <c r="D7" s="17" t="s">
        <v>10</v>
      </c>
      <c r="F7" s="190">
        <v>2</v>
      </c>
      <c r="G7" s="10">
        <v>134</v>
      </c>
      <c r="H7" s="11" t="s">
        <v>34</v>
      </c>
      <c r="I7" s="11" t="s">
        <v>15</v>
      </c>
      <c r="K7" s="240">
        <v>2</v>
      </c>
      <c r="L7" s="10">
        <v>67</v>
      </c>
      <c r="M7" s="11" t="s">
        <v>17</v>
      </c>
      <c r="N7" s="12" t="s">
        <v>18</v>
      </c>
      <c r="O7" s="13">
        <f>L7/G9</f>
        <v>0.52755905511811019</v>
      </c>
      <c r="Q7" s="263">
        <v>1</v>
      </c>
      <c r="R7" s="261">
        <v>10</v>
      </c>
      <c r="S7" s="262" t="s">
        <v>224</v>
      </c>
      <c r="T7" s="264" t="s">
        <v>23</v>
      </c>
    </row>
    <row r="8" spans="1:23" x14ac:dyDescent="0.25">
      <c r="A8" s="246">
        <v>3</v>
      </c>
      <c r="B8" s="159">
        <v>5</v>
      </c>
      <c r="C8" s="158" t="s">
        <v>19</v>
      </c>
      <c r="D8" s="160" t="s">
        <v>10</v>
      </c>
      <c r="F8" s="190">
        <v>3</v>
      </c>
      <c r="G8" s="10">
        <v>131</v>
      </c>
      <c r="H8" s="11" t="s">
        <v>33</v>
      </c>
      <c r="I8" s="12" t="s">
        <v>23</v>
      </c>
      <c r="K8" s="240">
        <v>3</v>
      </c>
      <c r="L8" s="191">
        <v>49</v>
      </c>
      <c r="M8" s="192" t="s">
        <v>25</v>
      </c>
      <c r="N8" s="193" t="s">
        <v>12</v>
      </c>
      <c r="O8" s="232">
        <f>L8/G10</f>
        <v>0.4049586776859504</v>
      </c>
      <c r="Q8" s="263">
        <v>3</v>
      </c>
      <c r="R8" s="224">
        <v>9.5</v>
      </c>
      <c r="S8" s="225" t="s">
        <v>41</v>
      </c>
      <c r="T8" s="226" t="s">
        <v>23</v>
      </c>
    </row>
    <row r="9" spans="1:23" ht="18.75" x14ac:dyDescent="0.3">
      <c r="A9" s="187">
        <v>4</v>
      </c>
      <c r="E9" s="6"/>
      <c r="F9" s="190">
        <v>4</v>
      </c>
      <c r="G9" s="191">
        <v>127</v>
      </c>
      <c r="H9" s="192" t="s">
        <v>17</v>
      </c>
      <c r="I9" s="193" t="s">
        <v>18</v>
      </c>
      <c r="J9" s="6"/>
      <c r="K9" s="240">
        <v>4</v>
      </c>
      <c r="L9" s="191">
        <v>45</v>
      </c>
      <c r="M9" s="192" t="s">
        <v>224</v>
      </c>
      <c r="N9" s="193" t="s">
        <v>23</v>
      </c>
      <c r="O9" s="234">
        <f>L9/G14</f>
        <v>0.4891304347826087</v>
      </c>
      <c r="P9" s="6"/>
      <c r="Q9" s="263">
        <v>3</v>
      </c>
      <c r="R9" s="191">
        <v>9.5</v>
      </c>
      <c r="S9" s="192" t="s">
        <v>37</v>
      </c>
      <c r="T9" s="193" t="s">
        <v>23</v>
      </c>
      <c r="U9" s="194"/>
      <c r="V9" s="195"/>
      <c r="W9" s="195"/>
    </row>
    <row r="10" spans="1:23" x14ac:dyDescent="0.25">
      <c r="A10" s="187">
        <v>5</v>
      </c>
      <c r="B10" s="2"/>
      <c r="F10" s="190">
        <v>5</v>
      </c>
      <c r="G10" s="191">
        <v>121</v>
      </c>
      <c r="H10" s="192" t="s">
        <v>25</v>
      </c>
      <c r="I10" s="193" t="s">
        <v>12</v>
      </c>
      <c r="K10" s="240">
        <v>5</v>
      </c>
      <c r="L10" s="10">
        <v>43</v>
      </c>
      <c r="M10" s="210" t="s">
        <v>11</v>
      </c>
      <c r="N10" s="210" t="s">
        <v>12</v>
      </c>
      <c r="O10" s="211">
        <f>L10/G22</f>
        <v>0.82692307692307687</v>
      </c>
      <c r="Q10" s="190">
        <v>3</v>
      </c>
      <c r="R10" s="191">
        <v>9.5</v>
      </c>
      <c r="S10" s="192" t="s">
        <v>33</v>
      </c>
      <c r="T10" s="193" t="s">
        <v>23</v>
      </c>
      <c r="U10" s="196"/>
      <c r="V10" s="195"/>
      <c r="W10" s="195"/>
    </row>
    <row r="11" spans="1:23" x14ac:dyDescent="0.25">
      <c r="A11" s="187">
        <v>6</v>
      </c>
      <c r="B11" s="2"/>
      <c r="F11" s="190">
        <v>6</v>
      </c>
      <c r="G11" s="191">
        <v>112</v>
      </c>
      <c r="H11" s="192" t="s">
        <v>21</v>
      </c>
      <c r="I11" s="192" t="s">
        <v>12</v>
      </c>
      <c r="K11" s="240">
        <v>6</v>
      </c>
      <c r="L11" s="191">
        <v>40</v>
      </c>
      <c r="M11" s="192" t="s">
        <v>34</v>
      </c>
      <c r="N11" s="192" t="s">
        <v>15</v>
      </c>
      <c r="O11" s="232">
        <f>L11/G7</f>
        <v>0.29850746268656714</v>
      </c>
      <c r="Q11" s="190">
        <v>6</v>
      </c>
      <c r="R11" s="191">
        <v>9</v>
      </c>
      <c r="S11" s="192" t="s">
        <v>9</v>
      </c>
      <c r="T11" s="193" t="s">
        <v>10</v>
      </c>
      <c r="U11" s="196"/>
      <c r="V11" s="195"/>
      <c r="W11" s="195"/>
    </row>
    <row r="12" spans="1:23" x14ac:dyDescent="0.25">
      <c r="A12" s="187"/>
      <c r="B12" s="2"/>
      <c r="F12" s="190">
        <v>7</v>
      </c>
      <c r="G12" s="16">
        <v>105</v>
      </c>
      <c r="H12" s="15" t="s">
        <v>37</v>
      </c>
      <c r="I12" s="17" t="s">
        <v>23</v>
      </c>
      <c r="K12" s="240">
        <v>6</v>
      </c>
      <c r="L12" s="191">
        <v>36</v>
      </c>
      <c r="M12" s="192" t="s">
        <v>37</v>
      </c>
      <c r="N12" s="193" t="s">
        <v>23</v>
      </c>
      <c r="O12" s="237">
        <f>L12/G12</f>
        <v>0.34285714285714286</v>
      </c>
      <c r="Q12" s="190">
        <v>6</v>
      </c>
      <c r="R12" s="191">
        <v>9</v>
      </c>
      <c r="S12" s="192" t="s">
        <v>17</v>
      </c>
      <c r="T12" s="193" t="s">
        <v>18</v>
      </c>
    </row>
    <row r="13" spans="1:23" ht="18.75" x14ac:dyDescent="0.3">
      <c r="A13" s="187"/>
      <c r="B13" s="2"/>
      <c r="E13" s="6"/>
      <c r="F13" s="190">
        <v>8</v>
      </c>
      <c r="G13" s="191">
        <v>99</v>
      </c>
      <c r="H13" s="192" t="s">
        <v>38</v>
      </c>
      <c r="I13" s="193" t="s">
        <v>15</v>
      </c>
      <c r="J13" s="6"/>
      <c r="K13" s="240">
        <v>8</v>
      </c>
      <c r="L13" s="191">
        <v>35</v>
      </c>
      <c r="M13" s="192" t="s">
        <v>33</v>
      </c>
      <c r="N13" s="193" t="s">
        <v>23</v>
      </c>
      <c r="O13" s="232">
        <f>L13/G8</f>
        <v>0.26717557251908397</v>
      </c>
      <c r="P13" s="6"/>
      <c r="Q13" s="190">
        <v>8</v>
      </c>
      <c r="R13" s="224">
        <v>8.5</v>
      </c>
      <c r="S13" s="225" t="s">
        <v>43</v>
      </c>
      <c r="T13" s="226" t="s">
        <v>18</v>
      </c>
    </row>
    <row r="14" spans="1:23" ht="18.75" x14ac:dyDescent="0.3">
      <c r="A14" s="188"/>
      <c r="B14" s="7" t="s">
        <v>30</v>
      </c>
      <c r="C14" s="7"/>
      <c r="F14" s="190">
        <v>9</v>
      </c>
      <c r="G14" s="205">
        <v>92</v>
      </c>
      <c r="H14" s="206" t="s">
        <v>224</v>
      </c>
      <c r="I14" s="207" t="s">
        <v>23</v>
      </c>
      <c r="K14" s="240">
        <v>9</v>
      </c>
      <c r="L14" s="238">
        <v>29</v>
      </c>
      <c r="M14" s="192" t="s">
        <v>41</v>
      </c>
      <c r="N14" s="239" t="s">
        <v>23</v>
      </c>
      <c r="O14" s="237">
        <f>L14/G15</f>
        <v>0.3258426966292135</v>
      </c>
      <c r="Q14" s="190">
        <v>8</v>
      </c>
      <c r="R14" s="191">
        <v>8.5</v>
      </c>
      <c r="S14" s="192" t="s">
        <v>21</v>
      </c>
      <c r="T14" s="192" t="s">
        <v>12</v>
      </c>
    </row>
    <row r="15" spans="1:23" x14ac:dyDescent="0.25">
      <c r="A15" s="187">
        <v>1</v>
      </c>
      <c r="B15" s="10">
        <v>73</v>
      </c>
      <c r="C15" s="210" t="s">
        <v>14</v>
      </c>
      <c r="D15" s="210" t="s">
        <v>15</v>
      </c>
      <c r="F15" s="190">
        <v>10</v>
      </c>
      <c r="G15" s="16">
        <v>89</v>
      </c>
      <c r="H15" s="15" t="s">
        <v>41</v>
      </c>
      <c r="I15" s="17" t="s">
        <v>23</v>
      </c>
      <c r="K15" s="240">
        <v>10</v>
      </c>
      <c r="L15" s="228">
        <v>22</v>
      </c>
      <c r="M15" s="229" t="s">
        <v>16</v>
      </c>
      <c r="N15" s="230" t="s">
        <v>12</v>
      </c>
      <c r="O15" s="233">
        <f>L15/G29</f>
        <v>0.6875</v>
      </c>
      <c r="Q15" s="190">
        <v>10</v>
      </c>
      <c r="R15" s="191">
        <v>8</v>
      </c>
      <c r="S15" s="225" t="s">
        <v>229</v>
      </c>
      <c r="T15" s="226" t="s">
        <v>23</v>
      </c>
    </row>
    <row r="16" spans="1:23" x14ac:dyDescent="0.25">
      <c r="A16" s="246">
        <v>2</v>
      </c>
      <c r="B16" s="2">
        <v>48</v>
      </c>
      <c r="C16" s="162" t="s">
        <v>25</v>
      </c>
      <c r="D16" s="17" t="s">
        <v>12</v>
      </c>
      <c r="F16" s="190">
        <v>11</v>
      </c>
      <c r="G16" s="191">
        <v>82</v>
      </c>
      <c r="H16" s="204" t="s">
        <v>14</v>
      </c>
      <c r="I16" s="204" t="s">
        <v>15</v>
      </c>
      <c r="K16" s="240">
        <v>10</v>
      </c>
      <c r="L16" s="191">
        <v>22</v>
      </c>
      <c r="M16" s="192" t="s">
        <v>43</v>
      </c>
      <c r="N16" s="193" t="s">
        <v>18</v>
      </c>
      <c r="O16" s="232">
        <f>L16/G18</f>
        <v>0.2857142857142857</v>
      </c>
      <c r="Q16" s="190">
        <v>10</v>
      </c>
      <c r="R16" s="191">
        <v>8</v>
      </c>
      <c r="S16" s="192" t="s">
        <v>25</v>
      </c>
      <c r="T16" s="193" t="s">
        <v>12</v>
      </c>
    </row>
    <row r="17" spans="1:21" x14ac:dyDescent="0.25">
      <c r="A17" s="187">
        <v>3</v>
      </c>
      <c r="B17" s="197">
        <v>15</v>
      </c>
      <c r="C17" s="198" t="s">
        <v>22</v>
      </c>
      <c r="D17" s="199" t="s">
        <v>23</v>
      </c>
      <c r="F17" s="190">
        <v>12</v>
      </c>
      <c r="G17" s="203">
        <v>78</v>
      </c>
      <c r="H17" s="204" t="s">
        <v>28</v>
      </c>
      <c r="I17" s="227" t="s">
        <v>15</v>
      </c>
      <c r="K17" s="240">
        <v>12</v>
      </c>
      <c r="L17" s="191">
        <v>20</v>
      </c>
      <c r="M17" s="192" t="s">
        <v>38</v>
      </c>
      <c r="N17" s="193" t="s">
        <v>15</v>
      </c>
      <c r="O17" s="232">
        <f>L17/G13</f>
        <v>0.20202020202020202</v>
      </c>
      <c r="Q17" s="190">
        <v>12</v>
      </c>
      <c r="R17" s="191">
        <v>7.5</v>
      </c>
      <c r="S17" s="192" t="s">
        <v>13</v>
      </c>
      <c r="T17" s="193" t="s">
        <v>10</v>
      </c>
    </row>
    <row r="18" spans="1:21" x14ac:dyDescent="0.25">
      <c r="A18" s="246">
        <v>4</v>
      </c>
      <c r="B18" s="197">
        <v>11</v>
      </c>
      <c r="C18" s="198" t="s">
        <v>28</v>
      </c>
      <c r="D18" s="199" t="s">
        <v>15</v>
      </c>
      <c r="F18" s="190">
        <v>13</v>
      </c>
      <c r="G18" s="16">
        <v>77</v>
      </c>
      <c r="H18" s="15" t="s">
        <v>43</v>
      </c>
      <c r="I18" s="17" t="s">
        <v>18</v>
      </c>
      <c r="K18" s="240">
        <v>13</v>
      </c>
      <c r="L18" s="191">
        <v>19</v>
      </c>
      <c r="M18" s="204" t="s">
        <v>14</v>
      </c>
      <c r="N18" s="204" t="s">
        <v>15</v>
      </c>
      <c r="O18" s="231">
        <f>L18/G16</f>
        <v>0.23170731707317074</v>
      </c>
      <c r="Q18" s="190">
        <v>13</v>
      </c>
      <c r="R18" s="203">
        <v>7</v>
      </c>
      <c r="S18" s="204" t="s">
        <v>11</v>
      </c>
      <c r="T18" s="204" t="s">
        <v>12</v>
      </c>
    </row>
    <row r="19" spans="1:21" x14ac:dyDescent="0.25">
      <c r="A19" s="187">
        <v>5</v>
      </c>
      <c r="B19" s="159">
        <v>10</v>
      </c>
      <c r="C19" s="158" t="s">
        <v>24</v>
      </c>
      <c r="D19" s="160" t="s">
        <v>15</v>
      </c>
      <c r="F19" s="190">
        <v>14</v>
      </c>
      <c r="G19" s="205">
        <v>74</v>
      </c>
      <c r="H19" s="206" t="s">
        <v>229</v>
      </c>
      <c r="I19" s="207" t="s">
        <v>23</v>
      </c>
      <c r="K19" s="240">
        <v>14</v>
      </c>
      <c r="L19" s="191">
        <v>18</v>
      </c>
      <c r="M19" s="204" t="s">
        <v>20</v>
      </c>
      <c r="N19" s="204" t="s">
        <v>18</v>
      </c>
      <c r="O19" s="231">
        <f>L19/G21</f>
        <v>0.31034482758620691</v>
      </c>
      <c r="Q19" s="190">
        <v>14</v>
      </c>
      <c r="R19" s="224">
        <v>6.5</v>
      </c>
      <c r="S19" s="225" t="s">
        <v>228</v>
      </c>
      <c r="T19" s="226" t="s">
        <v>12</v>
      </c>
    </row>
    <row r="20" spans="1:21" x14ac:dyDescent="0.25">
      <c r="A20" s="187">
        <v>6</v>
      </c>
      <c r="B20" s="161">
        <v>10</v>
      </c>
      <c r="C20" s="192" t="s">
        <v>38</v>
      </c>
      <c r="D20" s="193" t="s">
        <v>15</v>
      </c>
      <c r="F20" s="190">
        <v>15</v>
      </c>
      <c r="G20" s="203">
        <v>73</v>
      </c>
      <c r="H20" s="204" t="s">
        <v>22</v>
      </c>
      <c r="I20" s="227" t="s">
        <v>23</v>
      </c>
      <c r="K20" s="240">
        <v>14</v>
      </c>
      <c r="L20" s="228">
        <v>18</v>
      </c>
      <c r="M20" s="229" t="s">
        <v>24</v>
      </c>
      <c r="N20" s="230" t="s">
        <v>15</v>
      </c>
      <c r="O20" s="233">
        <f>L20/G25</f>
        <v>0.36734693877551022</v>
      </c>
      <c r="Q20" s="190">
        <v>15</v>
      </c>
      <c r="R20" s="224">
        <v>6</v>
      </c>
      <c r="S20" s="192" t="s">
        <v>38</v>
      </c>
      <c r="T20" s="193" t="s">
        <v>15</v>
      </c>
    </row>
    <row r="21" spans="1:21" x14ac:dyDescent="0.25">
      <c r="A21" s="246">
        <v>7</v>
      </c>
      <c r="B21" s="345">
        <v>4</v>
      </c>
      <c r="C21" s="192" t="s">
        <v>224</v>
      </c>
      <c r="D21" s="192" t="s">
        <v>23</v>
      </c>
      <c r="F21" s="190">
        <v>16</v>
      </c>
      <c r="G21" s="191">
        <v>58</v>
      </c>
      <c r="H21" s="204" t="s">
        <v>20</v>
      </c>
      <c r="I21" s="204" t="s">
        <v>18</v>
      </c>
      <c r="K21" s="240">
        <v>16</v>
      </c>
      <c r="L21" s="224">
        <v>18</v>
      </c>
      <c r="M21" s="225" t="s">
        <v>229</v>
      </c>
      <c r="N21" s="226" t="s">
        <v>23</v>
      </c>
      <c r="O21" s="232">
        <f>L21/G19</f>
        <v>0.24324324324324326</v>
      </c>
      <c r="Q21" s="190">
        <v>15</v>
      </c>
      <c r="R21" s="224">
        <v>6</v>
      </c>
      <c r="S21" s="192" t="s">
        <v>401</v>
      </c>
      <c r="T21" s="193" t="s">
        <v>12</v>
      </c>
    </row>
    <row r="22" spans="1:21" x14ac:dyDescent="0.25">
      <c r="A22" s="246">
        <v>7</v>
      </c>
      <c r="B22" s="159">
        <v>2</v>
      </c>
      <c r="C22" s="158" t="s">
        <v>16</v>
      </c>
      <c r="D22" s="160" t="s">
        <v>12</v>
      </c>
      <c r="F22" s="190">
        <v>17</v>
      </c>
      <c r="G22" s="203">
        <v>52</v>
      </c>
      <c r="H22" s="204" t="s">
        <v>11</v>
      </c>
      <c r="I22" s="204" t="s">
        <v>12</v>
      </c>
      <c r="K22" s="240">
        <v>17</v>
      </c>
      <c r="L22" s="191">
        <v>15</v>
      </c>
      <c r="M22" s="204" t="s">
        <v>22</v>
      </c>
      <c r="N22" s="227" t="s">
        <v>23</v>
      </c>
      <c r="O22" s="231">
        <f>L22/G20</f>
        <v>0.20547945205479451</v>
      </c>
      <c r="Q22" s="190">
        <v>17</v>
      </c>
      <c r="R22" s="228">
        <v>5.5</v>
      </c>
      <c r="S22" s="346" t="s">
        <v>27</v>
      </c>
      <c r="T22" s="347" t="s">
        <v>12</v>
      </c>
    </row>
    <row r="23" spans="1:21" x14ac:dyDescent="0.25">
      <c r="A23" s="187">
        <v>7</v>
      </c>
      <c r="B23" s="16">
        <v>2</v>
      </c>
      <c r="C23" s="198" t="s">
        <v>32</v>
      </c>
      <c r="D23" s="198" t="s">
        <v>18</v>
      </c>
      <c r="F23" s="190">
        <v>18</v>
      </c>
      <c r="G23" s="16">
        <v>51</v>
      </c>
      <c r="H23" s="15" t="s">
        <v>13</v>
      </c>
      <c r="I23" s="17" t="s">
        <v>10</v>
      </c>
      <c r="K23" s="240">
        <v>17</v>
      </c>
      <c r="L23" s="191">
        <v>14</v>
      </c>
      <c r="M23" s="204" t="s">
        <v>26</v>
      </c>
      <c r="N23" s="227" t="s">
        <v>18</v>
      </c>
      <c r="O23" s="231">
        <f>L23/G24</f>
        <v>0.28000000000000003</v>
      </c>
      <c r="Q23" s="190">
        <v>17</v>
      </c>
      <c r="R23" s="191">
        <v>5.5</v>
      </c>
      <c r="S23" s="204" t="s">
        <v>22</v>
      </c>
      <c r="T23" s="227" t="s">
        <v>23</v>
      </c>
    </row>
    <row r="24" spans="1:21" x14ac:dyDescent="0.25">
      <c r="A24" s="187">
        <v>10</v>
      </c>
      <c r="B24" s="16">
        <v>2</v>
      </c>
      <c r="C24" s="15" t="s">
        <v>13</v>
      </c>
      <c r="D24" s="17" t="s">
        <v>10</v>
      </c>
      <c r="F24" s="190">
        <v>19</v>
      </c>
      <c r="G24" s="191">
        <v>50</v>
      </c>
      <c r="H24" s="204" t="s">
        <v>26</v>
      </c>
      <c r="I24" s="227" t="s">
        <v>18</v>
      </c>
      <c r="K24" s="240">
        <v>19</v>
      </c>
      <c r="L24" s="228">
        <v>13</v>
      </c>
      <c r="M24" s="229" t="s">
        <v>29</v>
      </c>
      <c r="N24" s="230" t="s">
        <v>23</v>
      </c>
      <c r="O24" s="233">
        <f>L24/G32</f>
        <v>0.61904761904761907</v>
      </c>
      <c r="Q24" s="190">
        <v>17</v>
      </c>
      <c r="R24" s="228">
        <v>5.5</v>
      </c>
      <c r="S24" s="346" t="s">
        <v>19</v>
      </c>
      <c r="T24" s="347" t="s">
        <v>10</v>
      </c>
    </row>
    <row r="25" spans="1:21" x14ac:dyDescent="0.25">
      <c r="A25" s="187">
        <v>10</v>
      </c>
      <c r="B25" s="159">
        <v>1</v>
      </c>
      <c r="C25" s="158" t="s">
        <v>27</v>
      </c>
      <c r="D25" s="160" t="s">
        <v>12</v>
      </c>
      <c r="F25" s="190">
        <v>20</v>
      </c>
      <c r="G25" s="228">
        <v>49</v>
      </c>
      <c r="H25" s="229" t="s">
        <v>24</v>
      </c>
      <c r="I25" s="230" t="s">
        <v>15</v>
      </c>
      <c r="K25" s="240">
        <v>20</v>
      </c>
      <c r="L25" s="191">
        <v>13</v>
      </c>
      <c r="M25" s="235" t="s">
        <v>31</v>
      </c>
      <c r="N25" s="236" t="s">
        <v>23</v>
      </c>
      <c r="O25" s="234">
        <f>L25/G27</f>
        <v>0.31707317073170732</v>
      </c>
      <c r="Q25" s="190">
        <v>17</v>
      </c>
      <c r="R25" s="191">
        <v>5.5</v>
      </c>
      <c r="S25" s="204" t="s">
        <v>20</v>
      </c>
      <c r="T25" s="204" t="s">
        <v>18</v>
      </c>
      <c r="U25" s="2"/>
    </row>
    <row r="26" spans="1:21" x14ac:dyDescent="0.25">
      <c r="A26" s="187">
        <v>10</v>
      </c>
      <c r="B26" s="159">
        <v>1</v>
      </c>
      <c r="C26" s="158" t="s">
        <v>29</v>
      </c>
      <c r="D26" s="160" t="s">
        <v>23</v>
      </c>
      <c r="F26" s="190">
        <v>21</v>
      </c>
      <c r="G26" s="191">
        <v>45</v>
      </c>
      <c r="H26" s="204" t="s">
        <v>32</v>
      </c>
      <c r="I26" s="204" t="s">
        <v>18</v>
      </c>
      <c r="K26" s="240">
        <v>21</v>
      </c>
      <c r="L26" s="191">
        <v>11</v>
      </c>
      <c r="M26" s="204" t="s">
        <v>28</v>
      </c>
      <c r="N26" s="227" t="s">
        <v>15</v>
      </c>
      <c r="O26" s="231">
        <f>L26/G17</f>
        <v>0.14102564102564102</v>
      </c>
      <c r="Q26" s="190">
        <v>17</v>
      </c>
      <c r="R26" s="228">
        <v>5.5</v>
      </c>
      <c r="S26" s="346" t="s">
        <v>16</v>
      </c>
      <c r="T26" s="347" t="s">
        <v>12</v>
      </c>
      <c r="U26" s="2"/>
    </row>
    <row r="27" spans="1:21" x14ac:dyDescent="0.25">
      <c r="B27" s="159">
        <v>1</v>
      </c>
      <c r="C27" s="192" t="s">
        <v>21</v>
      </c>
      <c r="D27" s="192" t="s">
        <v>12</v>
      </c>
      <c r="F27" s="190">
        <v>22</v>
      </c>
      <c r="G27" s="16">
        <v>41</v>
      </c>
      <c r="H27" s="163" t="s">
        <v>31</v>
      </c>
      <c r="I27" s="164" t="s">
        <v>23</v>
      </c>
      <c r="K27" s="240">
        <v>21</v>
      </c>
      <c r="L27" s="191">
        <v>10</v>
      </c>
      <c r="M27" s="204" t="s">
        <v>32</v>
      </c>
      <c r="N27" s="204" t="s">
        <v>18</v>
      </c>
      <c r="O27" s="231">
        <f>L27/G26</f>
        <v>0.22222222222222221</v>
      </c>
      <c r="Q27" s="190">
        <v>17</v>
      </c>
      <c r="R27" s="191">
        <v>5.5</v>
      </c>
      <c r="S27" s="204" t="s">
        <v>26</v>
      </c>
      <c r="T27" s="227" t="s">
        <v>18</v>
      </c>
      <c r="U27" s="2"/>
    </row>
    <row r="28" spans="1:21" x14ac:dyDescent="0.25">
      <c r="B28" s="2">
        <v>1</v>
      </c>
      <c r="C28" s="192" t="s">
        <v>229</v>
      </c>
      <c r="D28" s="192" t="s">
        <v>15</v>
      </c>
      <c r="F28" s="190">
        <v>23</v>
      </c>
      <c r="G28" s="197">
        <v>36</v>
      </c>
      <c r="H28" s="206" t="s">
        <v>230</v>
      </c>
      <c r="I28" s="207" t="s">
        <v>15</v>
      </c>
      <c r="K28" s="240">
        <v>23</v>
      </c>
      <c r="L28" s="228">
        <v>10</v>
      </c>
      <c r="M28" s="192" t="s">
        <v>244</v>
      </c>
      <c r="N28" s="193" t="s">
        <v>15</v>
      </c>
      <c r="O28" s="232">
        <f>L28/G28</f>
        <v>0.27777777777777779</v>
      </c>
      <c r="Q28" s="190">
        <v>23</v>
      </c>
      <c r="R28" s="191">
        <v>5</v>
      </c>
      <c r="S28" s="204" t="s">
        <v>28</v>
      </c>
      <c r="T28" s="227" t="s">
        <v>15</v>
      </c>
      <c r="U28" s="2"/>
    </row>
    <row r="29" spans="1:21" x14ac:dyDescent="0.25">
      <c r="B29" s="4">
        <f>SUM(B15:B28)</f>
        <v>181</v>
      </c>
      <c r="F29" s="190">
        <v>24</v>
      </c>
      <c r="G29" s="159">
        <v>32</v>
      </c>
      <c r="H29" s="158" t="s">
        <v>16</v>
      </c>
      <c r="I29" s="160" t="s">
        <v>12</v>
      </c>
      <c r="K29" s="240">
        <v>24</v>
      </c>
      <c r="L29" s="191">
        <v>9</v>
      </c>
      <c r="M29" s="235" t="s">
        <v>35</v>
      </c>
      <c r="N29" s="236" t="s">
        <v>23</v>
      </c>
      <c r="O29" s="234">
        <f>L29/G35</f>
        <v>0.47368421052631576</v>
      </c>
      <c r="Q29" s="190">
        <v>23</v>
      </c>
      <c r="R29" s="191">
        <v>5</v>
      </c>
      <c r="S29" s="192" t="s">
        <v>402</v>
      </c>
      <c r="T29" s="193" t="s">
        <v>15</v>
      </c>
      <c r="U29" s="2"/>
    </row>
    <row r="30" spans="1:21" x14ac:dyDescent="0.25">
      <c r="B30" s="2"/>
      <c r="F30" s="190">
        <v>25</v>
      </c>
      <c r="G30" s="208">
        <v>23</v>
      </c>
      <c r="H30" s="206" t="s">
        <v>228</v>
      </c>
      <c r="I30" s="207" t="s">
        <v>12</v>
      </c>
      <c r="K30" s="240">
        <v>25</v>
      </c>
      <c r="L30" s="228">
        <v>7</v>
      </c>
      <c r="M30" s="229" t="s">
        <v>36</v>
      </c>
      <c r="N30" s="230" t="s">
        <v>23</v>
      </c>
      <c r="O30" s="233">
        <f>L30/G36</f>
        <v>0.3888888888888889</v>
      </c>
      <c r="Q30" s="190">
        <v>23</v>
      </c>
      <c r="R30" s="191">
        <v>5</v>
      </c>
      <c r="S30" s="204" t="s">
        <v>32</v>
      </c>
      <c r="T30" s="204" t="s">
        <v>18</v>
      </c>
      <c r="U30" s="2"/>
    </row>
    <row r="31" spans="1:21" x14ac:dyDescent="0.25">
      <c r="B31" s="2"/>
      <c r="F31" s="190">
        <v>26</v>
      </c>
      <c r="G31" s="159">
        <v>22</v>
      </c>
      <c r="H31" s="158" t="s">
        <v>27</v>
      </c>
      <c r="I31" s="160" t="s">
        <v>12</v>
      </c>
      <c r="K31" s="240">
        <v>26</v>
      </c>
      <c r="L31" s="191">
        <v>5</v>
      </c>
      <c r="M31" s="192" t="s">
        <v>9</v>
      </c>
      <c r="N31" s="193" t="s">
        <v>10</v>
      </c>
      <c r="O31" s="232">
        <f>L31/G6</f>
        <v>3.0120481927710843E-2</v>
      </c>
      <c r="Q31" s="190">
        <v>23</v>
      </c>
      <c r="R31" s="228">
        <v>5</v>
      </c>
      <c r="S31" s="346" t="s">
        <v>29</v>
      </c>
      <c r="T31" s="347" t="s">
        <v>23</v>
      </c>
      <c r="U31" s="2"/>
    </row>
    <row r="32" spans="1:21" x14ac:dyDescent="0.25">
      <c r="B32" s="2"/>
      <c r="F32" s="190">
        <v>27</v>
      </c>
      <c r="G32" s="159">
        <v>21</v>
      </c>
      <c r="H32" s="158" t="s">
        <v>29</v>
      </c>
      <c r="I32" s="160" t="s">
        <v>23</v>
      </c>
      <c r="K32" s="240">
        <v>27</v>
      </c>
      <c r="L32" s="191">
        <v>4</v>
      </c>
      <c r="M32" s="192" t="s">
        <v>228</v>
      </c>
      <c r="N32" s="193" t="s">
        <v>12</v>
      </c>
      <c r="O32" s="232">
        <f>L32/G30</f>
        <v>0.17391304347826086</v>
      </c>
      <c r="Q32" s="190">
        <v>23</v>
      </c>
      <c r="R32" s="191">
        <v>5</v>
      </c>
      <c r="S32" s="348" t="s">
        <v>31</v>
      </c>
      <c r="T32" s="349" t="s">
        <v>23</v>
      </c>
      <c r="U32" s="2"/>
    </row>
    <row r="33" spans="2:21" x14ac:dyDescent="0.25">
      <c r="B33" s="2"/>
      <c r="F33" s="190">
        <v>28</v>
      </c>
      <c r="G33" s="197">
        <v>21</v>
      </c>
      <c r="H33" s="206" t="s">
        <v>148</v>
      </c>
      <c r="I33" s="207" t="s">
        <v>15</v>
      </c>
      <c r="K33" s="240">
        <v>28</v>
      </c>
      <c r="L33" s="191">
        <v>3</v>
      </c>
      <c r="M33" s="204" t="s">
        <v>40</v>
      </c>
      <c r="N33" s="227" t="s">
        <v>23</v>
      </c>
      <c r="O33" s="232">
        <f>L33/G39</f>
        <v>0.6</v>
      </c>
      <c r="Q33" s="189">
        <v>23</v>
      </c>
      <c r="R33" s="191">
        <v>5</v>
      </c>
      <c r="S33" s="348" t="s">
        <v>387</v>
      </c>
      <c r="T33" s="349" t="s">
        <v>23</v>
      </c>
      <c r="U33" s="2"/>
    </row>
    <row r="34" spans="2:21" x14ac:dyDescent="0.25">
      <c r="B34" s="2"/>
      <c r="F34" s="190">
        <v>29</v>
      </c>
      <c r="G34" s="159">
        <v>19</v>
      </c>
      <c r="H34" s="158" t="s">
        <v>39</v>
      </c>
      <c r="I34" s="160" t="s">
        <v>15</v>
      </c>
      <c r="K34" s="240">
        <v>29</v>
      </c>
      <c r="L34" s="228">
        <v>1</v>
      </c>
      <c r="M34" s="192" t="s">
        <v>404</v>
      </c>
      <c r="N34" s="193" t="s">
        <v>15</v>
      </c>
      <c r="O34" s="232"/>
      <c r="Q34" s="189">
        <v>23</v>
      </c>
      <c r="R34" s="191">
        <v>5</v>
      </c>
      <c r="S34" s="348" t="s">
        <v>388</v>
      </c>
      <c r="T34" s="349" t="s">
        <v>15</v>
      </c>
      <c r="U34" s="2"/>
    </row>
    <row r="35" spans="2:21" x14ac:dyDescent="0.25">
      <c r="B35" s="2"/>
      <c r="F35" s="190">
        <v>30</v>
      </c>
      <c r="G35" s="16">
        <v>19</v>
      </c>
      <c r="H35" s="163" t="s">
        <v>35</v>
      </c>
      <c r="I35" s="164" t="s">
        <v>23</v>
      </c>
      <c r="K35" s="240"/>
      <c r="L35" s="228"/>
      <c r="M35" s="229"/>
      <c r="N35" s="230"/>
      <c r="O35" s="232"/>
      <c r="Q35" s="189"/>
      <c r="R35" s="2"/>
      <c r="S35" s="2"/>
      <c r="T35" s="2"/>
      <c r="U35" s="2"/>
    </row>
    <row r="36" spans="2:21" x14ac:dyDescent="0.25">
      <c r="B36" s="2"/>
      <c r="F36" s="190">
        <v>31</v>
      </c>
      <c r="G36" s="159">
        <v>18</v>
      </c>
      <c r="H36" s="158" t="s">
        <v>36</v>
      </c>
      <c r="I36" s="160" t="s">
        <v>23</v>
      </c>
      <c r="K36" s="187"/>
      <c r="L36" s="245">
        <f>SUM(L6:L34)</f>
        <v>664</v>
      </c>
      <c r="Q36" s="189"/>
      <c r="R36" s="2"/>
      <c r="S36" s="2"/>
      <c r="T36" s="2"/>
    </row>
    <row r="37" spans="2:21" x14ac:dyDescent="0.25">
      <c r="B37" s="2"/>
      <c r="F37" s="190">
        <v>32</v>
      </c>
      <c r="G37" s="16">
        <v>17</v>
      </c>
      <c r="H37" s="198" t="s">
        <v>40</v>
      </c>
      <c r="I37" s="199" t="s">
        <v>23</v>
      </c>
      <c r="K37" s="187"/>
      <c r="R37" s="2"/>
      <c r="S37" s="2"/>
      <c r="T37" s="2"/>
    </row>
    <row r="38" spans="2:21" x14ac:dyDescent="0.25">
      <c r="B38" s="2"/>
      <c r="F38" s="190">
        <v>33</v>
      </c>
      <c r="G38" s="159">
        <v>9</v>
      </c>
      <c r="H38" s="158" t="s">
        <v>19</v>
      </c>
      <c r="I38" s="160" t="s">
        <v>10</v>
      </c>
      <c r="K38" s="187"/>
      <c r="R38" s="2"/>
      <c r="S38" s="2"/>
      <c r="T38" s="2"/>
    </row>
    <row r="39" spans="2:21" x14ac:dyDescent="0.25">
      <c r="B39" s="2"/>
      <c r="F39" s="190">
        <v>34</v>
      </c>
      <c r="G39" s="197">
        <v>5</v>
      </c>
      <c r="H39" s="198" t="s">
        <v>42</v>
      </c>
      <c r="I39" s="199" t="s">
        <v>15</v>
      </c>
      <c r="K39" s="187"/>
      <c r="R39" s="2"/>
      <c r="S39" s="2"/>
      <c r="T39" s="2"/>
    </row>
    <row r="40" spans="2:21" x14ac:dyDescent="0.25">
      <c r="F40" s="190">
        <v>35</v>
      </c>
      <c r="G40" s="197">
        <v>5</v>
      </c>
      <c r="H40" s="198" t="s">
        <v>403</v>
      </c>
      <c r="I40" s="199" t="s">
        <v>15</v>
      </c>
      <c r="K40" s="187"/>
      <c r="R40" s="2"/>
      <c r="S40" s="2"/>
      <c r="T40" s="2"/>
    </row>
    <row r="41" spans="2:21" x14ac:dyDescent="0.25">
      <c r="F41" s="187"/>
      <c r="G41" s="187"/>
      <c r="H41" s="187"/>
      <c r="I41" s="187"/>
      <c r="J41" s="187"/>
      <c r="K41" s="187"/>
      <c r="R41" s="2"/>
      <c r="S41" s="2"/>
      <c r="T41" s="2"/>
    </row>
    <row r="42" spans="2:21" x14ac:dyDescent="0.25">
      <c r="F42" s="187"/>
      <c r="R42" s="2"/>
      <c r="S42" s="2"/>
      <c r="T42" s="2"/>
    </row>
    <row r="43" spans="2:21" x14ac:dyDescent="0.25">
      <c r="F43" s="187"/>
    </row>
    <row r="44" spans="2:21" x14ac:dyDescent="0.25">
      <c r="F44" s="187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23">
      <colorScale>
        <cfvo type="min"/>
        <cfvo type="max"/>
        <color rgb="FFFFEF9C"/>
        <color rgb="FF63BE7B"/>
      </colorScale>
    </cfRule>
  </conditionalFormatting>
  <conditionalFormatting sqref="R6:R34">
    <cfRule type="colorScale" priority="2273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2279">
      <colorScale>
        <cfvo type="min"/>
        <cfvo type="max"/>
        <color rgb="FFFFEF9C"/>
        <color rgb="FF63BE7B"/>
      </colorScale>
    </cfRule>
  </conditionalFormatting>
  <conditionalFormatting sqref="B15:B20 B22:B27">
    <cfRule type="colorScale" priority="2280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2290">
      <colorScale>
        <cfvo type="min"/>
        <cfvo type="max"/>
        <color rgb="FFFFEF9C"/>
        <color rgb="FF63BE7B"/>
      </colorScale>
    </cfRule>
  </conditionalFormatting>
  <conditionalFormatting sqref="O6:O33 O35">
    <cfRule type="colorScale" priority="2292">
      <colorScale>
        <cfvo type="min"/>
        <cfvo type="max"/>
        <color rgb="FFFCFCFF"/>
        <color rgb="FFF8696B"/>
      </colorScale>
    </cfRule>
  </conditionalFormatting>
  <conditionalFormatting sqref="O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activeCell="H11" sqref="H11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248</v>
      </c>
    </row>
    <row r="2" spans="1:15" x14ac:dyDescent="0.25">
      <c r="B2" t="s">
        <v>247</v>
      </c>
      <c r="D2" t="s">
        <v>247</v>
      </c>
      <c r="I2" s="251" t="str">
        <f>PLANTILLA!D4</f>
        <v>E. Tarrida</v>
      </c>
      <c r="M2" s="250" t="str">
        <f>PLANTILLA!C4</f>
        <v>POR</v>
      </c>
      <c r="N2" s="250" t="str">
        <f>PLANTILLA!D4</f>
        <v>E. Tarrida</v>
      </c>
      <c r="O2" s="250">
        <f>PLANTILLA!S4</f>
        <v>47590</v>
      </c>
    </row>
    <row r="3" spans="1:15" x14ac:dyDescent="0.25">
      <c r="A3" t="s">
        <v>94</v>
      </c>
      <c r="B3" t="s">
        <v>245</v>
      </c>
      <c r="C3" t="s">
        <v>245</v>
      </c>
      <c r="D3" t="s">
        <v>245</v>
      </c>
      <c r="E3" t="s">
        <v>94</v>
      </c>
      <c r="M3" t="str">
        <f>PLANTILLA!C5</f>
        <v>POR</v>
      </c>
      <c r="N3" t="str">
        <f>PLANTILLA!D5</f>
        <v>S. Candela</v>
      </c>
      <c r="O3">
        <f>PLANTILLA!S5</f>
        <v>38570</v>
      </c>
    </row>
    <row r="4" spans="1:15" x14ac:dyDescent="0.25">
      <c r="B4" t="s">
        <v>246</v>
      </c>
      <c r="C4" t="s">
        <v>246</v>
      </c>
      <c r="D4" t="s">
        <v>246</v>
      </c>
      <c r="H4" s="244" t="str">
        <f>PLANTILLA!D12</f>
        <v>G. Durand</v>
      </c>
      <c r="J4" s="244" t="str">
        <f>PLANTILLA!D14</f>
        <v>T. Orozco</v>
      </c>
      <c r="M4" t="str">
        <f>PLANTILLA!C19</f>
        <v>EXT</v>
      </c>
      <c r="N4" t="str">
        <f>PLANTILLA!D19</f>
        <v>D. Juliol</v>
      </c>
      <c r="O4">
        <f>PLANTILLA!S19</f>
        <v>17200</v>
      </c>
    </row>
    <row r="5" spans="1:15" x14ac:dyDescent="0.25">
      <c r="M5" t="str">
        <f>PLANTILLA!C10</f>
        <v>CEN</v>
      </c>
      <c r="N5" t="str">
        <f>PLANTILLA!D10</f>
        <v>D. Alemany</v>
      </c>
      <c r="O5">
        <f>PLANTILLA!S10</f>
        <v>8170</v>
      </c>
    </row>
    <row r="6" spans="1:15" x14ac:dyDescent="0.25">
      <c r="G6" s="243" t="str">
        <f>PLANTILLA!D18</f>
        <v>L. Grière</v>
      </c>
      <c r="H6" s="243" t="str">
        <f>PLANTILLA!D16</f>
        <v>A. Balsebre</v>
      </c>
      <c r="I6" s="243" t="str">
        <f>PLANTILLA!D13</f>
        <v>B. Corominola</v>
      </c>
      <c r="J6" s="243" t="str">
        <f>PLANTILLA!D15</f>
        <v>A. Retegui</v>
      </c>
      <c r="K6" s="243" t="str">
        <f>PLANTILLA!D17</f>
        <v>T. Lebon</v>
      </c>
      <c r="M6" t="str">
        <f>PLANTILLA!C9</f>
        <v>LAT</v>
      </c>
      <c r="N6" t="str">
        <f>PLANTILLA!D9</f>
        <v>P. Recatalà</v>
      </c>
      <c r="O6">
        <f>PLANTILLA!S9</f>
        <v>6850</v>
      </c>
    </row>
    <row r="7" spans="1:15" x14ac:dyDescent="0.25">
      <c r="M7" s="252" t="str">
        <f>PLANTILLA!C12</f>
        <v>CEN</v>
      </c>
      <c r="N7" s="252" t="str">
        <f>PLANTILLA!D12</f>
        <v>G. Durand</v>
      </c>
      <c r="O7" s="252">
        <f>PLANTILLA!S12</f>
        <v>40130</v>
      </c>
    </row>
    <row r="8" spans="1:15" x14ac:dyDescent="0.25">
      <c r="H8" s="255" t="str">
        <f>PLANTILLA!D21</f>
        <v>A. Baldoví</v>
      </c>
      <c r="I8" s="255" t="str">
        <f>PLANTILLA!D22</f>
        <v>R. Abrain</v>
      </c>
      <c r="J8" s="255" t="str">
        <f>PLANTILLA!D24</f>
        <v>I. Velayo</v>
      </c>
      <c r="M8" s="253" t="str">
        <f>PLANTILLA!C13</f>
        <v>MED</v>
      </c>
      <c r="N8" s="253" t="str">
        <f>PLANTILLA!D13</f>
        <v>B. Corominola</v>
      </c>
      <c r="O8" s="253">
        <f>PLANTILLA!S13</f>
        <v>166250</v>
      </c>
    </row>
    <row r="9" spans="1:15" x14ac:dyDescent="0.25">
      <c r="M9" s="252" t="str">
        <f>PLANTILLA!C14</f>
        <v>MED</v>
      </c>
      <c r="N9" s="252" t="str">
        <f>PLANTILLA!D14</f>
        <v>T. Orozco</v>
      </c>
      <c r="O9" s="252">
        <f>PLANTILLA!S14</f>
        <v>145350</v>
      </c>
    </row>
    <row r="10" spans="1:15" x14ac:dyDescent="0.25">
      <c r="M10" s="253" t="str">
        <f>PLANTILLA!C15</f>
        <v>MED</v>
      </c>
      <c r="N10" s="253" t="str">
        <f>PLANTILLA!D15</f>
        <v>A. Retegui</v>
      </c>
      <c r="O10" s="253">
        <f>PLANTILLA!S15</f>
        <v>198010</v>
      </c>
    </row>
    <row r="11" spans="1:15" x14ac:dyDescent="0.25">
      <c r="M11" s="253" t="str">
        <f>PLANTILLA!C16</f>
        <v>MED</v>
      </c>
      <c r="N11" s="253" t="str">
        <f>PLANTILLA!D16</f>
        <v>A. Balsebre</v>
      </c>
      <c r="O11" s="253">
        <f>PLANTILLA!S16</f>
        <v>168840</v>
      </c>
    </row>
    <row r="12" spans="1:15" x14ac:dyDescent="0.25">
      <c r="M12" s="253" t="str">
        <f>PLANTILLA!C17</f>
        <v>EXT</v>
      </c>
      <c r="N12" s="253" t="str">
        <f>PLANTILLA!D17</f>
        <v>T. Lebon</v>
      </c>
      <c r="O12" s="253">
        <f>PLANTILLA!S17</f>
        <v>135510</v>
      </c>
    </row>
    <row r="13" spans="1:15" x14ac:dyDescent="0.25">
      <c r="M13" s="253" t="str">
        <f>PLANTILLA!C18</f>
        <v>EXT</v>
      </c>
      <c r="N13" s="253" t="str">
        <f>PLANTILLA!D18</f>
        <v>L. Grière</v>
      </c>
      <c r="O13" s="253">
        <f>PLANTILLA!S18</f>
        <v>90720</v>
      </c>
    </row>
    <row r="14" spans="1:15" x14ac:dyDescent="0.25">
      <c r="M14" t="str">
        <f>PLANTILLA!C20</f>
        <v>DAV</v>
      </c>
      <c r="N14" t="str">
        <f>PLANTILLA!D20</f>
        <v>P. Molins</v>
      </c>
      <c r="O14">
        <f>PLANTILLA!S20</f>
        <v>6680</v>
      </c>
    </row>
    <row r="15" spans="1:15" x14ac:dyDescent="0.25">
      <c r="M15" s="254" t="str">
        <f>PLANTILLA!C21</f>
        <v>DAV</v>
      </c>
      <c r="N15" s="254" t="str">
        <f>PLANTILLA!D21</f>
        <v>A. Baldoví</v>
      </c>
      <c r="O15" s="254">
        <f>PLANTILLA!S21</f>
        <v>188830</v>
      </c>
    </row>
    <row r="16" spans="1:15" x14ac:dyDescent="0.25">
      <c r="M16" s="254" t="str">
        <f>PLANTILLA!C22</f>
        <v>DAV</v>
      </c>
      <c r="N16" s="254" t="str">
        <f>PLANTILLA!D22</f>
        <v>R. Abrain</v>
      </c>
      <c r="O16" s="254">
        <f>PLANTILLA!S22</f>
        <v>72580</v>
      </c>
    </row>
    <row r="17" spans="13:15" x14ac:dyDescent="0.25">
      <c r="M17" t="str">
        <f>PLANTILLA!C23</f>
        <v>DAV</v>
      </c>
      <c r="N17" t="str">
        <f>PLANTILLA!D23</f>
        <v>L. Cabistany</v>
      </c>
      <c r="O17">
        <f>PLANTILLA!S23</f>
        <v>14050</v>
      </c>
    </row>
    <row r="18" spans="13:15" x14ac:dyDescent="0.25">
      <c r="M18" s="254" t="str">
        <f>PLANTILLA!C24</f>
        <v>DAV</v>
      </c>
      <c r="N18" s="254" t="str">
        <f>PLANTILLA!D24</f>
        <v>I. Velayo</v>
      </c>
      <c r="O18" s="254">
        <f>PLANTILLA!S24</f>
        <v>62260</v>
      </c>
    </row>
    <row r="19" spans="13:15" x14ac:dyDescent="0.25">
      <c r="M19" t="e">
        <f>PLANTILLA!#REF!</f>
        <v>#REF!</v>
      </c>
      <c r="N19" t="e">
        <f>PLANTILLA!#REF!</f>
        <v>#REF!</v>
      </c>
      <c r="O19" t="e">
        <f>PLANTILLA!#REF!</f>
        <v>#REF!</v>
      </c>
    </row>
    <row r="20" spans="13:15" x14ac:dyDescent="0.25">
      <c r="M20" t="e">
        <f>PLANTILLA!#REF!</f>
        <v>#REF!</v>
      </c>
      <c r="N20" t="e">
        <f>PLANTILLA!#REF!</f>
        <v>#REF!</v>
      </c>
      <c r="O20" t="e">
        <f>PLANTILLA!#REF!</f>
        <v>#REF!</v>
      </c>
    </row>
    <row r="21" spans="13:15" x14ac:dyDescent="0.25">
      <c r="M21" t="e">
        <f>PLANTILLA!#REF!</f>
        <v>#REF!</v>
      </c>
      <c r="N21" t="e">
        <f>PLANTILLA!#REF!</f>
        <v>#REF!</v>
      </c>
      <c r="O21" t="e">
        <f>PLANTILLA!#REF!</f>
        <v>#REF!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18"/>
  <sheetViews>
    <sheetView workbookViewId="0">
      <selection activeCell="H15" sqref="H15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248</v>
      </c>
    </row>
    <row r="2" spans="1:15" x14ac:dyDescent="0.25">
      <c r="B2" t="s">
        <v>247</v>
      </c>
      <c r="E2" t="s">
        <v>250</v>
      </c>
      <c r="I2" s="251" t="str">
        <f>PLANTILLA!D4</f>
        <v>E. Tarrida</v>
      </c>
      <c r="M2" s="250" t="str">
        <f>PLANTILLA!C4</f>
        <v>POR</v>
      </c>
      <c r="N2" s="250" t="str">
        <f>PLANTILLA!D4</f>
        <v>E. Tarrida</v>
      </c>
      <c r="O2" s="250">
        <f>PLANTILLA!S4</f>
        <v>47590</v>
      </c>
    </row>
    <row r="3" spans="1:15" x14ac:dyDescent="0.25">
      <c r="A3" t="s">
        <v>94</v>
      </c>
      <c r="B3" t="s">
        <v>245</v>
      </c>
      <c r="C3" t="s">
        <v>245</v>
      </c>
      <c r="D3" t="s">
        <v>234</v>
      </c>
      <c r="E3" t="s">
        <v>93</v>
      </c>
      <c r="M3" t="str">
        <f>PLANTILLA!C5</f>
        <v>POR</v>
      </c>
      <c r="N3" t="str">
        <f>PLANTILLA!D5</f>
        <v>S. Candela</v>
      </c>
      <c r="O3">
        <f>PLANTILLA!S5</f>
        <v>38570</v>
      </c>
    </row>
    <row r="4" spans="1:15" x14ac:dyDescent="0.25">
      <c r="B4" t="s">
        <v>246</v>
      </c>
      <c r="C4" t="s">
        <v>246</v>
      </c>
      <c r="D4" t="s">
        <v>249</v>
      </c>
      <c r="H4" s="244" t="str">
        <f>PLANTILLA!D12</f>
        <v>G. Durand</v>
      </c>
      <c r="J4" s="256"/>
      <c r="K4" s="244" t="str">
        <f>PLANTILLA!D18</f>
        <v>L. Grière</v>
      </c>
      <c r="M4" t="str">
        <f>PLANTILLA!C19</f>
        <v>EXT</v>
      </c>
      <c r="N4" t="str">
        <f>PLANTILLA!D19</f>
        <v>D. Juliol</v>
      </c>
      <c r="O4">
        <f>PLANTILLA!S19</f>
        <v>17200</v>
      </c>
    </row>
    <row r="5" spans="1:15" x14ac:dyDescent="0.25">
      <c r="M5" t="str">
        <f>PLANTILLA!C10</f>
        <v>CEN</v>
      </c>
      <c r="N5" t="str">
        <f>PLANTILLA!D10</f>
        <v>D. Alemany</v>
      </c>
      <c r="O5">
        <f>PLANTILLA!S10</f>
        <v>8170</v>
      </c>
    </row>
    <row r="6" spans="1:15" x14ac:dyDescent="0.25">
      <c r="G6" s="243" t="str">
        <f>PLANTILLA!D14</f>
        <v>T. Orozco</v>
      </c>
      <c r="H6" s="243" t="str">
        <f>PLANTILLA!D16</f>
        <v>A. Balsebre</v>
      </c>
      <c r="I6" s="243" t="str">
        <f>PLANTILLA!D13</f>
        <v>B. Corominola</v>
      </c>
      <c r="J6" s="243" t="str">
        <f>PLANTILLA!D15</f>
        <v>A. Retegui</v>
      </c>
      <c r="K6" s="243" t="str">
        <f>PLANTILLA!D17</f>
        <v>T. Lebon</v>
      </c>
      <c r="M6" t="str">
        <f>PLANTILLA!C9</f>
        <v>LAT</v>
      </c>
      <c r="N6" t="str">
        <f>PLANTILLA!D9</f>
        <v>P. Recatalà</v>
      </c>
      <c r="O6">
        <f>PLANTILLA!S9</f>
        <v>6850</v>
      </c>
    </row>
    <row r="7" spans="1:15" x14ac:dyDescent="0.25">
      <c r="M7" s="257" t="str">
        <f>PLANTILLA!C12</f>
        <v>CEN</v>
      </c>
      <c r="N7" s="257" t="str">
        <f>PLANTILLA!D12</f>
        <v>G. Durand</v>
      </c>
      <c r="O7" s="257">
        <f>PLANTILLA!S12</f>
        <v>40130</v>
      </c>
    </row>
    <row r="8" spans="1:15" x14ac:dyDescent="0.25">
      <c r="H8" s="255" t="str">
        <f>PLANTILLA!D24</f>
        <v>I. Velayo</v>
      </c>
      <c r="I8" s="255" t="str">
        <f>PLANTILLA!D22</f>
        <v>R. Abrain</v>
      </c>
      <c r="J8" s="255" t="str">
        <f>PLANTILLA!D21</f>
        <v>A. Baldoví</v>
      </c>
      <c r="M8" s="253" t="str">
        <f>PLANTILLA!C13</f>
        <v>MED</v>
      </c>
      <c r="N8" s="253" t="str">
        <f>PLANTILLA!D13</f>
        <v>B. Corominola</v>
      </c>
      <c r="O8" s="253">
        <f>PLANTILLA!S13</f>
        <v>166250</v>
      </c>
    </row>
    <row r="9" spans="1:15" x14ac:dyDescent="0.25">
      <c r="M9" s="253" t="str">
        <f>PLANTILLA!C14</f>
        <v>MED</v>
      </c>
      <c r="N9" s="253" t="str">
        <f>PLANTILLA!D14</f>
        <v>T. Orozco</v>
      </c>
      <c r="O9" s="253">
        <f>PLANTILLA!S14</f>
        <v>145350</v>
      </c>
    </row>
    <row r="10" spans="1:15" x14ac:dyDescent="0.25">
      <c r="M10" s="253" t="str">
        <f>PLANTILLA!C15</f>
        <v>MED</v>
      </c>
      <c r="N10" s="253" t="str">
        <f>PLANTILLA!D15</f>
        <v>A. Retegui</v>
      </c>
      <c r="O10" s="253">
        <f>PLANTILLA!S15</f>
        <v>198010</v>
      </c>
    </row>
    <row r="11" spans="1:15" x14ac:dyDescent="0.25">
      <c r="M11" s="253" t="str">
        <f>PLANTILLA!C16</f>
        <v>MED</v>
      </c>
      <c r="N11" s="253" t="str">
        <f>PLANTILLA!D16</f>
        <v>A. Balsebre</v>
      </c>
      <c r="O11" s="253">
        <f>PLANTILLA!S16</f>
        <v>168840</v>
      </c>
    </row>
    <row r="12" spans="1:15" x14ac:dyDescent="0.25">
      <c r="M12" s="253" t="str">
        <f>PLANTILLA!C17</f>
        <v>EXT</v>
      </c>
      <c r="N12" s="253" t="str">
        <f>PLANTILLA!D17</f>
        <v>T. Lebon</v>
      </c>
      <c r="O12" s="253">
        <f>PLANTILLA!S17</f>
        <v>135510</v>
      </c>
    </row>
    <row r="13" spans="1:15" x14ac:dyDescent="0.25">
      <c r="M13" s="252" t="str">
        <f>PLANTILLA!C18</f>
        <v>EXT</v>
      </c>
      <c r="N13" s="252" t="str">
        <f>PLANTILLA!D18</f>
        <v>L. Grière</v>
      </c>
      <c r="O13" s="252">
        <f>PLANTILLA!S18</f>
        <v>90720</v>
      </c>
    </row>
    <row r="14" spans="1:15" x14ac:dyDescent="0.25">
      <c r="M14" t="str">
        <f>PLANTILLA!C20</f>
        <v>DAV</v>
      </c>
      <c r="N14" t="str">
        <f>PLANTILLA!D20</f>
        <v>P. Molins</v>
      </c>
      <c r="O14">
        <f>PLANTILLA!S20</f>
        <v>6680</v>
      </c>
    </row>
    <row r="15" spans="1:15" x14ac:dyDescent="0.25">
      <c r="M15" s="254" t="str">
        <f>PLANTILLA!C21</f>
        <v>DAV</v>
      </c>
      <c r="N15" s="254" t="str">
        <f>PLANTILLA!D21</f>
        <v>A. Baldoví</v>
      </c>
      <c r="O15" s="254">
        <f>PLANTILLA!S21</f>
        <v>188830</v>
      </c>
    </row>
    <row r="16" spans="1:15" x14ac:dyDescent="0.25">
      <c r="M16" s="254" t="str">
        <f>PLANTILLA!C22</f>
        <v>DAV</v>
      </c>
      <c r="N16" s="254" t="str">
        <f>PLANTILLA!D22</f>
        <v>R. Abrain</v>
      </c>
      <c r="O16" s="254">
        <f>PLANTILLA!S22</f>
        <v>72580</v>
      </c>
    </row>
    <row r="17" spans="13:15" x14ac:dyDescent="0.25">
      <c r="M17" t="str">
        <f>PLANTILLA!C23</f>
        <v>DAV</v>
      </c>
      <c r="N17" t="str">
        <f>PLANTILLA!D23</f>
        <v>L. Cabistany</v>
      </c>
      <c r="O17">
        <f>PLANTILLA!S23</f>
        <v>14050</v>
      </c>
    </row>
    <row r="18" spans="13:15" x14ac:dyDescent="0.25">
      <c r="M18" s="254" t="str">
        <f>PLANTILLA!C24</f>
        <v>DAV</v>
      </c>
      <c r="N18" s="254" t="str">
        <f>PLANTILLA!D24</f>
        <v>I. Velayo</v>
      </c>
      <c r="O18" s="254">
        <f>PLANTILLA!S24</f>
        <v>62260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J6" sqref="J6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266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266" bestFit="1" customWidth="1"/>
    <col min="10" max="10" width="6.42578125" style="267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251</v>
      </c>
    </row>
    <row r="2" spans="1:25" ht="15" x14ac:dyDescent="0.25">
      <c r="A2" s="282" t="s">
        <v>235</v>
      </c>
      <c r="B2" s="283" t="s">
        <v>214</v>
      </c>
      <c r="C2" s="283" t="s">
        <v>215</v>
      </c>
      <c r="D2" s="283" t="s">
        <v>216</v>
      </c>
      <c r="E2" s="284" t="s">
        <v>217</v>
      </c>
      <c r="F2" s="283" t="s">
        <v>218</v>
      </c>
      <c r="G2" s="283" t="s">
        <v>219</v>
      </c>
      <c r="H2" s="283" t="s">
        <v>220</v>
      </c>
      <c r="I2" s="284" t="s">
        <v>15</v>
      </c>
      <c r="J2" s="285" t="s">
        <v>242</v>
      </c>
      <c r="O2" s="2"/>
      <c r="P2" s="2"/>
      <c r="Q2" s="251" t="s">
        <v>99</v>
      </c>
      <c r="R2" s="2"/>
      <c r="S2" s="2"/>
    </row>
    <row r="3" spans="1:25" x14ac:dyDescent="0.25">
      <c r="A3" s="265" t="s">
        <v>236</v>
      </c>
      <c r="B3" s="155">
        <f>POR!V4</f>
        <v>8.5285714285714284E-2</v>
      </c>
      <c r="C3" s="155">
        <f>POR!W4</f>
        <v>0.12371428571428571</v>
      </c>
      <c r="D3" s="155">
        <f>POR!X4</f>
        <v>8.5285714285714284E-2</v>
      </c>
      <c r="E3" s="275"/>
      <c r="F3" s="287"/>
      <c r="G3" s="287"/>
      <c r="H3" s="287"/>
      <c r="I3" s="281">
        <f>(B3*0.257+C3*0.36+D3*0.257)/0.874</f>
        <v>0.10111441647597254</v>
      </c>
      <c r="J3" s="278"/>
      <c r="O3" s="2"/>
      <c r="P3" s="2"/>
      <c r="Q3" s="2"/>
      <c r="R3" s="2"/>
      <c r="S3" s="2"/>
      <c r="W3" t="s">
        <v>248</v>
      </c>
    </row>
    <row r="4" spans="1:25" x14ac:dyDescent="0.25">
      <c r="A4" s="265" t="s">
        <v>237</v>
      </c>
      <c r="B4" s="155">
        <f>DEF!S13</f>
        <v>0.36154999999999998</v>
      </c>
      <c r="C4" s="155">
        <f>DEF!T13</f>
        <v>0.82915000000000005</v>
      </c>
      <c r="D4" s="155">
        <f>DEF!U13</f>
        <v>0.33830000000000005</v>
      </c>
      <c r="E4" s="275"/>
      <c r="F4" s="287"/>
      <c r="G4" s="287"/>
      <c r="H4" s="287"/>
      <c r="I4" s="281">
        <f>(B4*0.257+C4*0.36+D4*0.257)/0.874</f>
        <v>0.54731744851258579</v>
      </c>
      <c r="J4" s="278"/>
      <c r="O4" s="2"/>
      <c r="P4" s="244" t="s">
        <v>111</v>
      </c>
      <c r="Q4" s="2"/>
      <c r="R4" s="244" t="s">
        <v>113</v>
      </c>
      <c r="S4" s="2"/>
      <c r="V4" t="s">
        <v>247</v>
      </c>
      <c r="X4" t="s">
        <v>247</v>
      </c>
    </row>
    <row r="5" spans="1:25" x14ac:dyDescent="0.25">
      <c r="A5" s="251" t="s">
        <v>238</v>
      </c>
      <c r="E5" s="276">
        <f>JUG!R12</f>
        <v>0.45342948717948717</v>
      </c>
      <c r="F5" s="287"/>
      <c r="G5" s="287"/>
      <c r="H5" s="287"/>
      <c r="I5" s="275"/>
      <c r="J5" s="278"/>
      <c r="O5" s="2"/>
      <c r="P5" s="2"/>
      <c r="Q5" s="2"/>
      <c r="R5" s="2"/>
      <c r="S5" s="2"/>
      <c r="U5" t="s">
        <v>94</v>
      </c>
      <c r="V5" t="s">
        <v>245</v>
      </c>
      <c r="W5" t="s">
        <v>245</v>
      </c>
      <c r="X5" t="s">
        <v>245</v>
      </c>
      <c r="Y5" t="s">
        <v>94</v>
      </c>
    </row>
    <row r="6" spans="1:25" x14ac:dyDescent="0.25">
      <c r="A6" s="243" t="s">
        <v>239</v>
      </c>
      <c r="E6" s="275"/>
      <c r="F6" s="289">
        <f>LAT!T10</f>
        <v>0.40150000000000002</v>
      </c>
      <c r="G6" s="289">
        <f>LAT!U10</f>
        <v>0</v>
      </c>
      <c r="H6" s="289">
        <f>LAT!V10</f>
        <v>0.40150000000000002</v>
      </c>
      <c r="I6" s="276"/>
      <c r="J6" s="279">
        <f>(F6*0.257+G6*0.36+H6*0.257)/0.874</f>
        <v>0.23612242562929064</v>
      </c>
      <c r="O6" s="243" t="s">
        <v>119</v>
      </c>
      <c r="P6" s="243" t="s">
        <v>121</v>
      </c>
      <c r="Q6" s="243" t="s">
        <v>108</v>
      </c>
      <c r="R6" s="243" t="s">
        <v>146</v>
      </c>
      <c r="S6" s="243" t="s">
        <v>115</v>
      </c>
      <c r="V6" t="s">
        <v>246</v>
      </c>
      <c r="W6" t="s">
        <v>246</v>
      </c>
      <c r="X6" t="s">
        <v>246</v>
      </c>
    </row>
    <row r="7" spans="1:25" x14ac:dyDescent="0.25">
      <c r="A7" s="243" t="s">
        <v>263</v>
      </c>
      <c r="E7" s="275"/>
      <c r="F7" s="289">
        <f>ATTLAT!T10</f>
        <v>0.32127999999999995</v>
      </c>
      <c r="G7" s="289">
        <f>ATTLAT!U10</f>
        <v>0</v>
      </c>
      <c r="H7" s="289">
        <f>ATTLAT!V10</f>
        <v>0.32127999999999995</v>
      </c>
      <c r="I7" s="276"/>
      <c r="J7" s="279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43" t="s">
        <v>240</v>
      </c>
      <c r="E8" s="275"/>
      <c r="F8" s="289">
        <f>PAS!T10</f>
        <v>0.40804166666666652</v>
      </c>
      <c r="G8" s="289">
        <f>PAS!U10</f>
        <v>0.80658333333333332</v>
      </c>
      <c r="H8" s="289">
        <f>PAS!V10</f>
        <v>0.44270833333333326</v>
      </c>
      <c r="I8" s="275"/>
      <c r="J8" s="279">
        <f t="shared" ref="J8:J9" si="0">(F8*0.257+G8*0.36+H8*0.257)/0.874</f>
        <v>0.58239445080091523</v>
      </c>
      <c r="O8" s="2"/>
      <c r="P8" s="255" t="s">
        <v>124</v>
      </c>
      <c r="Q8" s="255" t="s">
        <v>127</v>
      </c>
      <c r="R8" s="255" t="s">
        <v>129</v>
      </c>
      <c r="S8" s="2"/>
    </row>
    <row r="9" spans="1:25" x14ac:dyDescent="0.25">
      <c r="A9" s="243" t="s">
        <v>241</v>
      </c>
      <c r="E9" s="277"/>
      <c r="F9" s="291">
        <f>ANO!T10</f>
        <v>6.9000000000000006E-2</v>
      </c>
      <c r="G9" s="291">
        <f>ANO!U10</f>
        <v>0.68199999999999994</v>
      </c>
      <c r="H9" s="291">
        <f>ANO!V10</f>
        <v>6.9000000000000006E-2</v>
      </c>
      <c r="I9" s="277"/>
      <c r="J9" s="280">
        <f t="shared" si="0"/>
        <v>0.32149427917620133</v>
      </c>
    </row>
    <row r="13" spans="1:25" x14ac:dyDescent="0.25">
      <c r="A13" s="18" t="s">
        <v>252</v>
      </c>
      <c r="O13" s="2"/>
      <c r="P13" s="2"/>
      <c r="Q13" s="251" t="s">
        <v>99</v>
      </c>
      <c r="R13" s="2"/>
      <c r="S13" s="2"/>
    </row>
    <row r="14" spans="1:25" ht="15" x14ac:dyDescent="0.25">
      <c r="A14" s="282" t="s">
        <v>235</v>
      </c>
      <c r="B14" s="283" t="s">
        <v>214</v>
      </c>
      <c r="C14" s="283" t="s">
        <v>215</v>
      </c>
      <c r="D14" s="283" t="s">
        <v>216</v>
      </c>
      <c r="E14" s="284" t="s">
        <v>217</v>
      </c>
      <c r="F14" s="283" t="s">
        <v>218</v>
      </c>
      <c r="G14" s="283" t="s">
        <v>219</v>
      </c>
      <c r="H14" s="286" t="s">
        <v>220</v>
      </c>
      <c r="I14" s="285" t="s">
        <v>15</v>
      </c>
      <c r="J14" s="285" t="s">
        <v>242</v>
      </c>
      <c r="O14" s="2"/>
      <c r="P14" s="2"/>
      <c r="Q14" s="2"/>
      <c r="R14" s="2"/>
      <c r="S14" s="2"/>
      <c r="W14" t="s">
        <v>248</v>
      </c>
    </row>
    <row r="15" spans="1:25" x14ac:dyDescent="0.25">
      <c r="A15" s="265" t="s">
        <v>236</v>
      </c>
      <c r="B15" s="155">
        <f>POR!V4</f>
        <v>8.5285714285714284E-2</v>
      </c>
      <c r="C15" s="155">
        <f>POR!W4</f>
        <v>0.12371428571428571</v>
      </c>
      <c r="D15" s="155">
        <f>POR!X4</f>
        <v>8.5285714285714284E-2</v>
      </c>
      <c r="E15" s="275"/>
      <c r="F15" s="287"/>
      <c r="G15" s="287"/>
      <c r="H15" s="288"/>
      <c r="I15" s="279">
        <f>(B15*0.257+C15*0.36+D15*0.257)/0.874</f>
        <v>0.10111441647597254</v>
      </c>
      <c r="J15" s="278"/>
      <c r="O15" s="2"/>
      <c r="P15" s="244" t="s">
        <v>111</v>
      </c>
      <c r="Q15" s="2"/>
      <c r="R15" s="256"/>
      <c r="S15" s="244" t="s">
        <v>119</v>
      </c>
      <c r="V15" t="s">
        <v>247</v>
      </c>
      <c r="Y15" t="s">
        <v>250</v>
      </c>
    </row>
    <row r="16" spans="1:25" x14ac:dyDescent="0.25">
      <c r="A16" s="265" t="s">
        <v>237</v>
      </c>
      <c r="B16" s="155">
        <f>DEF!AF13</f>
        <v>0.27379999999999999</v>
      </c>
      <c r="C16" s="155">
        <f>DEF!AG13</f>
        <v>0.73615000000000008</v>
      </c>
      <c r="D16" s="155">
        <f>DEF!AH13</f>
        <v>0.45904999999999996</v>
      </c>
      <c r="E16" s="275"/>
      <c r="F16" s="287"/>
      <c r="G16" s="287"/>
      <c r="H16" s="288"/>
      <c r="I16" s="279">
        <f>(B16*0.257+C16*0.36+D16*0.257)/0.874</f>
        <v>0.51871447368421053</v>
      </c>
      <c r="J16" s="278"/>
      <c r="O16" s="2"/>
      <c r="P16" s="2"/>
      <c r="Q16" s="2"/>
      <c r="R16" s="2"/>
      <c r="S16" s="2"/>
      <c r="U16" t="s">
        <v>94</v>
      </c>
      <c r="V16" t="s">
        <v>245</v>
      </c>
      <c r="W16" t="s">
        <v>245</v>
      </c>
      <c r="X16" t="s">
        <v>234</v>
      </c>
      <c r="Y16" t="s">
        <v>93</v>
      </c>
    </row>
    <row r="17" spans="1:24" x14ac:dyDescent="0.25">
      <c r="A17" s="251" t="s">
        <v>238</v>
      </c>
      <c r="E17" s="276">
        <f>JUG!AC12</f>
        <v>0.4103525641025641</v>
      </c>
      <c r="F17" s="287"/>
      <c r="G17" s="287"/>
      <c r="H17" s="288"/>
      <c r="I17" s="293"/>
      <c r="J17" s="278"/>
      <c r="O17" s="243" t="s">
        <v>113</v>
      </c>
      <c r="P17" s="243" t="s">
        <v>121</v>
      </c>
      <c r="Q17" s="243" t="s">
        <v>108</v>
      </c>
      <c r="R17" s="243" t="s">
        <v>146</v>
      </c>
      <c r="S17" s="243" t="s">
        <v>115</v>
      </c>
      <c r="V17" t="s">
        <v>246</v>
      </c>
      <c r="W17" t="s">
        <v>246</v>
      </c>
      <c r="X17" t="s">
        <v>249</v>
      </c>
    </row>
    <row r="18" spans="1:24" x14ac:dyDescent="0.25">
      <c r="A18" s="243" t="s">
        <v>239</v>
      </c>
      <c r="E18" s="275"/>
      <c r="F18" s="289">
        <f>LAT!AD10</f>
        <v>0.10050000000000001</v>
      </c>
      <c r="G18" s="289">
        <f>LAT!AE10</f>
        <v>0</v>
      </c>
      <c r="H18" s="290">
        <f>LAT!AF10</f>
        <v>0.79916666666666658</v>
      </c>
      <c r="I18" s="294"/>
      <c r="J18" s="279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43" t="s">
        <v>263</v>
      </c>
      <c r="E19" s="275"/>
      <c r="F19" s="289">
        <f>ATTLAT!AD10</f>
        <v>0.12864</v>
      </c>
      <c r="G19" s="289">
        <f>ATTLAT!AE10</f>
        <v>0</v>
      </c>
      <c r="H19" s="290">
        <f>ATTLAT!AF10</f>
        <v>0.57578666666666667</v>
      </c>
      <c r="I19" s="294"/>
      <c r="J19" s="279">
        <f>(F19*0.257+G19*0.36+H19*0.257)/0.874</f>
        <v>0.2071369031273837</v>
      </c>
      <c r="O19" s="2"/>
      <c r="P19" s="255" t="s">
        <v>129</v>
      </c>
      <c r="Q19" s="255" t="s">
        <v>127</v>
      </c>
      <c r="R19" s="255" t="s">
        <v>124</v>
      </c>
      <c r="S19" s="2"/>
    </row>
    <row r="20" spans="1:24" x14ac:dyDescent="0.25">
      <c r="A20" s="243" t="s">
        <v>240</v>
      </c>
      <c r="E20" s="275"/>
      <c r="F20" s="289">
        <f>PAS!AD10</f>
        <v>0.31270833333333325</v>
      </c>
      <c r="G20" s="289">
        <f>PAS!AE10</f>
        <v>0.70791666666666664</v>
      </c>
      <c r="H20" s="290">
        <f>PAS!AF10</f>
        <v>0.45504166666666668</v>
      </c>
      <c r="I20" s="293"/>
      <c r="J20" s="279">
        <f t="shared" ref="J20:J21" si="1">(F20*0.257+G20*0.36+H20*0.257)/0.874</f>
        <v>0.51734754004576655</v>
      </c>
    </row>
    <row r="21" spans="1:24" x14ac:dyDescent="0.25">
      <c r="A21" s="243" t="s">
        <v>241</v>
      </c>
      <c r="E21" s="277"/>
      <c r="F21" s="291">
        <f>ANO!AD10</f>
        <v>6.9000000000000006E-2</v>
      </c>
      <c r="G21" s="291">
        <f>ANO!AE10</f>
        <v>0.53733333333333333</v>
      </c>
      <c r="H21" s="292">
        <f>ANO!AF10</f>
        <v>0.12416666666666665</v>
      </c>
      <c r="I21" s="295"/>
      <c r="J21" s="280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N5" sqref="N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42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1" t="s">
        <v>46</v>
      </c>
      <c r="B3" s="152" t="s">
        <v>47</v>
      </c>
      <c r="C3" s="152" t="s">
        <v>48</v>
      </c>
      <c r="D3" s="152" t="s">
        <v>49</v>
      </c>
      <c r="E3" s="152" t="s">
        <v>52</v>
      </c>
      <c r="F3" s="152" t="s">
        <v>57</v>
      </c>
      <c r="G3" s="152" t="s">
        <v>65</v>
      </c>
      <c r="H3" s="152" t="s">
        <v>66</v>
      </c>
      <c r="I3" s="152" t="s">
        <v>67</v>
      </c>
      <c r="J3" s="152" t="s">
        <v>68</v>
      </c>
      <c r="K3" s="152" t="s">
        <v>69</v>
      </c>
      <c r="L3" s="152" t="s">
        <v>70</v>
      </c>
      <c r="M3" s="152" t="s">
        <v>49</v>
      </c>
      <c r="N3" s="153" t="s">
        <v>144</v>
      </c>
      <c r="O3" s="154" t="s">
        <v>214</v>
      </c>
      <c r="P3" s="154" t="s">
        <v>215</v>
      </c>
      <c r="Q3" s="154" t="s">
        <v>216</v>
      </c>
      <c r="R3" s="154" t="s">
        <v>217</v>
      </c>
      <c r="S3" s="154" t="s">
        <v>218</v>
      </c>
      <c r="T3" s="154" t="s">
        <v>219</v>
      </c>
      <c r="U3" s="154" t="s">
        <v>220</v>
      </c>
      <c r="V3" s="215" t="s">
        <v>79</v>
      </c>
      <c r="W3" s="215" t="s">
        <v>79</v>
      </c>
      <c r="X3" s="215" t="s">
        <v>79</v>
      </c>
    </row>
    <row r="4" spans="1:24" x14ac:dyDescent="0.25">
      <c r="A4" t="str">
        <f>PLANTILLA!D4</f>
        <v>E. Tarrida</v>
      </c>
      <c r="B4">
        <f>PLANTILLA!E4</f>
        <v>27</v>
      </c>
      <c r="C4" s="133">
        <f ca="1">PLANTILLA!F4</f>
        <v>78</v>
      </c>
      <c r="D4" t="str">
        <f>PLANTILLA!G4</f>
        <v>RAP</v>
      </c>
      <c r="E4" s="72">
        <f>PLANTILLA!J4</f>
        <v>1.2041199826559248</v>
      </c>
      <c r="F4" s="70">
        <f>PLANTILLA!O4</f>
        <v>1.5</v>
      </c>
      <c r="G4" s="70">
        <f>PLANTILLA!W4</f>
        <v>13.285714285714286</v>
      </c>
      <c r="H4" s="70">
        <f>PLANTILLA!X4</f>
        <v>6</v>
      </c>
      <c r="I4" s="70">
        <f>PLANTILLA!Y4</f>
        <v>5</v>
      </c>
      <c r="J4" s="70">
        <f>PLANTILLA!Z4</f>
        <v>3</v>
      </c>
      <c r="K4" s="70">
        <f>PLANTILLA!AA4</f>
        <v>4</v>
      </c>
      <c r="L4" s="70">
        <f>PLANTILLA!AB4</f>
        <v>3</v>
      </c>
      <c r="M4" s="70">
        <f>PLANTILLA!AC4</f>
        <v>8</v>
      </c>
      <c r="N4" s="214">
        <f>1/7</f>
        <v>0.14285714285714285</v>
      </c>
      <c r="O4" s="155">
        <f t="shared" ref="O4:Q5" si="0">$N4*O$2</f>
        <v>8.5285714285714284E-2</v>
      </c>
      <c r="P4" s="155">
        <f t="shared" si="0"/>
        <v>0.12371428571428571</v>
      </c>
      <c r="Q4" s="155">
        <f t="shared" si="0"/>
        <v>8.5285714285714284E-2</v>
      </c>
      <c r="V4" s="156">
        <f>O4</f>
        <v>8.5285714285714284E-2</v>
      </c>
      <c r="W4" s="156">
        <f t="shared" ref="W4:X4" si="1">P4</f>
        <v>0.12371428571428571</v>
      </c>
      <c r="X4" s="156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30</v>
      </c>
      <c r="C5" s="133">
        <f ca="1">PLANTILLA!F5</f>
        <v>69</v>
      </c>
      <c r="D5" t="str">
        <f>PLANTILLA!G5</f>
        <v>CAB</v>
      </c>
      <c r="E5" s="72">
        <f>PLANTILLA!J5</f>
        <v>0.85793690198158323</v>
      </c>
      <c r="F5" s="70">
        <f>PLANTILLA!O5</f>
        <v>1.5</v>
      </c>
      <c r="G5" s="70">
        <f>PLANTILLA!W5</f>
        <v>12.5</v>
      </c>
      <c r="H5" s="70">
        <f>PLANTILLA!X5</f>
        <v>2</v>
      </c>
      <c r="I5" s="70">
        <f>PLANTILLA!Y5</f>
        <v>3</v>
      </c>
      <c r="J5" s="70">
        <f>PLANTILLA!Z5</f>
        <v>1</v>
      </c>
      <c r="K5" s="70">
        <f>PLANTILLA!AA5</f>
        <v>1</v>
      </c>
      <c r="L5" s="70">
        <f>PLANTILLA!AB5</f>
        <v>1</v>
      </c>
      <c r="M5" s="70">
        <f>PLANTILLA!AC5</f>
        <v>6</v>
      </c>
      <c r="N5" s="214">
        <f>1/6.5</f>
        <v>0.15384615384615385</v>
      </c>
      <c r="O5" s="155">
        <f t="shared" si="0"/>
        <v>9.1846153846153841E-2</v>
      </c>
      <c r="P5" s="155">
        <f t="shared" si="0"/>
        <v>0.13323076923076924</v>
      </c>
      <c r="Q5" s="155">
        <f t="shared" si="0"/>
        <v>9.1846153846153841E-2</v>
      </c>
      <c r="V5" s="156"/>
    </row>
    <row r="6" spans="1:24" x14ac:dyDescent="0.25">
      <c r="A6" t="str">
        <f>PLANTILLA!D19</f>
        <v>D. Juliol</v>
      </c>
      <c r="B6">
        <f>PLANTILLA!E19</f>
        <v>24</v>
      </c>
      <c r="C6" s="133">
        <f ca="1">PLANTILLA!F19</f>
        <v>23</v>
      </c>
      <c r="D6">
        <f>PLANTILLA!G19</f>
        <v>0</v>
      </c>
      <c r="E6" s="72">
        <f>PLANTILLA!J19</f>
        <v>1.0375350005115249</v>
      </c>
      <c r="F6" s="70">
        <f>PLANTILLA!O19</f>
        <v>1.5</v>
      </c>
      <c r="G6" s="70">
        <f>PLANTILLA!W19</f>
        <v>1</v>
      </c>
      <c r="H6" s="70">
        <f>PLANTILLA!X19</f>
        <v>5</v>
      </c>
      <c r="I6" s="70">
        <f>PLANTILLA!Y19</f>
        <v>9</v>
      </c>
      <c r="J6" s="70">
        <f>PLANTILLA!Z19</f>
        <v>6</v>
      </c>
      <c r="K6" s="70">
        <f>PLANTILLA!AA19</f>
        <v>6.5</v>
      </c>
      <c r="L6" s="70">
        <f>PLANTILLA!AB19</f>
        <v>6.25</v>
      </c>
      <c r="M6" s="70">
        <f>PLANTILLA!AC19</f>
        <v>5</v>
      </c>
      <c r="N6" s="72"/>
      <c r="V6" s="9"/>
    </row>
    <row r="7" spans="1:24" x14ac:dyDescent="0.25">
      <c r="A7" t="str">
        <f>PLANTILLA!D10</f>
        <v>D. Alemany</v>
      </c>
      <c r="B7">
        <f>PLANTILLA!E10</f>
        <v>21</v>
      </c>
      <c r="C7" s="133">
        <f ca="1">PLANTILLA!F10</f>
        <v>72</v>
      </c>
      <c r="D7">
        <f>PLANTILLA!G10</f>
        <v>0</v>
      </c>
      <c r="E7" s="72">
        <f>PLANTILLA!J10</f>
        <v>0.63616167295954995</v>
      </c>
      <c r="F7" s="70">
        <f>PLANTILLA!O10</f>
        <v>1.5</v>
      </c>
      <c r="G7" s="70">
        <f>PLANTILLA!W10</f>
        <v>0</v>
      </c>
      <c r="H7" s="70">
        <f>PLANTILLA!X10</f>
        <v>6</v>
      </c>
      <c r="I7" s="70">
        <f>PLANTILLA!Y10</f>
        <v>5.166666666666667</v>
      </c>
      <c r="J7" s="70">
        <f>PLANTILLA!Z10</f>
        <v>2</v>
      </c>
      <c r="K7" s="70">
        <f>PLANTILLA!AA10</f>
        <v>8</v>
      </c>
      <c r="L7" s="70">
        <f>PLANTILLA!AB10</f>
        <v>4</v>
      </c>
      <c r="M7" s="70">
        <f>PLANTILLA!AC10</f>
        <v>5</v>
      </c>
      <c r="N7" s="72"/>
      <c r="V7" s="9"/>
    </row>
    <row r="8" spans="1:24" x14ac:dyDescent="0.25">
      <c r="A8" t="str">
        <f>PLANTILLA!D9</f>
        <v>P. Recatalà</v>
      </c>
      <c r="B8">
        <f>PLANTILLA!E9</f>
        <v>23</v>
      </c>
      <c r="C8" s="133">
        <f ca="1">PLANTILLA!F9</f>
        <v>21</v>
      </c>
      <c r="D8">
        <f>PLANTILLA!G9</f>
        <v>0</v>
      </c>
      <c r="E8" s="72">
        <f>PLANTILLA!J9</f>
        <v>0.65514892511236356</v>
      </c>
      <c r="F8" s="70">
        <f>PLANTILLA!O9</f>
        <v>1.5</v>
      </c>
      <c r="G8" s="70">
        <f>PLANTILLA!W9</f>
        <v>0</v>
      </c>
      <c r="H8" s="70">
        <f>PLANTILLA!X9</f>
        <v>5</v>
      </c>
      <c r="I8" s="70">
        <f>PLANTILLA!Y9</f>
        <v>6</v>
      </c>
      <c r="J8" s="70">
        <f>PLANTILLA!Z9</f>
        <v>5</v>
      </c>
      <c r="K8" s="70">
        <f>PLANTILLA!AA9</f>
        <v>6.5</v>
      </c>
      <c r="L8" s="70">
        <f>PLANTILLA!AB9</f>
        <v>2</v>
      </c>
      <c r="M8" s="70">
        <f>PLANTILLA!AC9</f>
        <v>6</v>
      </c>
      <c r="N8" s="72"/>
      <c r="V8" s="9"/>
    </row>
    <row r="9" spans="1:24" x14ac:dyDescent="0.25">
      <c r="A9" t="str">
        <f>PLANTILLA!D12</f>
        <v>G. Durand</v>
      </c>
      <c r="B9">
        <f>PLANTILLA!E12</f>
        <v>24</v>
      </c>
      <c r="C9" s="133">
        <f ca="1">PLANTILLA!F12</f>
        <v>93</v>
      </c>
      <c r="D9" t="str">
        <f>PLANTILLA!G12</f>
        <v>IMP</v>
      </c>
      <c r="E9" s="72">
        <f>PLANTILLA!J12</f>
        <v>0.96570115946771873</v>
      </c>
      <c r="F9" s="70">
        <f>PLANTILLA!O12</f>
        <v>1.5</v>
      </c>
      <c r="G9" s="70">
        <f>PLANTILLA!W12</f>
        <v>0</v>
      </c>
      <c r="H9" s="70">
        <f>PLANTILLA!X12</f>
        <v>5</v>
      </c>
      <c r="I9" s="70">
        <f>PLANTILLA!Y12</f>
        <v>11.75</v>
      </c>
      <c r="J9" s="70">
        <f>PLANTILLA!Z12</f>
        <v>2</v>
      </c>
      <c r="K9" s="70">
        <f>PLANTILLA!AA12</f>
        <v>7</v>
      </c>
      <c r="L9" s="70">
        <f>PLANTILLA!AB12</f>
        <v>4</v>
      </c>
      <c r="M9" s="70">
        <f>PLANTILLA!AC12</f>
        <v>6</v>
      </c>
      <c r="N9" s="72"/>
      <c r="V9" s="9"/>
    </row>
    <row r="10" spans="1:24" x14ac:dyDescent="0.25">
      <c r="A10" t="str">
        <f>PLANTILLA!D13</f>
        <v>B. Corominola</v>
      </c>
      <c r="B10">
        <f>PLANTILLA!E13</f>
        <v>25</v>
      </c>
      <c r="C10" s="133">
        <f ca="1">PLANTILLA!F13</f>
        <v>53</v>
      </c>
      <c r="D10" t="str">
        <f>PLANTILLA!G13</f>
        <v>RAP</v>
      </c>
      <c r="E10" s="72">
        <f>PLANTILLA!J13</f>
        <v>1.1267973866856758</v>
      </c>
      <c r="F10" s="70">
        <f>PLANTILLA!O13</f>
        <v>1.5</v>
      </c>
      <c r="G10" s="70">
        <f>PLANTILLA!W13</f>
        <v>0</v>
      </c>
      <c r="H10" s="70">
        <f>PLANTILLA!X13</f>
        <v>6</v>
      </c>
      <c r="I10" s="70">
        <f>PLANTILLA!Y13</f>
        <v>14.9</v>
      </c>
      <c r="J10" s="70">
        <f>PLANTILLA!Z13</f>
        <v>2</v>
      </c>
      <c r="K10" s="70">
        <f>PLANTILLA!AA13</f>
        <v>9</v>
      </c>
      <c r="L10" s="70">
        <f>PLANTILLA!AB13</f>
        <v>7</v>
      </c>
      <c r="M10" s="70">
        <f>PLANTILLA!AC13</f>
        <v>5</v>
      </c>
      <c r="N10" s="72"/>
      <c r="V10" s="9"/>
    </row>
    <row r="11" spans="1:24" x14ac:dyDescent="0.25">
      <c r="A11" t="str">
        <f>PLANTILLA!D14</f>
        <v>T. Orozco</v>
      </c>
      <c r="B11">
        <f>PLANTILLA!E14</f>
        <v>25</v>
      </c>
      <c r="C11" s="133">
        <f ca="1">PLANTILLA!F14</f>
        <v>86</v>
      </c>
      <c r="D11" t="str">
        <f>PLANTILLA!G14</f>
        <v>CAB</v>
      </c>
      <c r="E11" s="72">
        <f>PLANTILLA!J14</f>
        <v>1.1267973866856758</v>
      </c>
      <c r="F11" s="70">
        <f>PLANTILLA!O14</f>
        <v>1.5</v>
      </c>
      <c r="G11" s="70">
        <f>PLANTILLA!W14</f>
        <v>1</v>
      </c>
      <c r="H11" s="70">
        <f>PLANTILLA!X14</f>
        <v>6</v>
      </c>
      <c r="I11" s="70">
        <f>PLANTILLA!Y14</f>
        <v>14.6</v>
      </c>
      <c r="J11" s="70">
        <f>PLANTILLA!Z14</f>
        <v>3</v>
      </c>
      <c r="K11" s="70">
        <f>PLANTILLA!AA14</f>
        <v>8.1999999999999993</v>
      </c>
      <c r="L11" s="70">
        <f>PLANTILLA!AB14</f>
        <v>6.5</v>
      </c>
      <c r="M11" s="70">
        <f>PLANTILLA!AC14</f>
        <v>6</v>
      </c>
      <c r="N11" s="72"/>
      <c r="V11" s="9"/>
    </row>
    <row r="12" spans="1:24" x14ac:dyDescent="0.25">
      <c r="A12" t="str">
        <f>PLANTILLA!D15</f>
        <v>A. Retegui</v>
      </c>
      <c r="B12">
        <f>PLANTILLA!E15</f>
        <v>22</v>
      </c>
      <c r="C12" s="133">
        <f ca="1">PLANTILLA!F15</f>
        <v>83</v>
      </c>
      <c r="D12">
        <f>PLANTILLA!G15</f>
        <v>0</v>
      </c>
      <c r="E12" s="72">
        <f>PLANTILLA!J15</f>
        <v>1.2723233459190999</v>
      </c>
      <c r="F12" s="70">
        <f>PLANTILLA!O15</f>
        <v>1.5</v>
      </c>
      <c r="G12" s="70">
        <f>PLANTILLA!W15</f>
        <v>0</v>
      </c>
      <c r="H12" s="70">
        <f>PLANTILLA!X15</f>
        <v>4</v>
      </c>
      <c r="I12" s="70">
        <f>PLANTILLA!Y15</f>
        <v>15.533333333333333</v>
      </c>
      <c r="J12" s="70">
        <f>PLANTILLA!Z15</f>
        <v>7.75</v>
      </c>
      <c r="K12" s="70">
        <f>PLANTILLA!AA15</f>
        <v>8</v>
      </c>
      <c r="L12" s="70">
        <f>PLANTILLA!AB15</f>
        <v>4</v>
      </c>
      <c r="M12" s="70">
        <f>PLANTILLA!AC15</f>
        <v>9</v>
      </c>
      <c r="N12" s="72"/>
      <c r="V12" s="9"/>
    </row>
    <row r="13" spans="1:24" x14ac:dyDescent="0.25">
      <c r="A13" t="str">
        <f>PLANTILLA!D16</f>
        <v>A. Balsebre</v>
      </c>
      <c r="B13">
        <f>PLANTILLA!E16</f>
        <v>23</v>
      </c>
      <c r="C13" s="133">
        <f ca="1">PLANTILLA!F16</f>
        <v>44</v>
      </c>
      <c r="D13">
        <f>PLANTILLA!G16</f>
        <v>0</v>
      </c>
      <c r="E13" s="72">
        <f>PLANTILLA!J16</f>
        <v>1.0375350005115249</v>
      </c>
      <c r="F13" s="70">
        <f>PLANTILLA!O16</f>
        <v>1.5</v>
      </c>
      <c r="G13" s="70">
        <f>PLANTILLA!W16</f>
        <v>0</v>
      </c>
      <c r="H13" s="70">
        <f>PLANTILLA!X16</f>
        <v>4</v>
      </c>
      <c r="I13" s="70">
        <f>PLANTILLA!Y16</f>
        <v>15.692307692307692</v>
      </c>
      <c r="J13" s="70">
        <f>PLANTILLA!Z16</f>
        <v>2</v>
      </c>
      <c r="K13" s="70">
        <f>PLANTILLA!AA16</f>
        <v>8.1999999999999993</v>
      </c>
      <c r="L13" s="70">
        <f>PLANTILLA!AB16</f>
        <v>3.3333333333333335</v>
      </c>
      <c r="M13" s="70">
        <f>PLANTILLA!AC16</f>
        <v>7</v>
      </c>
      <c r="N13" s="72"/>
      <c r="V13" s="9"/>
    </row>
    <row r="14" spans="1:24" x14ac:dyDescent="0.25">
      <c r="A14" t="str">
        <f>PLANTILLA!D17</f>
        <v>T. Lebon</v>
      </c>
      <c r="B14">
        <f>PLANTILLA!E17</f>
        <v>24</v>
      </c>
      <c r="C14" s="133">
        <f ca="1">PLANTILLA!F17</f>
        <v>46</v>
      </c>
      <c r="D14" t="str">
        <f>PLANTILLA!G17</f>
        <v>TEC</v>
      </c>
      <c r="E14" s="72">
        <f>PLANTILLA!J17</f>
        <v>1.0375350005115249</v>
      </c>
      <c r="F14" s="70">
        <f>PLANTILLA!O17</f>
        <v>1.5</v>
      </c>
      <c r="G14" s="70">
        <f>PLANTILLA!W17</f>
        <v>0</v>
      </c>
      <c r="H14" s="70">
        <f>PLANTILLA!X17</f>
        <v>4</v>
      </c>
      <c r="I14" s="70">
        <f>PLANTILLA!Y17</f>
        <v>14.166666666666666</v>
      </c>
      <c r="J14" s="70">
        <f>PLANTILLA!Z17</f>
        <v>8.1999999999999993</v>
      </c>
      <c r="K14" s="70">
        <f>PLANTILLA!AA17</f>
        <v>8</v>
      </c>
      <c r="L14" s="70">
        <f>PLANTILLA!AB17</f>
        <v>6</v>
      </c>
      <c r="M14" s="70">
        <f>PLANTILLA!AC17</f>
        <v>6</v>
      </c>
      <c r="N14" s="72"/>
      <c r="V14" s="9"/>
    </row>
    <row r="15" spans="1:24" x14ac:dyDescent="0.25">
      <c r="A15" t="str">
        <f>PLANTILLA!D18</f>
        <v>L. Grière</v>
      </c>
      <c r="B15">
        <f>PLANTILLA!E18</f>
        <v>23</v>
      </c>
      <c r="C15" s="133">
        <f ca="1">PLANTILLA!F18</f>
        <v>65</v>
      </c>
      <c r="D15" t="str">
        <f>PLANTILLA!G18</f>
        <v>TEC</v>
      </c>
      <c r="E15" s="72">
        <f>PLANTILLA!J18</f>
        <v>0.93196000578135851</v>
      </c>
      <c r="F15" s="70">
        <f>PLANTILLA!O18</f>
        <v>1.5</v>
      </c>
      <c r="G15" s="70">
        <f>PLANTILLA!W18</f>
        <v>0</v>
      </c>
      <c r="H15" s="70">
        <f>PLANTILLA!X18</f>
        <v>4</v>
      </c>
      <c r="I15" s="70">
        <f>PLANTILLA!Y18</f>
        <v>13.95</v>
      </c>
      <c r="J15" s="70">
        <f>PLANTILLA!Z18</f>
        <v>8.6</v>
      </c>
      <c r="K15" s="70">
        <f>PLANTILLA!AA18</f>
        <v>6.25</v>
      </c>
      <c r="L15" s="70">
        <f>PLANTILLA!AB18</f>
        <v>5</v>
      </c>
      <c r="M15" s="70">
        <f>PLANTILLA!AC18</f>
        <v>4</v>
      </c>
      <c r="N15" s="72"/>
      <c r="V15" s="9"/>
    </row>
    <row r="16" spans="1:24" x14ac:dyDescent="0.25">
      <c r="A16" t="str">
        <f>PLANTILLA!D20</f>
        <v>P. Molins</v>
      </c>
      <c r="B16">
        <f>PLANTILLA!E20</f>
        <v>18</v>
      </c>
      <c r="C16" s="133">
        <f ca="1">PLANTILLA!F20</f>
        <v>98</v>
      </c>
      <c r="D16" t="str">
        <f>PLANTILLA!G20</f>
        <v>POT</v>
      </c>
      <c r="E16" s="72">
        <f>PLANTILLA!J20</f>
        <v>0.42962572631189239</v>
      </c>
      <c r="F16" s="70">
        <f>PLANTILLA!O20</f>
        <v>1.5</v>
      </c>
      <c r="G16" s="70">
        <f>PLANTILLA!W20</f>
        <v>0</v>
      </c>
      <c r="H16" s="70">
        <f>PLANTILLA!X20</f>
        <v>4</v>
      </c>
      <c r="I16" s="70">
        <f>PLANTILLA!Y20</f>
        <v>6</v>
      </c>
      <c r="J16" s="70">
        <f>PLANTILLA!Z20</f>
        <v>3</v>
      </c>
      <c r="K16" s="70">
        <f>PLANTILLA!AA20</f>
        <v>7</v>
      </c>
      <c r="L16" s="70">
        <f>PLANTILLA!AB20</f>
        <v>5</v>
      </c>
      <c r="M16" s="70">
        <f>PLANTILLA!AC20</f>
        <v>4</v>
      </c>
      <c r="N16" s="72"/>
      <c r="V16" s="9"/>
    </row>
    <row r="17" spans="1:22" x14ac:dyDescent="0.25">
      <c r="A17" t="str">
        <f>PLANTILLA!D21</f>
        <v>A. Baldoví</v>
      </c>
      <c r="B17">
        <f>PLANTILLA!E21</f>
        <v>24</v>
      </c>
      <c r="C17" s="133">
        <f ca="1">PLANTILLA!F21</f>
        <v>18</v>
      </c>
      <c r="D17" t="str">
        <f>PLANTILLA!G21</f>
        <v>RAP</v>
      </c>
      <c r="E17" s="72">
        <f>PLANTILLA!J21</f>
        <v>1.1267973866856758</v>
      </c>
      <c r="F17" s="70">
        <f>PLANTILLA!O21</f>
        <v>1.5</v>
      </c>
      <c r="G17" s="70">
        <f>PLANTILLA!W21</f>
        <v>0</v>
      </c>
      <c r="H17" s="70">
        <f>PLANTILLA!X21</f>
        <v>4</v>
      </c>
      <c r="I17" s="70">
        <f>PLANTILLA!Y21</f>
        <v>14.692307692307692</v>
      </c>
      <c r="J17" s="70">
        <f>PLANTILLA!Z21</f>
        <v>8.6</v>
      </c>
      <c r="K17" s="70">
        <f>PLANTILLA!AA21</f>
        <v>8.4</v>
      </c>
      <c r="L17" s="70">
        <f>PLANTILLA!AB21</f>
        <v>9.1666666666666661</v>
      </c>
      <c r="M17" s="70">
        <f>PLANTILLA!AC21</f>
        <v>7</v>
      </c>
      <c r="N17" s="72"/>
      <c r="V17" s="9"/>
    </row>
    <row r="18" spans="1:22" x14ac:dyDescent="0.25">
      <c r="A18" t="str">
        <f>PLANTILLA!D22</f>
        <v>R. Abrain</v>
      </c>
      <c r="B18">
        <f>PLANTILLA!E22</f>
        <v>24</v>
      </c>
      <c r="C18" s="133">
        <f ca="1">PLANTILLA!F22</f>
        <v>3</v>
      </c>
      <c r="D18" t="str">
        <f>PLANTILLA!G22</f>
        <v>IMP</v>
      </c>
      <c r="E18" s="72">
        <f>PLANTILLA!J22</f>
        <v>1.1267973866856758</v>
      </c>
      <c r="F18" s="70">
        <f>PLANTILLA!O22</f>
        <v>1.5</v>
      </c>
      <c r="G18" s="70">
        <f>PLANTILLA!W22</f>
        <v>0</v>
      </c>
      <c r="H18" s="70">
        <f>PLANTILLA!X22</f>
        <v>5</v>
      </c>
      <c r="I18" s="70">
        <f>PLANTILLA!Y22</f>
        <v>11.375</v>
      </c>
      <c r="J18" s="70">
        <f>PLANTILLA!Z22</f>
        <v>6.5</v>
      </c>
      <c r="K18" s="70">
        <f>PLANTILLA!AA22</f>
        <v>8</v>
      </c>
      <c r="L18" s="70">
        <f>PLANTILLA!AB22</f>
        <v>9</v>
      </c>
      <c r="M18" s="70">
        <f>PLANTILLA!AC22</f>
        <v>5</v>
      </c>
      <c r="N18" s="72"/>
      <c r="V18" s="9"/>
    </row>
    <row r="19" spans="1:22" x14ac:dyDescent="0.25">
      <c r="A19" t="str">
        <f>PLANTILLA!D23</f>
        <v>L. Cabistany</v>
      </c>
      <c r="B19">
        <f>PLANTILLA!E23</f>
        <v>22</v>
      </c>
      <c r="C19" s="133">
        <f ca="1">PLANTILLA!F23</f>
        <v>52</v>
      </c>
      <c r="D19">
        <f>PLANTILLA!G23</f>
        <v>0</v>
      </c>
      <c r="E19" s="72">
        <f>PLANTILLA!J23</f>
        <v>0.50694832228214137</v>
      </c>
      <c r="F19" s="70">
        <f>PLANTILLA!O23</f>
        <v>1.5</v>
      </c>
      <c r="G19" s="70">
        <f>PLANTILLA!W23</f>
        <v>0</v>
      </c>
      <c r="H19" s="70">
        <f>PLANTILLA!X23</f>
        <v>2</v>
      </c>
      <c r="I19" s="70">
        <f>PLANTILLA!Y23</f>
        <v>7.833333333333333</v>
      </c>
      <c r="J19" s="70">
        <f>PLANTILLA!Z23</f>
        <v>3</v>
      </c>
      <c r="K19" s="70">
        <f>PLANTILLA!AA23</f>
        <v>9</v>
      </c>
      <c r="L19" s="70">
        <f>PLANTILLA!AB23</f>
        <v>6</v>
      </c>
      <c r="M19" s="70">
        <f>PLANTILLA!AC23</f>
        <v>4</v>
      </c>
      <c r="N19" s="72"/>
      <c r="V19" s="9"/>
    </row>
    <row r="20" spans="1:22" x14ac:dyDescent="0.25">
      <c r="A20" t="str">
        <f>PLANTILLA!D24</f>
        <v>I. Velayo</v>
      </c>
      <c r="B20">
        <f>PLANTILLA!E24</f>
        <v>25</v>
      </c>
      <c r="C20" s="133">
        <f ca="1">PLANTILLA!F24</f>
        <v>105</v>
      </c>
      <c r="D20" t="str">
        <f>PLANTILLA!G24</f>
        <v>RAP</v>
      </c>
      <c r="E20" s="72">
        <f>PLANTILLA!J24</f>
        <v>1.1267973866856758</v>
      </c>
      <c r="F20" s="70">
        <f>PLANTILLA!O24</f>
        <v>1.5</v>
      </c>
      <c r="G20" s="70">
        <f>PLANTILLA!W24</f>
        <v>0</v>
      </c>
      <c r="H20" s="70">
        <f>PLANTILLA!X24</f>
        <v>4</v>
      </c>
      <c r="I20" s="70">
        <f>PLANTILLA!Y24</f>
        <v>11.625</v>
      </c>
      <c r="J20" s="70">
        <f>PLANTILLA!Z24</f>
        <v>4</v>
      </c>
      <c r="K20" s="70">
        <f>PLANTILLA!AA24</f>
        <v>7.5</v>
      </c>
      <c r="L20" s="70">
        <f>PLANTILLA!AB24</f>
        <v>9</v>
      </c>
      <c r="M20" s="70">
        <f>PLANTILLA!AC24</f>
        <v>5</v>
      </c>
    </row>
    <row r="21" spans="1:22" x14ac:dyDescent="0.25">
      <c r="A21" t="e">
        <f>PLANTILLA!#REF!</f>
        <v>#REF!</v>
      </c>
      <c r="B21" t="e">
        <f>PLANTILLA!#REF!</f>
        <v>#REF!</v>
      </c>
      <c r="C21" s="133" t="e">
        <f>PLANTILLA!#REF!</f>
        <v>#REF!</v>
      </c>
      <c r="D21" t="e">
        <f>PLANTILLA!#REF!</f>
        <v>#REF!</v>
      </c>
      <c r="E21" s="72" t="e">
        <f>PLANTILLA!#REF!</f>
        <v>#REF!</v>
      </c>
      <c r="F21" s="70" t="e">
        <f>PLANTILLA!#REF!</f>
        <v>#REF!</v>
      </c>
      <c r="G21" s="70" t="e">
        <f>PLANTILLA!#REF!</f>
        <v>#REF!</v>
      </c>
      <c r="H21" s="70" t="e">
        <f>PLANTILLA!#REF!</f>
        <v>#REF!</v>
      </c>
      <c r="I21" s="70" t="e">
        <f>PLANTILLA!#REF!</f>
        <v>#REF!</v>
      </c>
      <c r="J21" s="70" t="e">
        <f>PLANTILLA!#REF!</f>
        <v>#REF!</v>
      </c>
      <c r="K21" s="70" t="e">
        <f>PLANTILLA!#REF!</f>
        <v>#REF!</v>
      </c>
      <c r="L21" s="70" t="e">
        <f>PLANTILLA!#REF!</f>
        <v>#REF!</v>
      </c>
      <c r="M21" s="70" t="e">
        <f>PLANTILLA!#REF!</f>
        <v>#REF!</v>
      </c>
    </row>
    <row r="22" spans="1:22" x14ac:dyDescent="0.25">
      <c r="A22" t="e">
        <f>PLANTILLA!#REF!</f>
        <v>#REF!</v>
      </c>
      <c r="B22" t="e">
        <f>PLANTILLA!#REF!</f>
        <v>#REF!</v>
      </c>
      <c r="C22" s="133" t="e">
        <f>PLANTILLA!#REF!</f>
        <v>#REF!</v>
      </c>
      <c r="D22" t="e">
        <f>PLANTILLA!#REF!</f>
        <v>#REF!</v>
      </c>
      <c r="E22" s="72" t="e">
        <f>PLANTILLA!#REF!</f>
        <v>#REF!</v>
      </c>
      <c r="F22" s="70" t="e">
        <f>PLANTILLA!#REF!</f>
        <v>#REF!</v>
      </c>
      <c r="G22" s="70" t="e">
        <f>PLANTILLA!#REF!</f>
        <v>#REF!</v>
      </c>
      <c r="H22" s="70" t="e">
        <f>PLANTILLA!#REF!</f>
        <v>#REF!</v>
      </c>
      <c r="I22" s="70" t="e">
        <f>PLANTILLA!#REF!</f>
        <v>#REF!</v>
      </c>
      <c r="J22" s="70" t="e">
        <f>PLANTILLA!#REF!</f>
        <v>#REF!</v>
      </c>
      <c r="K22" s="70" t="e">
        <f>PLANTILLA!#REF!</f>
        <v>#REF!</v>
      </c>
      <c r="L22" s="70" t="e">
        <f>PLANTILLA!#REF!</f>
        <v>#REF!</v>
      </c>
      <c r="M22" s="70" t="e">
        <f>PLANTILLA!#REF!</f>
        <v>#REF!</v>
      </c>
    </row>
    <row r="23" spans="1:22" x14ac:dyDescent="0.25">
      <c r="A23" t="e">
        <f>PLANTILLA!#REF!</f>
        <v>#REF!</v>
      </c>
      <c r="B23" t="e">
        <f>PLANTILLA!#REF!</f>
        <v>#REF!</v>
      </c>
      <c r="C23" s="133" t="e">
        <f>PLANTILLA!#REF!</f>
        <v>#REF!</v>
      </c>
      <c r="D23" t="e">
        <f>PLANTILLA!#REF!</f>
        <v>#REF!</v>
      </c>
      <c r="E23" s="72" t="e">
        <f>PLANTILLA!#REF!</f>
        <v>#REF!</v>
      </c>
      <c r="F23" s="70" t="e">
        <f>PLANTILLA!#REF!</f>
        <v>#REF!</v>
      </c>
      <c r="G23" s="70" t="e">
        <f>PLANTILLA!#REF!</f>
        <v>#REF!</v>
      </c>
      <c r="H23" s="70" t="e">
        <f>PLANTILLA!#REF!</f>
        <v>#REF!</v>
      </c>
      <c r="I23" s="70" t="e">
        <f>PLANTILLA!#REF!</f>
        <v>#REF!</v>
      </c>
      <c r="J23" s="70" t="e">
        <f>PLANTILLA!#REF!</f>
        <v>#REF!</v>
      </c>
      <c r="K23" s="70" t="e">
        <f>PLANTILLA!#REF!</f>
        <v>#REF!</v>
      </c>
      <c r="L23" s="70" t="e">
        <f>PLANTILLA!#REF!</f>
        <v>#REF!</v>
      </c>
      <c r="M23" s="70" t="e">
        <f>PLANTILLA!#REF!</f>
        <v>#REF!</v>
      </c>
    </row>
    <row r="24" spans="1:22" x14ac:dyDescent="0.25">
      <c r="A24" t="e">
        <f>PLANTILLA!#REF!</f>
        <v>#REF!</v>
      </c>
      <c r="B24" t="e">
        <f>PLANTILLA!#REF!</f>
        <v>#REF!</v>
      </c>
      <c r="C24" s="133" t="e">
        <f>PLANTILLA!#REF!</f>
        <v>#REF!</v>
      </c>
      <c r="D24" t="e">
        <f>PLANTILLA!#REF!</f>
        <v>#REF!</v>
      </c>
      <c r="E24" s="72" t="e">
        <f>PLANTILLA!#REF!</f>
        <v>#REF!</v>
      </c>
      <c r="F24" s="70" t="e">
        <f>PLANTILLA!#REF!</f>
        <v>#REF!</v>
      </c>
      <c r="G24" s="70" t="e">
        <f>PLANTILLA!#REF!</f>
        <v>#REF!</v>
      </c>
      <c r="H24" s="70" t="e">
        <f>PLANTILLA!#REF!</f>
        <v>#REF!</v>
      </c>
      <c r="I24" s="70" t="e">
        <f>PLANTILLA!#REF!</f>
        <v>#REF!</v>
      </c>
      <c r="J24" s="70" t="e">
        <f>PLANTILLA!#REF!</f>
        <v>#REF!</v>
      </c>
      <c r="K24" s="70" t="e">
        <f>PLANTILLA!#REF!</f>
        <v>#REF!</v>
      </c>
      <c r="L24" s="70" t="e">
        <f>PLANTILLA!#REF!</f>
        <v>#REF!</v>
      </c>
      <c r="M24" s="70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</row>
    <row r="26" spans="1:22" x14ac:dyDescent="0.25">
      <c r="C26" s="133"/>
      <c r="E26" s="72"/>
      <c r="F26" s="70"/>
      <c r="G26" s="70"/>
      <c r="H26" s="70"/>
      <c r="I26" s="70"/>
      <c r="J26" s="70"/>
      <c r="K26" s="70"/>
      <c r="L26" s="70"/>
      <c r="M26" s="70"/>
    </row>
    <row r="27" spans="1:22" x14ac:dyDescent="0.25">
      <c r="C27" s="133"/>
      <c r="E27" s="72"/>
      <c r="F27" s="70"/>
      <c r="G27" s="70"/>
      <c r="H27" s="70"/>
      <c r="I27" s="70"/>
      <c r="J27" s="70"/>
      <c r="K27" s="70"/>
      <c r="L27" s="70"/>
      <c r="M27" s="70"/>
    </row>
    <row r="28" spans="1:22" x14ac:dyDescent="0.25">
      <c r="C28" s="133"/>
      <c r="E28" s="72"/>
      <c r="F28" s="70"/>
      <c r="G28" s="70"/>
      <c r="H28" s="70"/>
      <c r="I28" s="70"/>
      <c r="J28" s="70"/>
      <c r="K28" s="70"/>
      <c r="L28" s="70"/>
      <c r="M28" s="70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4"/>
  <sheetViews>
    <sheetView workbookViewId="0">
      <selection activeCell="P16" sqref="P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10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10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253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253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87</v>
      </c>
      <c r="P4" s="14">
        <v>0.5</v>
      </c>
      <c r="Q4" s="14">
        <v>1</v>
      </c>
      <c r="R4" s="14">
        <v>0.25</v>
      </c>
      <c r="AA4" s="2"/>
      <c r="AB4" s="2" t="s">
        <v>87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88</v>
      </c>
      <c r="P5" s="14">
        <v>0.69099999999999995</v>
      </c>
      <c r="Q5" s="14">
        <v>0.38900000000000001</v>
      </c>
      <c r="R5" s="14">
        <v>0</v>
      </c>
      <c r="AA5" s="2"/>
      <c r="AB5" s="2" t="s">
        <v>88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250</v>
      </c>
      <c r="P6" s="14">
        <v>0</v>
      </c>
      <c r="Q6" s="14">
        <v>0.42499999999999999</v>
      </c>
      <c r="R6" s="14">
        <v>0.91200000000000003</v>
      </c>
      <c r="AA6" s="2"/>
      <c r="AB6" s="2" t="s">
        <v>255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91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91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91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91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234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94</v>
      </c>
      <c r="P10" s="14">
        <v>0.28999999999999998</v>
      </c>
      <c r="Q10" s="14">
        <v>0.253</v>
      </c>
      <c r="R10" s="14">
        <v>0</v>
      </c>
      <c r="AA10" s="2"/>
      <c r="AB10" s="2" t="s">
        <v>94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360" t="s">
        <v>251</v>
      </c>
      <c r="B11" s="360"/>
      <c r="O11" s="2" t="s">
        <v>93</v>
      </c>
      <c r="P11" s="14">
        <v>0</v>
      </c>
      <c r="Q11" s="14">
        <v>0.20799999999999999</v>
      </c>
      <c r="R11" s="14">
        <v>0.34699999999999998</v>
      </c>
      <c r="W11" s="360" t="s">
        <v>252</v>
      </c>
      <c r="X11" s="360"/>
      <c r="AA11" s="2"/>
      <c r="AB11" s="2" t="s">
        <v>93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1" t="s">
        <v>46</v>
      </c>
      <c r="B12" s="152" t="s">
        <v>47</v>
      </c>
      <c r="C12" s="152" t="s">
        <v>48</v>
      </c>
      <c r="D12" s="152" t="s">
        <v>49</v>
      </c>
      <c r="E12" s="152" t="s">
        <v>52</v>
      </c>
      <c r="F12" s="152" t="s">
        <v>57</v>
      </c>
      <c r="G12" s="152" t="s">
        <v>65</v>
      </c>
      <c r="H12" s="152" t="s">
        <v>66</v>
      </c>
      <c r="I12" s="152" t="s">
        <v>67</v>
      </c>
      <c r="J12" s="152" t="s">
        <v>68</v>
      </c>
      <c r="K12" s="152" t="s">
        <v>69</v>
      </c>
      <c r="L12" s="152" t="s">
        <v>70</v>
      </c>
      <c r="M12" s="152" t="s">
        <v>49</v>
      </c>
      <c r="N12" s="153" t="s">
        <v>144</v>
      </c>
      <c r="O12" s="153" t="s">
        <v>45</v>
      </c>
      <c r="P12" s="154" t="s">
        <v>214</v>
      </c>
      <c r="Q12" s="154" t="s">
        <v>215</v>
      </c>
      <c r="R12" s="154" t="s">
        <v>216</v>
      </c>
      <c r="S12" s="215" t="s">
        <v>79</v>
      </c>
      <c r="T12" s="215" t="s">
        <v>79</v>
      </c>
      <c r="U12" s="215" t="s">
        <v>79</v>
      </c>
      <c r="W12" s="151" t="s">
        <v>46</v>
      </c>
      <c r="X12" s="152" t="s">
        <v>47</v>
      </c>
      <c r="Y12" s="152" t="s">
        <v>48</v>
      </c>
      <c r="Z12" s="152" t="s">
        <v>49</v>
      </c>
      <c r="AA12" s="153" t="s">
        <v>144</v>
      </c>
      <c r="AB12" s="153" t="s">
        <v>45</v>
      </c>
      <c r="AC12" s="154" t="s">
        <v>214</v>
      </c>
      <c r="AD12" s="154" t="s">
        <v>215</v>
      </c>
      <c r="AE12" s="154" t="s">
        <v>216</v>
      </c>
      <c r="AF12" s="215" t="s">
        <v>79</v>
      </c>
      <c r="AG12" s="215" t="s">
        <v>79</v>
      </c>
      <c r="AH12" s="215" t="s">
        <v>79</v>
      </c>
    </row>
    <row r="13" spans="1:34" x14ac:dyDescent="0.25">
      <c r="A13" t="str">
        <f>PLANTILLA!D4</f>
        <v>E. Tarrida</v>
      </c>
      <c r="B13">
        <f>PLANTILLA!E4</f>
        <v>27</v>
      </c>
      <c r="C13" s="133">
        <f ca="1">PLANTILLA!F4</f>
        <v>78</v>
      </c>
      <c r="D13" t="str">
        <f>PLANTILLA!G4</f>
        <v>RAP</v>
      </c>
      <c r="E13" s="72">
        <f>PLANTILLA!J4</f>
        <v>1.2041199826559248</v>
      </c>
      <c r="F13" s="70">
        <f>PLANTILLA!O4</f>
        <v>1.5</v>
      </c>
      <c r="G13" s="70">
        <f>PLANTILLA!W4</f>
        <v>13.285714285714286</v>
      </c>
      <c r="H13" s="70">
        <f>PLANTILLA!X4</f>
        <v>6</v>
      </c>
      <c r="I13" s="70">
        <f>PLANTILLA!Y4</f>
        <v>5</v>
      </c>
      <c r="J13" s="70">
        <f>PLANTILLA!Z4</f>
        <v>3</v>
      </c>
      <c r="K13" s="70">
        <f>PLANTILLA!AA4</f>
        <v>4</v>
      </c>
      <c r="L13" s="70">
        <f>PLANTILLA!AB4</f>
        <v>3</v>
      </c>
      <c r="M13" s="70">
        <f>PLANTILLA!AC4</f>
        <v>8</v>
      </c>
      <c r="N13" s="2">
        <f>1/5</f>
        <v>0.2</v>
      </c>
      <c r="O13" s="2" t="s">
        <v>10</v>
      </c>
      <c r="P13" s="155">
        <f>$N13*P$2</f>
        <v>5.3000000000000005E-2</v>
      </c>
      <c r="Q13" s="155">
        <f>$N13*Q$2</f>
        <v>7.9799999999999996E-2</v>
      </c>
      <c r="R13" s="155">
        <f>$N13*R$2</f>
        <v>5.3000000000000005E-2</v>
      </c>
      <c r="S13" s="156">
        <f>SUM(P13:P30)</f>
        <v>0.36154999999999998</v>
      </c>
      <c r="T13" s="156">
        <f>SUM(Q13:Q30)</f>
        <v>0.82915000000000005</v>
      </c>
      <c r="U13" s="156">
        <f>SUM(R13:R30)</f>
        <v>0.33830000000000005</v>
      </c>
      <c r="W13" t="str">
        <f>A13</f>
        <v>E. Tarrida</v>
      </c>
      <c r="X13">
        <f t="shared" ref="X13:Z28" si="0">B13</f>
        <v>27</v>
      </c>
      <c r="Y13">
        <f t="shared" ca="1" si="0"/>
        <v>78</v>
      </c>
      <c r="Z13" t="str">
        <f t="shared" si="0"/>
        <v>RAP</v>
      </c>
      <c r="AA13" s="72">
        <f>N13</f>
        <v>0.2</v>
      </c>
      <c r="AB13" s="72" t="str">
        <f>O13</f>
        <v>POR</v>
      </c>
      <c r="AC13" s="155">
        <f>P13</f>
        <v>5.3000000000000005E-2</v>
      </c>
      <c r="AD13" s="155">
        <f>Q13</f>
        <v>7.9799999999999996E-2</v>
      </c>
      <c r="AE13" s="155">
        <f>R13</f>
        <v>5.3000000000000005E-2</v>
      </c>
      <c r="AF13" s="156">
        <f>SUM(AC13:AC30)</f>
        <v>0.27379999999999999</v>
      </c>
      <c r="AG13" s="156">
        <f>SUM(AD13:AD30)</f>
        <v>0.73615000000000008</v>
      </c>
      <c r="AH13" s="156">
        <f>SUM(AE13:AE30)</f>
        <v>0.45904999999999996</v>
      </c>
    </row>
    <row r="14" spans="1:34" x14ac:dyDescent="0.25">
      <c r="A14" t="str">
        <f>PLANTILLA!D5</f>
        <v>S. Candela</v>
      </c>
      <c r="B14">
        <f>PLANTILLA!E5</f>
        <v>30</v>
      </c>
      <c r="C14" s="133">
        <f ca="1">PLANTILLA!F5</f>
        <v>69</v>
      </c>
      <c r="D14" t="str">
        <f>PLANTILLA!G5</f>
        <v>CAB</v>
      </c>
      <c r="E14" s="72">
        <f>PLANTILLA!J5</f>
        <v>0.85793690198158323</v>
      </c>
      <c r="F14" s="70">
        <f>PLANTILLA!O5</f>
        <v>1.5</v>
      </c>
      <c r="G14" s="70">
        <f>PLANTILLA!W5</f>
        <v>12.5</v>
      </c>
      <c r="H14" s="70">
        <f>PLANTILLA!X5</f>
        <v>2</v>
      </c>
      <c r="I14" s="70">
        <f>PLANTILLA!Y5</f>
        <v>3</v>
      </c>
      <c r="J14" s="70">
        <f>PLANTILLA!Z5</f>
        <v>1</v>
      </c>
      <c r="K14" s="70">
        <f>PLANTILLA!AA5</f>
        <v>1</v>
      </c>
      <c r="L14" s="70">
        <f>PLANTILLA!AB5</f>
        <v>1</v>
      </c>
      <c r="M14" s="70">
        <f>PLANTILLA!AC5</f>
        <v>6</v>
      </c>
      <c r="N14" s="72"/>
      <c r="O14" s="72"/>
      <c r="P14" s="155"/>
      <c r="Q14" s="155"/>
      <c r="R14" s="155"/>
      <c r="S14" s="156"/>
      <c r="W14" t="str">
        <f t="shared" ref="W14:W30" si="1">A14</f>
        <v>S. Candela</v>
      </c>
      <c r="X14">
        <f t="shared" si="0"/>
        <v>30</v>
      </c>
      <c r="Y14">
        <f t="shared" ca="1" si="0"/>
        <v>69</v>
      </c>
      <c r="Z14" t="str">
        <f t="shared" si="0"/>
        <v>CAB</v>
      </c>
      <c r="AA14" s="72"/>
      <c r="AB14" s="72"/>
      <c r="AC14" s="155"/>
      <c r="AD14" s="155"/>
      <c r="AE14" s="155"/>
      <c r="AF14" s="156"/>
    </row>
    <row r="15" spans="1:34" x14ac:dyDescent="0.25">
      <c r="A15" t="str">
        <f>PLANTILLA!D19</f>
        <v>D. Juliol</v>
      </c>
      <c r="B15">
        <f>PLANTILLA!E19</f>
        <v>24</v>
      </c>
      <c r="C15" s="133">
        <f ca="1">PLANTILLA!F19</f>
        <v>23</v>
      </c>
      <c r="D15">
        <f>PLANTILLA!G19</f>
        <v>0</v>
      </c>
      <c r="E15" s="72">
        <f>PLANTILLA!J19</f>
        <v>1.0375350005115249</v>
      </c>
      <c r="F15" s="70">
        <f>PLANTILLA!O19</f>
        <v>1.5</v>
      </c>
      <c r="G15" s="70">
        <f>PLANTILLA!W19</f>
        <v>1</v>
      </c>
      <c r="H15" s="70">
        <f>PLANTILLA!X19</f>
        <v>5</v>
      </c>
      <c r="I15" s="70">
        <f>PLANTILLA!Y19</f>
        <v>9</v>
      </c>
      <c r="J15" s="70">
        <f>PLANTILLA!Z19</f>
        <v>6</v>
      </c>
      <c r="K15" s="70">
        <f>PLANTILLA!AA19</f>
        <v>6.5</v>
      </c>
      <c r="L15" s="70">
        <f>PLANTILLA!AB19</f>
        <v>6.25</v>
      </c>
      <c r="M15" s="70">
        <f>PLANTILLA!AC19</f>
        <v>5</v>
      </c>
      <c r="N15" s="72"/>
      <c r="O15" s="72"/>
      <c r="P15" s="155"/>
      <c r="Q15" s="155"/>
      <c r="R15" s="155"/>
      <c r="S15" s="156"/>
      <c r="W15" t="str">
        <f t="shared" si="1"/>
        <v>D. Juliol</v>
      </c>
      <c r="X15">
        <f t="shared" si="0"/>
        <v>24</v>
      </c>
      <c r="Y15">
        <f t="shared" ca="1" si="0"/>
        <v>23</v>
      </c>
      <c r="Z15">
        <f t="shared" si="0"/>
        <v>0</v>
      </c>
      <c r="AA15" s="72"/>
      <c r="AB15" s="72"/>
      <c r="AC15" s="155"/>
      <c r="AD15" s="155"/>
      <c r="AE15" s="155"/>
      <c r="AF15" s="156"/>
    </row>
    <row r="16" spans="1:34" x14ac:dyDescent="0.25">
      <c r="A16" t="str">
        <f>PLANTILLA!D10</f>
        <v>D. Alemany</v>
      </c>
      <c r="B16">
        <f>PLANTILLA!E10</f>
        <v>21</v>
      </c>
      <c r="C16" s="133">
        <f ca="1">PLANTILLA!F10</f>
        <v>72</v>
      </c>
      <c r="D16">
        <f>PLANTILLA!G10</f>
        <v>0</v>
      </c>
      <c r="E16" s="72">
        <f>PLANTILLA!J10</f>
        <v>0.63616167295954995</v>
      </c>
      <c r="F16" s="70">
        <f>PLANTILLA!O10</f>
        <v>1.5</v>
      </c>
      <c r="G16" s="70">
        <f>PLANTILLA!W10</f>
        <v>0</v>
      </c>
      <c r="H16" s="70">
        <f>PLANTILLA!X10</f>
        <v>6</v>
      </c>
      <c r="I16" s="70">
        <f>PLANTILLA!Y10</f>
        <v>5.166666666666667</v>
      </c>
      <c r="J16" s="70">
        <f>PLANTILLA!Z10</f>
        <v>2</v>
      </c>
      <c r="K16" s="70">
        <f>PLANTILLA!AA10</f>
        <v>8</v>
      </c>
      <c r="L16" s="70">
        <f>PLANTILLA!AB10</f>
        <v>4</v>
      </c>
      <c r="M16" s="70">
        <f>PLANTILLA!AC10</f>
        <v>5</v>
      </c>
      <c r="O16" s="72"/>
      <c r="P16" s="155"/>
      <c r="Q16" s="155"/>
      <c r="R16" s="155"/>
      <c r="S16" s="156"/>
      <c r="W16" t="str">
        <f t="shared" si="1"/>
        <v>D. Alemany</v>
      </c>
      <c r="X16">
        <f t="shared" si="0"/>
        <v>21</v>
      </c>
      <c r="Y16">
        <f t="shared" ca="1" si="0"/>
        <v>72</v>
      </c>
      <c r="Z16">
        <f t="shared" si="0"/>
        <v>0</v>
      </c>
      <c r="AA16" s="2"/>
      <c r="AB16" s="72"/>
      <c r="AC16" s="155"/>
      <c r="AD16" s="155"/>
      <c r="AE16" s="155"/>
      <c r="AF16" s="156"/>
    </row>
    <row r="17" spans="1:32" x14ac:dyDescent="0.25">
      <c r="A17" t="str">
        <f>PLANTILLA!D9</f>
        <v>P. Recatalà</v>
      </c>
      <c r="B17">
        <f>PLANTILLA!E9</f>
        <v>23</v>
      </c>
      <c r="C17" s="133">
        <f ca="1">PLANTILLA!F9</f>
        <v>21</v>
      </c>
      <c r="D17">
        <f>PLANTILLA!G9</f>
        <v>0</v>
      </c>
      <c r="E17" s="72">
        <f>PLANTILLA!J9</f>
        <v>0.65514892511236356</v>
      </c>
      <c r="F17" s="70">
        <f>PLANTILLA!O9</f>
        <v>1.5</v>
      </c>
      <c r="G17" s="70">
        <f>PLANTILLA!W9</f>
        <v>0</v>
      </c>
      <c r="H17" s="70">
        <f>PLANTILLA!X9</f>
        <v>5</v>
      </c>
      <c r="I17" s="70">
        <f>PLANTILLA!Y9</f>
        <v>6</v>
      </c>
      <c r="J17" s="70">
        <f>PLANTILLA!Z9</f>
        <v>5</v>
      </c>
      <c r="K17" s="70">
        <f>PLANTILLA!AA9</f>
        <v>6.5</v>
      </c>
      <c r="L17" s="70">
        <f>PLANTILLA!AB9</f>
        <v>2</v>
      </c>
      <c r="M17" s="70">
        <f>PLANTILLA!AC9</f>
        <v>6</v>
      </c>
      <c r="N17" s="72"/>
      <c r="O17" s="72"/>
      <c r="P17" s="155"/>
      <c r="Q17" s="155"/>
      <c r="R17" s="155"/>
      <c r="S17" s="156"/>
      <c r="W17" t="str">
        <f t="shared" si="1"/>
        <v>P. Recatalà</v>
      </c>
      <c r="X17">
        <f t="shared" si="0"/>
        <v>23</v>
      </c>
      <c r="Y17">
        <f t="shared" ca="1" si="0"/>
        <v>21</v>
      </c>
      <c r="Z17">
        <f t="shared" si="0"/>
        <v>0</v>
      </c>
      <c r="AA17" s="72"/>
      <c r="AB17" s="72"/>
      <c r="AC17" s="155"/>
      <c r="AD17" s="155"/>
      <c r="AE17" s="155"/>
      <c r="AF17" s="156"/>
    </row>
    <row r="18" spans="1:32" x14ac:dyDescent="0.25">
      <c r="A18" t="str">
        <f>PLANTILLA!D12</f>
        <v>G. Durand</v>
      </c>
      <c r="B18">
        <f>PLANTILLA!E12</f>
        <v>24</v>
      </c>
      <c r="C18" s="133">
        <f ca="1">PLANTILLA!F12</f>
        <v>93</v>
      </c>
      <c r="D18" t="str">
        <f>PLANTILLA!G12</f>
        <v>IMP</v>
      </c>
      <c r="E18" s="72">
        <f>PLANTILLA!J12</f>
        <v>0.96570115946771873</v>
      </c>
      <c r="F18" s="70">
        <f>PLANTILLA!O12</f>
        <v>1.5</v>
      </c>
      <c r="G18" s="70">
        <f>PLANTILLA!W12</f>
        <v>0</v>
      </c>
      <c r="H18" s="70">
        <f>PLANTILLA!X12</f>
        <v>5</v>
      </c>
      <c r="I18" s="70">
        <f>PLANTILLA!Y12</f>
        <v>11.75</v>
      </c>
      <c r="J18" s="70">
        <f>PLANTILLA!Z12</f>
        <v>2</v>
      </c>
      <c r="K18" s="70">
        <f>PLANTILLA!AA12</f>
        <v>7</v>
      </c>
      <c r="L18" s="70">
        <f>PLANTILLA!AB12</f>
        <v>4</v>
      </c>
      <c r="M18" s="70">
        <f>PLANTILLA!AC12</f>
        <v>6</v>
      </c>
      <c r="N18" s="72">
        <f>1/4</f>
        <v>0.25</v>
      </c>
      <c r="O18" s="72" t="s">
        <v>254</v>
      </c>
      <c r="P18" s="155">
        <f>$N$18*P3</f>
        <v>8.8749999999999996E-2</v>
      </c>
      <c r="Q18" s="155">
        <f t="shared" ref="Q18:R18" si="2">$N$18*Q3</f>
        <v>0.18074999999999999</v>
      </c>
      <c r="R18" s="155">
        <f t="shared" si="2"/>
        <v>4.4499999999999998E-2</v>
      </c>
      <c r="S18" s="9"/>
      <c r="W18" t="str">
        <f t="shared" si="1"/>
        <v>G. Durand</v>
      </c>
      <c r="X18">
        <f t="shared" si="0"/>
        <v>24</v>
      </c>
      <c r="Y18">
        <f t="shared" ca="1" si="0"/>
        <v>93</v>
      </c>
      <c r="Z18" t="str">
        <f t="shared" si="0"/>
        <v>IMP</v>
      </c>
      <c r="AA18" s="72">
        <f>N18</f>
        <v>0.25</v>
      </c>
      <c r="AB18" s="72" t="str">
        <f>O18</f>
        <v>DOf</v>
      </c>
      <c r="AC18" s="155">
        <f>P18</f>
        <v>8.8749999999999996E-2</v>
      </c>
      <c r="AD18" s="155">
        <f>Q18</f>
        <v>0.18074999999999999</v>
      </c>
      <c r="AE18" s="155">
        <f>R18</f>
        <v>4.4499999999999998E-2</v>
      </c>
      <c r="AF18" s="9"/>
    </row>
    <row r="19" spans="1:32" x14ac:dyDescent="0.25">
      <c r="A19" t="str">
        <f>PLANTILLA!D13</f>
        <v>B. Corominola</v>
      </c>
      <c r="B19">
        <f>PLANTILLA!E13</f>
        <v>25</v>
      </c>
      <c r="C19" s="133">
        <f ca="1">PLANTILLA!F13</f>
        <v>53</v>
      </c>
      <c r="D19" t="str">
        <f>PLANTILLA!G13</f>
        <v>RAP</v>
      </c>
      <c r="E19" s="72">
        <f>PLANTILLA!J13</f>
        <v>1.1267973866856758</v>
      </c>
      <c r="F19" s="70">
        <f>PLANTILLA!O13</f>
        <v>1.5</v>
      </c>
      <c r="G19" s="70">
        <f>PLANTILLA!W13</f>
        <v>0</v>
      </c>
      <c r="H19" s="70">
        <f>PLANTILLA!X13</f>
        <v>6</v>
      </c>
      <c r="I19" s="70">
        <f>PLANTILLA!Y13</f>
        <v>14.9</v>
      </c>
      <c r="J19" s="70">
        <f>PLANTILLA!Z13</f>
        <v>2</v>
      </c>
      <c r="K19" s="70">
        <f>PLANTILLA!AA13</f>
        <v>9</v>
      </c>
      <c r="L19" s="70">
        <f>PLANTILLA!AB13</f>
        <v>7</v>
      </c>
      <c r="M19" s="70">
        <f>PLANTILLA!AC13</f>
        <v>5</v>
      </c>
      <c r="N19" s="72">
        <f>1/5</f>
        <v>0.2</v>
      </c>
      <c r="O19" s="72" t="s">
        <v>23</v>
      </c>
      <c r="P19" s="155">
        <f>$N19*P$7</f>
        <v>2.7800000000000005E-2</v>
      </c>
      <c r="Q19" s="155">
        <f>$N19*Q$7</f>
        <v>8.5000000000000006E-2</v>
      </c>
      <c r="R19" s="155">
        <f>$N19*R$7</f>
        <v>2.7800000000000005E-2</v>
      </c>
      <c r="S19" s="9"/>
      <c r="W19" t="str">
        <f t="shared" si="1"/>
        <v>B. Corominola</v>
      </c>
      <c r="X19">
        <f t="shared" si="0"/>
        <v>25</v>
      </c>
      <c r="Y19">
        <f t="shared" ca="1" si="0"/>
        <v>53</v>
      </c>
      <c r="Z19" t="str">
        <f t="shared" si="0"/>
        <v>RAP</v>
      </c>
      <c r="AA19" s="72">
        <f t="shared" ref="AA19:AA24" si="3">N19</f>
        <v>0.2</v>
      </c>
      <c r="AB19" s="72" t="str">
        <f>O19</f>
        <v>MED</v>
      </c>
      <c r="AC19" s="155">
        <f>P19</f>
        <v>2.7800000000000005E-2</v>
      </c>
      <c r="AD19" s="155">
        <f>Q19</f>
        <v>8.5000000000000006E-2</v>
      </c>
      <c r="AE19" s="155">
        <f>R19</f>
        <v>2.7800000000000005E-2</v>
      </c>
      <c r="AF19" s="9"/>
    </row>
    <row r="20" spans="1:32" x14ac:dyDescent="0.25">
      <c r="A20" t="str">
        <f>PLANTILLA!D14</f>
        <v>T. Orozco</v>
      </c>
      <c r="B20">
        <f>PLANTILLA!E14</f>
        <v>25</v>
      </c>
      <c r="C20" s="133">
        <f ca="1">PLANTILLA!F14</f>
        <v>86</v>
      </c>
      <c r="D20" t="str">
        <f>PLANTILLA!G14</f>
        <v>CAB</v>
      </c>
      <c r="E20" s="72">
        <f>PLANTILLA!J14</f>
        <v>1.1267973866856758</v>
      </c>
      <c r="F20" s="70">
        <f>PLANTILLA!O14</f>
        <v>1.5</v>
      </c>
      <c r="G20" s="70">
        <f>PLANTILLA!W14</f>
        <v>1</v>
      </c>
      <c r="H20" s="70">
        <f>PLANTILLA!X14</f>
        <v>6</v>
      </c>
      <c r="I20" s="70">
        <f>PLANTILLA!Y14</f>
        <v>14.6</v>
      </c>
      <c r="J20" s="70">
        <f>PLANTILLA!Z14</f>
        <v>3</v>
      </c>
      <c r="K20" s="70">
        <f>PLANTILLA!AA14</f>
        <v>8.1999999999999993</v>
      </c>
      <c r="L20" s="70">
        <f>PLANTILLA!AB14</f>
        <v>6.5</v>
      </c>
      <c r="M20" s="70">
        <f>PLANTILLA!AC14</f>
        <v>6</v>
      </c>
      <c r="N20" s="72">
        <f>1/5</f>
        <v>0.2</v>
      </c>
      <c r="O20" s="72" t="s">
        <v>254</v>
      </c>
      <c r="P20" s="155">
        <f>N20*R4</f>
        <v>0.05</v>
      </c>
      <c r="Q20" s="155">
        <f>N20*Q3</f>
        <v>0.14460000000000001</v>
      </c>
      <c r="R20" s="155">
        <f>N20*P3</f>
        <v>7.0999999999999994E-2</v>
      </c>
      <c r="S20" s="9"/>
      <c r="W20" t="str">
        <f t="shared" si="1"/>
        <v>T. Orozco</v>
      </c>
      <c r="X20">
        <f t="shared" si="0"/>
        <v>25</v>
      </c>
      <c r="Y20">
        <f t="shared" ca="1" si="0"/>
        <v>86</v>
      </c>
      <c r="Z20" t="str">
        <f t="shared" si="0"/>
        <v>CAB</v>
      </c>
      <c r="AA20" s="72">
        <f t="shared" si="3"/>
        <v>0.2</v>
      </c>
      <c r="AB20" s="72" t="s">
        <v>94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PLANTILLA!D15</f>
        <v>A. Retegui</v>
      </c>
      <c r="B21">
        <f>PLANTILLA!E15</f>
        <v>22</v>
      </c>
      <c r="C21" s="133">
        <f ca="1">PLANTILLA!F15</f>
        <v>83</v>
      </c>
      <c r="D21">
        <f>PLANTILLA!G15</f>
        <v>0</v>
      </c>
      <c r="E21" s="72">
        <f>PLANTILLA!J15</f>
        <v>1.2723233459190999</v>
      </c>
      <c r="F21" s="70">
        <f>PLANTILLA!O15</f>
        <v>1.5</v>
      </c>
      <c r="G21" s="70">
        <f>PLANTILLA!W15</f>
        <v>0</v>
      </c>
      <c r="H21" s="70">
        <f>PLANTILLA!X15</f>
        <v>4</v>
      </c>
      <c r="I21" s="70">
        <f>PLANTILLA!Y15</f>
        <v>15.533333333333333</v>
      </c>
      <c r="J21" s="70">
        <f>PLANTILLA!Z15</f>
        <v>7.75</v>
      </c>
      <c r="K21" s="70">
        <f>PLANTILLA!AA15</f>
        <v>8</v>
      </c>
      <c r="L21" s="70">
        <f>PLANTILLA!AB15</f>
        <v>4</v>
      </c>
      <c r="M21" s="70">
        <f>PLANTILLA!AC15</f>
        <v>9</v>
      </c>
      <c r="N21" s="72">
        <f>1/4</f>
        <v>0.25</v>
      </c>
      <c r="O21" s="72" t="s">
        <v>91</v>
      </c>
      <c r="P21" s="155">
        <f>$N21*P$8</f>
        <v>2.325E-2</v>
      </c>
      <c r="Q21" s="155">
        <f t="shared" ref="Q21:R21" si="4">$N21*Q$8</f>
        <v>0.10625</v>
      </c>
      <c r="R21" s="155">
        <f t="shared" si="4"/>
        <v>4.6249999999999999E-2</v>
      </c>
      <c r="S21" s="9"/>
      <c r="W21" t="str">
        <f t="shared" si="1"/>
        <v>A. Retegui</v>
      </c>
      <c r="X21">
        <f t="shared" si="0"/>
        <v>22</v>
      </c>
      <c r="Y21">
        <f t="shared" ca="1" si="0"/>
        <v>83</v>
      </c>
      <c r="Z21">
        <f t="shared" si="0"/>
        <v>0</v>
      </c>
      <c r="AA21" s="72">
        <f t="shared" si="3"/>
        <v>0.25</v>
      </c>
      <c r="AB21" s="72" t="s">
        <v>225</v>
      </c>
      <c r="AC21" s="155"/>
      <c r="AD21" s="155">
        <f>AA21*AD9</f>
        <v>8.4500000000000006E-2</v>
      </c>
      <c r="AE21" s="155">
        <f>AA21*AC9</f>
        <v>5.0999999999999997E-2</v>
      </c>
      <c r="AF21" s="9"/>
    </row>
    <row r="22" spans="1:32" x14ac:dyDescent="0.25">
      <c r="A22" t="str">
        <f>PLANTILLA!D16</f>
        <v>A. Balsebre</v>
      </c>
      <c r="B22">
        <f>PLANTILLA!E16</f>
        <v>23</v>
      </c>
      <c r="C22" s="133">
        <f ca="1">PLANTILLA!F16</f>
        <v>44</v>
      </c>
      <c r="D22">
        <f>PLANTILLA!G16</f>
        <v>0</v>
      </c>
      <c r="E22" s="72">
        <f>PLANTILLA!J16</f>
        <v>1.0375350005115249</v>
      </c>
      <c r="F22" s="70">
        <f>PLANTILLA!O16</f>
        <v>1.5</v>
      </c>
      <c r="G22" s="70">
        <f>PLANTILLA!W16</f>
        <v>0</v>
      </c>
      <c r="H22" s="70">
        <f>PLANTILLA!X16</f>
        <v>4</v>
      </c>
      <c r="I22" s="70">
        <f>PLANTILLA!Y16</f>
        <v>15.692307692307692</v>
      </c>
      <c r="J22" s="70">
        <f>PLANTILLA!Z16</f>
        <v>2</v>
      </c>
      <c r="K22" s="70">
        <f>PLANTILLA!AA16</f>
        <v>8.1999999999999993</v>
      </c>
      <c r="L22" s="70">
        <f>PLANTILLA!AB16</f>
        <v>3.3333333333333335</v>
      </c>
      <c r="M22" s="70">
        <f>PLANTILLA!AC16</f>
        <v>7</v>
      </c>
      <c r="N22" s="72">
        <f>1/4</f>
        <v>0.25</v>
      </c>
      <c r="O22" s="72" t="s">
        <v>91</v>
      </c>
      <c r="P22" s="155">
        <f>N22*R8</f>
        <v>4.6249999999999999E-2</v>
      </c>
      <c r="Q22" s="155">
        <f>N22*Q8</f>
        <v>0.10625</v>
      </c>
      <c r="R22" s="155">
        <f>N22*P8</f>
        <v>2.325E-2</v>
      </c>
      <c r="S22" s="9"/>
      <c r="W22" t="str">
        <f t="shared" si="1"/>
        <v>A. Balsebre</v>
      </c>
      <c r="X22">
        <f t="shared" si="0"/>
        <v>23</v>
      </c>
      <c r="Y22">
        <f t="shared" ca="1" si="0"/>
        <v>44</v>
      </c>
      <c r="Z22">
        <f t="shared" si="0"/>
        <v>0</v>
      </c>
      <c r="AA22" s="72">
        <f t="shared" si="3"/>
        <v>0.25</v>
      </c>
      <c r="AB22" s="72" t="s">
        <v>91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PLANTILLA!D17</f>
        <v>T. Lebon</v>
      </c>
      <c r="B23">
        <f>PLANTILLA!E17</f>
        <v>24</v>
      </c>
      <c r="C23" s="133">
        <f ca="1">PLANTILLA!F17</f>
        <v>46</v>
      </c>
      <c r="D23" t="str">
        <f>PLANTILLA!G17</f>
        <v>TEC</v>
      </c>
      <c r="E23" s="72">
        <f>PLANTILLA!J17</f>
        <v>1.0375350005115249</v>
      </c>
      <c r="F23" s="70">
        <f>PLANTILLA!O17</f>
        <v>1.5</v>
      </c>
      <c r="G23" s="70">
        <f>PLANTILLA!W17</f>
        <v>0</v>
      </c>
      <c r="H23" s="70">
        <f>PLANTILLA!X17</f>
        <v>4</v>
      </c>
      <c r="I23" s="70">
        <f>PLANTILLA!Y17</f>
        <v>14.166666666666666</v>
      </c>
      <c r="J23" s="70">
        <f>PLANTILLA!Z17</f>
        <v>8.1999999999999993</v>
      </c>
      <c r="K23" s="70">
        <f>PLANTILLA!AA17</f>
        <v>8</v>
      </c>
      <c r="L23" s="70">
        <f>PLANTILLA!AB17</f>
        <v>6</v>
      </c>
      <c r="M23" s="70">
        <f>PLANTILLA!AC17</f>
        <v>6</v>
      </c>
      <c r="N23" s="72">
        <f>1/4</f>
        <v>0.25</v>
      </c>
      <c r="O23" s="72" t="s">
        <v>94</v>
      </c>
      <c r="P23" s="155"/>
      <c r="Q23" s="155">
        <f>$N23*Q$10</f>
        <v>6.3250000000000001E-2</v>
      </c>
      <c r="R23" s="155">
        <f>$N23*P10</f>
        <v>7.2499999999999995E-2</v>
      </c>
      <c r="S23" s="9"/>
      <c r="W23" t="str">
        <f t="shared" si="1"/>
        <v>T. Lebon</v>
      </c>
      <c r="X23">
        <f t="shared" si="0"/>
        <v>24</v>
      </c>
      <c r="Y23">
        <f t="shared" ca="1" si="0"/>
        <v>46</v>
      </c>
      <c r="Z23" t="str">
        <f t="shared" si="0"/>
        <v>TEC</v>
      </c>
      <c r="AA23" s="72">
        <f t="shared" si="3"/>
        <v>0.25</v>
      </c>
      <c r="AB23" s="72" t="s">
        <v>93</v>
      </c>
      <c r="AC23" s="155"/>
      <c r="AD23" s="155">
        <f>AA23*AD11</f>
        <v>5.1999999999999998E-2</v>
      </c>
      <c r="AE23" s="155">
        <f>AA23*AE11</f>
        <v>8.6749999999999994E-2</v>
      </c>
      <c r="AF23" s="9"/>
    </row>
    <row r="24" spans="1:32" x14ac:dyDescent="0.25">
      <c r="A24" t="str">
        <f>PLANTILLA!D18</f>
        <v>L. Grière</v>
      </c>
      <c r="B24">
        <f>PLANTILLA!E18</f>
        <v>23</v>
      </c>
      <c r="C24" s="133">
        <f ca="1">PLANTILLA!F18</f>
        <v>65</v>
      </c>
      <c r="D24" t="str">
        <f>PLANTILLA!G18</f>
        <v>TEC</v>
      </c>
      <c r="E24" s="72">
        <f>PLANTILLA!J18</f>
        <v>0.93196000578135851</v>
      </c>
      <c r="F24" s="70">
        <f>PLANTILLA!O18</f>
        <v>1.5</v>
      </c>
      <c r="G24" s="70">
        <f>PLANTILLA!W18</f>
        <v>0</v>
      </c>
      <c r="H24" s="70">
        <f>PLANTILLA!X18</f>
        <v>4</v>
      </c>
      <c r="I24" s="70">
        <f>PLANTILLA!Y18</f>
        <v>13.95</v>
      </c>
      <c r="J24" s="70">
        <f>PLANTILLA!Z18</f>
        <v>8.6</v>
      </c>
      <c r="K24" s="70">
        <f>PLANTILLA!AA18</f>
        <v>6.25</v>
      </c>
      <c r="L24" s="70">
        <f>PLANTILLA!AB18</f>
        <v>5</v>
      </c>
      <c r="M24" s="70">
        <f>PLANTILLA!AC18</f>
        <v>4</v>
      </c>
      <c r="N24" s="72">
        <f>1/4</f>
        <v>0.25</v>
      </c>
      <c r="O24" s="72" t="s">
        <v>94</v>
      </c>
      <c r="P24" s="155">
        <f>$N24*P$10</f>
        <v>7.2499999999999995E-2</v>
      </c>
      <c r="Q24" s="155">
        <f>$N24*Q$10</f>
        <v>6.3250000000000001E-2</v>
      </c>
      <c r="R24" s="155"/>
      <c r="S24" s="9"/>
      <c r="W24" t="str">
        <f t="shared" si="1"/>
        <v>L. Grière</v>
      </c>
      <c r="X24">
        <f t="shared" si="0"/>
        <v>23</v>
      </c>
      <c r="Y24">
        <f t="shared" ca="1" si="0"/>
        <v>65</v>
      </c>
      <c r="Z24" t="str">
        <f t="shared" si="0"/>
        <v>TEC</v>
      </c>
      <c r="AA24" s="72">
        <f t="shared" si="3"/>
        <v>0.25</v>
      </c>
      <c r="AB24" s="72" t="s">
        <v>250</v>
      </c>
      <c r="AC24" s="155"/>
      <c r="AD24" s="155">
        <f>AA24*AD6</f>
        <v>9.7250000000000003E-2</v>
      </c>
      <c r="AE24" s="155">
        <f>AA24*AE6</f>
        <v>0.17274999999999999</v>
      </c>
      <c r="AF24" s="9"/>
    </row>
    <row r="25" spans="1:32" x14ac:dyDescent="0.25">
      <c r="A25" t="str">
        <f>PLANTILLA!D20</f>
        <v>P. Molins</v>
      </c>
      <c r="B25">
        <f>PLANTILLA!E20</f>
        <v>18</v>
      </c>
      <c r="C25" s="133">
        <f ca="1">PLANTILLA!F20</f>
        <v>98</v>
      </c>
      <c r="D25" t="str">
        <f>PLANTILLA!G20</f>
        <v>POT</v>
      </c>
      <c r="E25" s="72">
        <f>PLANTILLA!J20</f>
        <v>0.42962572631189239</v>
      </c>
      <c r="F25" s="70">
        <f>PLANTILLA!O20</f>
        <v>1.5</v>
      </c>
      <c r="G25" s="70">
        <f>PLANTILLA!W20</f>
        <v>0</v>
      </c>
      <c r="H25" s="70">
        <f>PLANTILLA!X20</f>
        <v>4</v>
      </c>
      <c r="I25" s="70">
        <f>PLANTILLA!Y20</f>
        <v>6</v>
      </c>
      <c r="J25" s="70">
        <f>PLANTILLA!Z20</f>
        <v>3</v>
      </c>
      <c r="K25" s="70">
        <f>PLANTILLA!AA20</f>
        <v>7</v>
      </c>
      <c r="L25" s="70">
        <f>PLANTILLA!AB20</f>
        <v>5</v>
      </c>
      <c r="M25" s="70">
        <f>PLANTILLA!AC20</f>
        <v>4</v>
      </c>
      <c r="N25" s="72"/>
      <c r="O25" s="72"/>
      <c r="P25" s="155"/>
      <c r="Q25" s="155"/>
      <c r="R25" s="155"/>
      <c r="S25" s="9"/>
      <c r="W25" t="str">
        <f t="shared" si="1"/>
        <v>P. Molins</v>
      </c>
      <c r="X25">
        <f t="shared" si="0"/>
        <v>18</v>
      </c>
      <c r="Y25">
        <f t="shared" ca="1" si="0"/>
        <v>98</v>
      </c>
      <c r="Z25" t="str">
        <f t="shared" si="0"/>
        <v>POT</v>
      </c>
      <c r="AA25" s="72"/>
      <c r="AB25" s="72"/>
      <c r="AC25" s="155"/>
      <c r="AD25" s="155"/>
      <c r="AE25" s="155"/>
      <c r="AF25" s="9"/>
    </row>
    <row r="26" spans="1:32" x14ac:dyDescent="0.25">
      <c r="A26" t="str">
        <f>PLANTILLA!D21</f>
        <v>A. Baldoví</v>
      </c>
      <c r="B26">
        <f>PLANTILLA!E21</f>
        <v>24</v>
      </c>
      <c r="C26" s="133">
        <f ca="1">PLANTILLA!F21</f>
        <v>18</v>
      </c>
      <c r="D26" t="str">
        <f>PLANTILLA!G21</f>
        <v>RAP</v>
      </c>
      <c r="E26" s="72">
        <f>PLANTILLA!J21</f>
        <v>1.1267973866856758</v>
      </c>
      <c r="F26" s="70">
        <f>PLANTILLA!O21</f>
        <v>1.5</v>
      </c>
      <c r="G26" s="70">
        <f>PLANTILLA!W21</f>
        <v>0</v>
      </c>
      <c r="H26" s="70">
        <f>PLANTILLA!X21</f>
        <v>4</v>
      </c>
      <c r="I26" s="70">
        <f>PLANTILLA!Y21</f>
        <v>14.692307692307692</v>
      </c>
      <c r="J26" s="70">
        <f>PLANTILLA!Z21</f>
        <v>8.6</v>
      </c>
      <c r="K26" s="70">
        <f>PLANTILLA!AA21</f>
        <v>8.4</v>
      </c>
      <c r="L26" s="70">
        <f>PLANTILLA!AB21</f>
        <v>9.1666666666666661</v>
      </c>
      <c r="M26" s="70">
        <f>PLANTILLA!AC21</f>
        <v>7</v>
      </c>
      <c r="N26" s="72"/>
      <c r="O26" s="72"/>
      <c r="P26" s="155"/>
      <c r="Q26" s="155"/>
      <c r="R26" s="155"/>
      <c r="S26" s="9"/>
      <c r="W26" t="str">
        <f t="shared" si="1"/>
        <v>A. Baldoví</v>
      </c>
      <c r="X26">
        <f t="shared" si="0"/>
        <v>24</v>
      </c>
      <c r="Y26">
        <f t="shared" ca="1" si="0"/>
        <v>18</v>
      </c>
      <c r="Z26" t="str">
        <f t="shared" si="0"/>
        <v>RAP</v>
      </c>
      <c r="AA26" s="72"/>
      <c r="AB26" s="72"/>
      <c r="AC26" s="155"/>
      <c r="AD26" s="155"/>
      <c r="AE26" s="155"/>
      <c r="AF26" s="9"/>
    </row>
    <row r="27" spans="1:32" x14ac:dyDescent="0.25">
      <c r="A27" t="str">
        <f>PLANTILLA!D22</f>
        <v>R. Abrain</v>
      </c>
      <c r="B27">
        <f>PLANTILLA!E22</f>
        <v>24</v>
      </c>
      <c r="C27" s="133">
        <f ca="1">PLANTILLA!F22</f>
        <v>3</v>
      </c>
      <c r="D27" t="str">
        <f>PLANTILLA!G22</f>
        <v>IMP</v>
      </c>
      <c r="E27" s="72">
        <f>PLANTILLA!J22</f>
        <v>1.1267973866856758</v>
      </c>
      <c r="F27" s="70">
        <f>PLANTILLA!O22</f>
        <v>1.5</v>
      </c>
      <c r="G27" s="70">
        <f>PLANTILLA!W22</f>
        <v>0</v>
      </c>
      <c r="H27" s="70">
        <f>PLANTILLA!X22</f>
        <v>5</v>
      </c>
      <c r="I27" s="70">
        <f>PLANTILLA!Y22</f>
        <v>11.375</v>
      </c>
      <c r="J27" s="70">
        <f>PLANTILLA!Z22</f>
        <v>6.5</v>
      </c>
      <c r="K27" s="70">
        <f>PLANTILLA!AA22</f>
        <v>8</v>
      </c>
      <c r="L27" s="70">
        <f>PLANTILLA!AB22</f>
        <v>9</v>
      </c>
      <c r="M27" s="70">
        <f>PLANTILLA!AC22</f>
        <v>5</v>
      </c>
      <c r="N27" s="72"/>
      <c r="O27" s="72"/>
      <c r="P27" s="155"/>
      <c r="Q27" s="155"/>
      <c r="R27" s="155"/>
      <c r="S27" s="9"/>
      <c r="W27" t="str">
        <f t="shared" si="1"/>
        <v>R. Abrain</v>
      </c>
      <c r="X27">
        <f t="shared" si="0"/>
        <v>24</v>
      </c>
      <c r="Y27">
        <f t="shared" ca="1" si="0"/>
        <v>3</v>
      </c>
      <c r="Z27" t="str">
        <f t="shared" si="0"/>
        <v>IMP</v>
      </c>
      <c r="AA27" s="72"/>
      <c r="AB27" s="72"/>
      <c r="AC27" s="155"/>
      <c r="AD27" s="155"/>
      <c r="AE27" s="155"/>
      <c r="AF27" s="9"/>
    </row>
    <row r="28" spans="1:32" x14ac:dyDescent="0.25">
      <c r="A28" t="str">
        <f>PLANTILLA!D23</f>
        <v>L. Cabistany</v>
      </c>
      <c r="B28">
        <f>PLANTILLA!E23</f>
        <v>22</v>
      </c>
      <c r="C28" s="133">
        <f ca="1">PLANTILLA!F23</f>
        <v>52</v>
      </c>
      <c r="D28">
        <f>PLANTILLA!G23</f>
        <v>0</v>
      </c>
      <c r="E28" s="72">
        <f>PLANTILLA!J23</f>
        <v>0.50694832228214137</v>
      </c>
      <c r="F28" s="70">
        <f>PLANTILLA!O23</f>
        <v>1.5</v>
      </c>
      <c r="G28" s="70">
        <f>PLANTILLA!W23</f>
        <v>0</v>
      </c>
      <c r="H28" s="70">
        <f>PLANTILLA!X23</f>
        <v>2</v>
      </c>
      <c r="I28" s="70">
        <f>PLANTILLA!Y23</f>
        <v>7.833333333333333</v>
      </c>
      <c r="J28" s="70">
        <f>PLANTILLA!Z23</f>
        <v>3</v>
      </c>
      <c r="K28" s="70">
        <f>PLANTILLA!AA23</f>
        <v>9</v>
      </c>
      <c r="L28" s="70">
        <f>PLANTILLA!AB23</f>
        <v>6</v>
      </c>
      <c r="M28" s="70">
        <f>PLANTILLA!AC23</f>
        <v>4</v>
      </c>
      <c r="N28" s="72"/>
      <c r="P28" s="155"/>
      <c r="Q28" s="155"/>
      <c r="R28" s="155"/>
      <c r="W28" t="str">
        <f t="shared" si="1"/>
        <v>L. Cabistany</v>
      </c>
      <c r="X28">
        <f t="shared" si="0"/>
        <v>22</v>
      </c>
      <c r="Y28">
        <f t="shared" ca="1" si="0"/>
        <v>52</v>
      </c>
      <c r="Z28">
        <f t="shared" si="0"/>
        <v>0</v>
      </c>
      <c r="AA28" s="72"/>
      <c r="AB28" s="2"/>
      <c r="AC28" s="155"/>
      <c r="AD28" s="155"/>
      <c r="AE28" s="155"/>
    </row>
    <row r="29" spans="1:32" x14ac:dyDescent="0.25">
      <c r="A29" t="str">
        <f>PLANTILLA!D24</f>
        <v>I. Velayo</v>
      </c>
      <c r="B29">
        <f>PLANTILLA!E24</f>
        <v>25</v>
      </c>
      <c r="C29" s="133">
        <f ca="1">PLANTILLA!F24</f>
        <v>105</v>
      </c>
      <c r="D29" t="str">
        <f>PLANTILLA!G24</f>
        <v>RAP</v>
      </c>
      <c r="E29" s="72">
        <f>PLANTILLA!J24</f>
        <v>1.1267973866856758</v>
      </c>
      <c r="F29" s="70">
        <f>PLANTILLA!O24</f>
        <v>1.5</v>
      </c>
      <c r="G29" s="70">
        <f>PLANTILLA!W24</f>
        <v>0</v>
      </c>
      <c r="H29" s="70">
        <f>PLANTILLA!X24</f>
        <v>4</v>
      </c>
      <c r="I29" s="70">
        <f>PLANTILLA!Y24</f>
        <v>11.625</v>
      </c>
      <c r="J29" s="70">
        <f>PLANTILLA!Z24</f>
        <v>4</v>
      </c>
      <c r="K29" s="70">
        <f>PLANTILLA!AA24</f>
        <v>7.5</v>
      </c>
      <c r="L29" s="70">
        <f>PLANTILLA!AB24</f>
        <v>9</v>
      </c>
      <c r="M29" s="70">
        <f>PLANTILLA!AC24</f>
        <v>5</v>
      </c>
      <c r="P29" s="155"/>
      <c r="Q29" s="155"/>
      <c r="R29" s="155"/>
      <c r="W29" t="str">
        <f t="shared" si="1"/>
        <v>I. Velayo</v>
      </c>
      <c r="X29">
        <f t="shared" ref="X29:X30" si="5">B29</f>
        <v>25</v>
      </c>
      <c r="Y29">
        <f t="shared" ref="Y29:Y30" ca="1" si="6">C29</f>
        <v>105</v>
      </c>
      <c r="Z29" t="str">
        <f t="shared" ref="Z29:Z30" si="7">D29</f>
        <v>RAP</v>
      </c>
      <c r="AA29" s="72"/>
      <c r="AB29" s="2"/>
    </row>
    <row r="30" spans="1:32" x14ac:dyDescent="0.25">
      <c r="A30" t="e">
        <f>PLANTILLA!#REF!</f>
        <v>#REF!</v>
      </c>
      <c r="B30" t="e">
        <f>PLANTILLA!#REF!</f>
        <v>#REF!</v>
      </c>
      <c r="C30" s="133" t="e">
        <f>PLANTILLA!#REF!</f>
        <v>#REF!</v>
      </c>
      <c r="D30" t="e">
        <f>PLANTILLA!#REF!</f>
        <v>#REF!</v>
      </c>
      <c r="E30" s="72" t="e">
        <f>PLANTILLA!#REF!</f>
        <v>#REF!</v>
      </c>
      <c r="F30" s="70" t="e">
        <f>PLANTILLA!#REF!</f>
        <v>#REF!</v>
      </c>
      <c r="G30" s="70" t="e">
        <f>PLANTILLA!#REF!</f>
        <v>#REF!</v>
      </c>
      <c r="H30" s="70" t="e">
        <f>PLANTILLA!#REF!</f>
        <v>#REF!</v>
      </c>
      <c r="I30" s="70" t="e">
        <f>PLANTILLA!#REF!</f>
        <v>#REF!</v>
      </c>
      <c r="J30" s="70" t="e">
        <f>PLANTILLA!#REF!</f>
        <v>#REF!</v>
      </c>
      <c r="K30" s="70" t="e">
        <f>PLANTILLA!#REF!</f>
        <v>#REF!</v>
      </c>
      <c r="L30" s="70" t="e">
        <f>PLANTILLA!#REF!</f>
        <v>#REF!</v>
      </c>
      <c r="M30" s="70" t="e">
        <f>PLANTILLA!#REF!</f>
        <v>#REF!</v>
      </c>
      <c r="P30" s="155"/>
      <c r="Q30" s="155"/>
      <c r="R30" s="155"/>
      <c r="W30" t="e">
        <f t="shared" si="1"/>
        <v>#REF!</v>
      </c>
      <c r="X30" t="e">
        <f t="shared" si="5"/>
        <v>#REF!</v>
      </c>
      <c r="Y30" t="e">
        <f t="shared" si="6"/>
        <v>#REF!</v>
      </c>
      <c r="Z30" t="e">
        <f t="shared" si="7"/>
        <v>#REF!</v>
      </c>
      <c r="AA30" s="72"/>
      <c r="AB30" s="2"/>
    </row>
    <row r="31" spans="1:32" x14ac:dyDescent="0.25">
      <c r="C31" s="133"/>
      <c r="E31" s="72"/>
      <c r="F31" s="70"/>
      <c r="G31" s="70"/>
      <c r="H31" s="70"/>
      <c r="I31" s="70"/>
      <c r="J31" s="70"/>
      <c r="K31" s="70"/>
      <c r="L31" s="70"/>
      <c r="M31" s="70"/>
      <c r="Y31" s="133"/>
      <c r="AA31" s="2"/>
      <c r="AB31" s="2"/>
    </row>
    <row r="32" spans="1:32" x14ac:dyDescent="0.25">
      <c r="C32" s="133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33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33"/>
      <c r="E34" s="72"/>
      <c r="F34" s="70"/>
      <c r="G34" s="70"/>
      <c r="H34" s="70"/>
      <c r="I34" s="70"/>
      <c r="J34" s="70"/>
      <c r="K34" s="70"/>
      <c r="L34" s="70"/>
      <c r="M34" s="70"/>
    </row>
  </sheetData>
  <mergeCells count="2">
    <mergeCell ref="W11:X11"/>
    <mergeCell ref="A11:B11"/>
  </mergeCells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conditionalFormatting sqref="AA14:AB18 AB20:AB27 AA19:AA30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E13:F34">
    <cfRule type="colorScale" priority="1902">
      <colorScale>
        <cfvo type="min"/>
        <cfvo type="max"/>
        <color rgb="FFFCFCFF"/>
        <color rgb="FFF8696B"/>
      </colorScale>
    </cfRule>
  </conditionalFormatting>
  <conditionalFormatting sqref="G13:M34">
    <cfRule type="colorScale" priority="1904">
      <colorScale>
        <cfvo type="min"/>
        <cfvo type="max"/>
        <color rgb="FFFFEF9C"/>
        <color rgb="FF63BE7B"/>
      </colorScale>
    </cfRule>
  </conditionalFormatting>
  <conditionalFormatting sqref="P13:R30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0">
    <cfRule type="dataBar" priority="1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AA19:AA30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P13:R30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0"/>
  <sheetViews>
    <sheetView workbookViewId="0">
      <selection activeCell="F18" sqref="F18"/>
    </sheetView>
  </sheetViews>
  <sheetFormatPr baseColWidth="10" defaultColWidth="10.7109375" defaultRowHeight="15.7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6.85546875" style="75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6" style="75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266"/>
      <c r="O1" s="2"/>
      <c r="P1" s="2"/>
    </row>
    <row r="2" spans="1:29" x14ac:dyDescent="0.25">
      <c r="N2" s="266"/>
      <c r="O2" s="2" t="s">
        <v>87</v>
      </c>
      <c r="P2" s="2"/>
      <c r="Q2" s="14">
        <v>0.27500000000000002</v>
      </c>
      <c r="Y2" s="266"/>
      <c r="Z2" s="2" t="s">
        <v>87</v>
      </c>
      <c r="AA2" s="2"/>
      <c r="AB2" s="14">
        <v>0.27500000000000002</v>
      </c>
    </row>
    <row r="3" spans="1:29" x14ac:dyDescent="0.25">
      <c r="N3" s="266"/>
      <c r="O3" s="2" t="s">
        <v>253</v>
      </c>
      <c r="P3" s="2"/>
      <c r="Q3" s="14">
        <v>0.44</v>
      </c>
      <c r="Y3" s="266"/>
      <c r="Z3" s="2" t="s">
        <v>253</v>
      </c>
      <c r="AA3" s="2"/>
      <c r="AB3" s="14">
        <v>0.44</v>
      </c>
    </row>
    <row r="4" spans="1:29" x14ac:dyDescent="0.25">
      <c r="N4" s="266"/>
      <c r="O4" s="2" t="s">
        <v>88</v>
      </c>
      <c r="P4" s="2"/>
      <c r="Q4" s="14">
        <v>4.3999999999999997E-2</v>
      </c>
      <c r="Y4" s="266"/>
      <c r="Z4" s="2" t="s">
        <v>257</v>
      </c>
      <c r="AA4" s="2"/>
      <c r="AB4" s="14">
        <v>0.21</v>
      </c>
    </row>
    <row r="5" spans="1:29" x14ac:dyDescent="0.25">
      <c r="N5" s="266"/>
      <c r="O5" s="2" t="s">
        <v>91</v>
      </c>
      <c r="P5" s="2"/>
      <c r="Q5" s="14">
        <v>1</v>
      </c>
      <c r="Y5" s="266"/>
      <c r="Z5" s="2" t="s">
        <v>91</v>
      </c>
      <c r="AA5" s="2"/>
      <c r="AB5" s="14">
        <v>1</v>
      </c>
    </row>
    <row r="6" spans="1:29" x14ac:dyDescent="0.25">
      <c r="N6" s="266"/>
      <c r="O6" s="2" t="s">
        <v>92</v>
      </c>
      <c r="P6" s="2"/>
      <c r="Q6" s="14">
        <v>0.94399999999999995</v>
      </c>
      <c r="Y6" s="266"/>
      <c r="Z6" s="2" t="s">
        <v>92</v>
      </c>
      <c r="AA6" s="2"/>
      <c r="AB6" s="14">
        <v>0.94399999999999995</v>
      </c>
    </row>
    <row r="7" spans="1:29" x14ac:dyDescent="0.25">
      <c r="N7" s="266"/>
      <c r="O7" s="2" t="s">
        <v>233</v>
      </c>
      <c r="P7" s="2"/>
      <c r="Q7" s="14">
        <v>0.72499999999999998</v>
      </c>
      <c r="Y7" s="266"/>
      <c r="Z7" s="2" t="s">
        <v>233</v>
      </c>
      <c r="AA7" s="2"/>
      <c r="AB7" s="14">
        <v>0.72499999999999998</v>
      </c>
    </row>
    <row r="8" spans="1:29" x14ac:dyDescent="0.25">
      <c r="N8" s="266"/>
      <c r="O8" s="2" t="s">
        <v>93</v>
      </c>
      <c r="P8" s="2"/>
      <c r="Q8" s="14">
        <v>0.45499999999999996</v>
      </c>
      <c r="Y8" s="266"/>
      <c r="Z8" s="2" t="s">
        <v>93</v>
      </c>
      <c r="AA8" s="2"/>
      <c r="AB8" s="14">
        <v>0.45499999999999996</v>
      </c>
    </row>
    <row r="9" spans="1:29" x14ac:dyDescent="0.25">
      <c r="N9" s="266"/>
      <c r="O9" s="2" t="s">
        <v>95</v>
      </c>
      <c r="P9" s="2"/>
      <c r="Q9" s="14">
        <v>0.45600000000000002</v>
      </c>
      <c r="Y9" s="266"/>
      <c r="Z9" s="2" t="s">
        <v>95</v>
      </c>
      <c r="AA9" s="2"/>
      <c r="AB9" s="14">
        <v>0.45600000000000002</v>
      </c>
    </row>
    <row r="10" spans="1:29" x14ac:dyDescent="0.25">
      <c r="A10" s="360" t="s">
        <v>251</v>
      </c>
      <c r="B10" s="360"/>
      <c r="N10" s="266"/>
      <c r="O10" s="2" t="s">
        <v>12</v>
      </c>
      <c r="P10" s="2"/>
      <c r="Q10" s="14">
        <v>0.25</v>
      </c>
      <c r="U10" s="258" t="s">
        <v>252</v>
      </c>
      <c r="V10" s="258"/>
      <c r="Y10" s="266"/>
      <c r="Z10" s="2" t="s">
        <v>12</v>
      </c>
      <c r="AA10" s="2"/>
      <c r="AB10" s="14">
        <v>0.25</v>
      </c>
    </row>
    <row r="11" spans="1:29" ht="15" x14ac:dyDescent="0.25">
      <c r="A11" s="151" t="s">
        <v>46</v>
      </c>
      <c r="B11" s="152" t="s">
        <v>47</v>
      </c>
      <c r="C11" s="152" t="s">
        <v>48</v>
      </c>
      <c r="D11" s="152" t="s">
        <v>49</v>
      </c>
      <c r="E11" s="152" t="s">
        <v>52</v>
      </c>
      <c r="F11" s="152" t="s">
        <v>57</v>
      </c>
      <c r="G11" s="152" t="s">
        <v>65</v>
      </c>
      <c r="H11" s="152" t="s">
        <v>66</v>
      </c>
      <c r="I11" s="152" t="s">
        <v>67</v>
      </c>
      <c r="J11" s="152" t="s">
        <v>68</v>
      </c>
      <c r="K11" s="152" t="s">
        <v>69</v>
      </c>
      <c r="L11" s="152" t="s">
        <v>70</v>
      </c>
      <c r="M11" s="152" t="s">
        <v>49</v>
      </c>
      <c r="N11" s="300" t="s">
        <v>144</v>
      </c>
      <c r="O11" s="153" t="s">
        <v>45</v>
      </c>
      <c r="P11" s="259" t="s">
        <v>256</v>
      </c>
      <c r="Q11" s="154" t="s">
        <v>217</v>
      </c>
      <c r="R11" s="154" t="s">
        <v>79</v>
      </c>
      <c r="U11" s="151" t="s">
        <v>46</v>
      </c>
      <c r="V11" s="152" t="s">
        <v>47</v>
      </c>
      <c r="W11" s="152" t="s">
        <v>48</v>
      </c>
      <c r="X11" s="152" t="s">
        <v>49</v>
      </c>
      <c r="Y11" s="300" t="s">
        <v>144</v>
      </c>
      <c r="Z11" s="153" t="s">
        <v>45</v>
      </c>
      <c r="AA11" s="259" t="s">
        <v>256</v>
      </c>
      <c r="AB11" s="154" t="s">
        <v>217</v>
      </c>
      <c r="AC11" s="154" t="s">
        <v>79</v>
      </c>
    </row>
    <row r="12" spans="1:29" x14ac:dyDescent="0.25">
      <c r="A12" t="str">
        <f>PLANTILLA!D19</f>
        <v>D. Juliol</v>
      </c>
      <c r="B12">
        <f>PLANTILLA!E19</f>
        <v>24</v>
      </c>
      <c r="C12" s="133">
        <f ca="1">PLANTILLA!F19</f>
        <v>23</v>
      </c>
      <c r="D12">
        <f>PLANTILLA!G19</f>
        <v>0</v>
      </c>
      <c r="E12" s="72">
        <f>PLANTILLA!J19</f>
        <v>1.0375350005115249</v>
      </c>
      <c r="F12" s="70">
        <f>PLANTILLA!O19</f>
        <v>1.5</v>
      </c>
      <c r="G12" s="70">
        <f>PLANTILLA!W19</f>
        <v>1</v>
      </c>
      <c r="H12" s="70">
        <f>PLANTILLA!X19</f>
        <v>5</v>
      </c>
      <c r="I12" s="70">
        <f>PLANTILLA!Y19</f>
        <v>9</v>
      </c>
      <c r="J12" s="70">
        <f>PLANTILLA!Z19</f>
        <v>6</v>
      </c>
      <c r="K12" s="70">
        <f>PLANTILLA!AA19</f>
        <v>6.5</v>
      </c>
      <c r="L12" s="70">
        <f>PLANTILLA!AB19</f>
        <v>6.25</v>
      </c>
      <c r="M12" s="70">
        <f>PLANTILLA!AC19</f>
        <v>5</v>
      </c>
      <c r="N12" s="266"/>
      <c r="O12" s="72"/>
      <c r="P12" s="72"/>
      <c r="Q12" s="156"/>
      <c r="R12" s="156">
        <f>SUM(Q12:Q27)</f>
        <v>0.45342948717948717</v>
      </c>
      <c r="U12" t="str">
        <f>A12</f>
        <v>D. Juliol</v>
      </c>
      <c r="V12">
        <f t="shared" ref="V12:W12" si="0">B12</f>
        <v>24</v>
      </c>
      <c r="W12">
        <f t="shared" ca="1" si="0"/>
        <v>23</v>
      </c>
      <c r="Y12" s="266"/>
      <c r="Z12" s="72"/>
      <c r="AA12" s="72"/>
      <c r="AB12" s="156"/>
      <c r="AC12" s="156">
        <f>SUM(AB12:AB27)</f>
        <v>0.4103525641025641</v>
      </c>
    </row>
    <row r="13" spans="1:29" x14ac:dyDescent="0.25">
      <c r="A13" t="str">
        <f>PLANTILLA!D10</f>
        <v>D. Alemany</v>
      </c>
      <c r="B13">
        <f>PLANTILLA!E10</f>
        <v>21</v>
      </c>
      <c r="C13" s="133">
        <f ca="1">PLANTILLA!F10</f>
        <v>72</v>
      </c>
      <c r="D13">
        <f>PLANTILLA!G10</f>
        <v>0</v>
      </c>
      <c r="E13" s="72">
        <f>PLANTILLA!J10</f>
        <v>0.63616167295954995</v>
      </c>
      <c r="F13" s="70">
        <f>PLANTILLA!O10</f>
        <v>1.5</v>
      </c>
      <c r="G13" s="70">
        <f>PLANTILLA!W10</f>
        <v>0</v>
      </c>
      <c r="H13" s="70">
        <f>PLANTILLA!X10</f>
        <v>6</v>
      </c>
      <c r="I13" s="70">
        <f>PLANTILLA!Y10</f>
        <v>5.166666666666667</v>
      </c>
      <c r="J13" s="70">
        <f>PLANTILLA!Z10</f>
        <v>2</v>
      </c>
      <c r="K13" s="70">
        <f>PLANTILLA!AA10</f>
        <v>8</v>
      </c>
      <c r="L13" s="70">
        <f>PLANTILLA!AB10</f>
        <v>4</v>
      </c>
      <c r="M13" s="70">
        <f>PLANTILLA!AC10</f>
        <v>5</v>
      </c>
      <c r="N13" s="301"/>
      <c r="O13" s="72"/>
      <c r="P13" s="72"/>
      <c r="Q13" s="156"/>
      <c r="R13" s="156"/>
      <c r="U13" t="str">
        <f t="shared" ref="U13:U27" si="1">A13</f>
        <v>D. Alemany</v>
      </c>
      <c r="V13">
        <f t="shared" ref="V13:V27" si="2">B13</f>
        <v>21</v>
      </c>
      <c r="W13">
        <f t="shared" ref="W13:W27" ca="1" si="3">C13</f>
        <v>72</v>
      </c>
      <c r="Y13" s="301"/>
      <c r="Z13" s="72"/>
      <c r="AA13" s="72"/>
      <c r="AB13" s="156"/>
      <c r="AC13" s="156"/>
    </row>
    <row r="14" spans="1:29" x14ac:dyDescent="0.25">
      <c r="A14" t="str">
        <f>PLANTILLA!D9</f>
        <v>P. Recatalà</v>
      </c>
      <c r="B14">
        <f>PLANTILLA!E9</f>
        <v>23</v>
      </c>
      <c r="C14" s="133">
        <f ca="1">PLANTILLA!F9</f>
        <v>21</v>
      </c>
      <c r="D14">
        <f>PLANTILLA!G9</f>
        <v>0</v>
      </c>
      <c r="E14" s="72">
        <f>PLANTILLA!J9</f>
        <v>0.65514892511236356</v>
      </c>
      <c r="F14" s="70">
        <f>PLANTILLA!O9</f>
        <v>1.5</v>
      </c>
      <c r="G14" s="70">
        <f>PLANTILLA!W9</f>
        <v>0</v>
      </c>
      <c r="H14" s="70">
        <f>PLANTILLA!X9</f>
        <v>5</v>
      </c>
      <c r="I14" s="70">
        <f>PLANTILLA!Y9</f>
        <v>6</v>
      </c>
      <c r="J14" s="70">
        <f>PLANTILLA!Z9</f>
        <v>5</v>
      </c>
      <c r="K14" s="70">
        <f>PLANTILLA!AA9</f>
        <v>6.5</v>
      </c>
      <c r="L14" s="70">
        <f>PLANTILLA!AB9</f>
        <v>2</v>
      </c>
      <c r="M14" s="70">
        <f>PLANTILLA!AC9</f>
        <v>6</v>
      </c>
      <c r="N14" s="301"/>
      <c r="O14" s="72"/>
      <c r="P14" s="72"/>
      <c r="Q14" s="156"/>
      <c r="R14" s="156"/>
      <c r="U14" t="str">
        <f t="shared" si="1"/>
        <v>P. Recatalà</v>
      </c>
      <c r="V14">
        <f t="shared" si="2"/>
        <v>23</v>
      </c>
      <c r="W14">
        <f t="shared" ca="1" si="3"/>
        <v>21</v>
      </c>
      <c r="Y14" s="301"/>
      <c r="Z14" s="72"/>
      <c r="AA14" s="72"/>
      <c r="AB14" s="156"/>
      <c r="AC14" s="156"/>
    </row>
    <row r="15" spans="1:29" x14ac:dyDescent="0.25">
      <c r="A15" t="str">
        <f>PLANTILLA!D12</f>
        <v>G. Durand</v>
      </c>
      <c r="B15">
        <f>PLANTILLA!E12</f>
        <v>24</v>
      </c>
      <c r="C15" s="133">
        <f ca="1">PLANTILLA!F12</f>
        <v>93</v>
      </c>
      <c r="D15" t="str">
        <f>PLANTILLA!G12</f>
        <v>IMP</v>
      </c>
      <c r="E15" s="72">
        <f>PLANTILLA!J12</f>
        <v>0.96570115946771873</v>
      </c>
      <c r="F15" s="70">
        <f>PLANTILLA!O12</f>
        <v>1.5</v>
      </c>
      <c r="G15" s="70">
        <f>PLANTILLA!W12</f>
        <v>0</v>
      </c>
      <c r="H15" s="70">
        <f>PLANTILLA!X12</f>
        <v>5</v>
      </c>
      <c r="I15" s="70">
        <f>PLANTILLA!Y12</f>
        <v>11.75</v>
      </c>
      <c r="J15" s="70">
        <f>PLANTILLA!Z12</f>
        <v>2</v>
      </c>
      <c r="K15" s="70">
        <f>PLANTILLA!AA12</f>
        <v>7</v>
      </c>
      <c r="L15" s="70">
        <f>PLANTILLA!AB12</f>
        <v>4</v>
      </c>
      <c r="M15" s="70">
        <f>PLANTILLA!AC12</f>
        <v>6</v>
      </c>
      <c r="N15" s="301">
        <f>1/8</f>
        <v>0.125</v>
      </c>
      <c r="O15" s="72" t="s">
        <v>253</v>
      </c>
      <c r="P15" s="260">
        <v>0.5</v>
      </c>
      <c r="Q15" s="156">
        <f>N15*P15*Q3</f>
        <v>2.75E-2</v>
      </c>
      <c r="R15" s="156"/>
      <c r="U15" t="str">
        <f t="shared" si="1"/>
        <v>G. Durand</v>
      </c>
      <c r="V15">
        <f t="shared" si="2"/>
        <v>24</v>
      </c>
      <c r="W15">
        <f t="shared" ca="1" si="3"/>
        <v>93</v>
      </c>
      <c r="X15" t="str">
        <f t="shared" ref="X15:X26" si="4">D15</f>
        <v>IMP</v>
      </c>
      <c r="Y15" s="301">
        <f t="shared" ref="Y15:Y21" si="5">N15</f>
        <v>0.125</v>
      </c>
      <c r="Z15" s="72" t="s">
        <v>253</v>
      </c>
      <c r="AA15" s="260">
        <v>0.5</v>
      </c>
      <c r="AB15" s="156">
        <f>Y15*AA15*AB3</f>
        <v>2.75E-2</v>
      </c>
      <c r="AC15" s="156"/>
    </row>
    <row r="16" spans="1:29" x14ac:dyDescent="0.25">
      <c r="A16" t="str">
        <f>PLANTILLA!D13</f>
        <v>B. Corominola</v>
      </c>
      <c r="B16">
        <f>PLANTILLA!E13</f>
        <v>25</v>
      </c>
      <c r="C16" s="133">
        <f ca="1">PLANTILLA!F13</f>
        <v>53</v>
      </c>
      <c r="D16" t="str">
        <f>PLANTILLA!G13</f>
        <v>RAP</v>
      </c>
      <c r="E16" s="72">
        <f>PLANTILLA!J13</f>
        <v>1.1267973866856758</v>
      </c>
      <c r="F16" s="70">
        <f>PLANTILLA!O13</f>
        <v>1.5</v>
      </c>
      <c r="G16" s="70">
        <f>PLANTILLA!W13</f>
        <v>0</v>
      </c>
      <c r="H16" s="70">
        <f>PLANTILLA!X13</f>
        <v>6</v>
      </c>
      <c r="I16" s="70">
        <f>PLANTILLA!Y13</f>
        <v>14.9</v>
      </c>
      <c r="J16" s="70">
        <f>PLANTILLA!Z13</f>
        <v>2</v>
      </c>
      <c r="K16" s="70">
        <f>PLANTILLA!AA13</f>
        <v>9</v>
      </c>
      <c r="L16" s="70">
        <f>PLANTILLA!AB13</f>
        <v>7</v>
      </c>
      <c r="M16" s="70">
        <f>PLANTILLA!AC13</f>
        <v>5</v>
      </c>
      <c r="N16" s="301">
        <f>1/13</f>
        <v>7.6923076923076927E-2</v>
      </c>
      <c r="O16" s="72" t="s">
        <v>91</v>
      </c>
      <c r="P16" s="260">
        <v>1</v>
      </c>
      <c r="Q16" s="156">
        <f>N16*P16*Q5</f>
        <v>7.6923076923076927E-2</v>
      </c>
      <c r="R16" s="156"/>
      <c r="U16" t="str">
        <f t="shared" si="1"/>
        <v>B. Corominola</v>
      </c>
      <c r="V16">
        <f t="shared" si="2"/>
        <v>25</v>
      </c>
      <c r="W16">
        <f t="shared" ca="1" si="3"/>
        <v>53</v>
      </c>
      <c r="X16" t="str">
        <f t="shared" si="4"/>
        <v>RAP</v>
      </c>
      <c r="Y16" s="301">
        <f t="shared" si="5"/>
        <v>7.6923076923076927E-2</v>
      </c>
      <c r="Z16" s="72" t="s">
        <v>91</v>
      </c>
      <c r="AA16" s="260">
        <v>1</v>
      </c>
      <c r="AB16" s="156">
        <f>Y16*AA16*AB5</f>
        <v>7.6923076923076927E-2</v>
      </c>
      <c r="AC16" s="156"/>
    </row>
    <row r="17" spans="1:29" x14ac:dyDescent="0.25">
      <c r="A17" t="str">
        <f>PLANTILLA!D14</f>
        <v>T. Orozco</v>
      </c>
      <c r="B17">
        <f>PLANTILLA!E14</f>
        <v>25</v>
      </c>
      <c r="C17" s="133">
        <f ca="1">PLANTILLA!F14</f>
        <v>86</v>
      </c>
      <c r="D17" t="str">
        <f>PLANTILLA!G14</f>
        <v>CAB</v>
      </c>
      <c r="E17" s="72">
        <f>PLANTILLA!J14</f>
        <v>1.1267973866856758</v>
      </c>
      <c r="F17" s="70">
        <f>PLANTILLA!O14</f>
        <v>1.5</v>
      </c>
      <c r="G17" s="70">
        <f>PLANTILLA!W14</f>
        <v>1</v>
      </c>
      <c r="H17" s="70">
        <f>PLANTILLA!X14</f>
        <v>6</v>
      </c>
      <c r="I17" s="70">
        <f>PLANTILLA!Y14</f>
        <v>14.6</v>
      </c>
      <c r="J17" s="70">
        <f>PLANTILLA!Z14</f>
        <v>3</v>
      </c>
      <c r="K17" s="70">
        <f>PLANTILLA!AA14</f>
        <v>8.1999999999999993</v>
      </c>
      <c r="L17" s="70">
        <f>PLANTILLA!AB14</f>
        <v>6.5</v>
      </c>
      <c r="M17" s="70">
        <f>PLANTILLA!AC14</f>
        <v>6</v>
      </c>
      <c r="N17" s="301">
        <f>1/13</f>
        <v>7.6923076923076927E-2</v>
      </c>
      <c r="O17" s="72" t="s">
        <v>253</v>
      </c>
      <c r="P17" s="260">
        <v>1</v>
      </c>
      <c r="Q17" s="156">
        <f>N17*P17*Q3</f>
        <v>3.3846153846153845E-2</v>
      </c>
      <c r="R17" s="156"/>
      <c r="U17" t="str">
        <f t="shared" si="1"/>
        <v>T. Orozco</v>
      </c>
      <c r="V17">
        <f t="shared" si="2"/>
        <v>25</v>
      </c>
      <c r="W17">
        <f t="shared" ca="1" si="3"/>
        <v>86</v>
      </c>
      <c r="X17" t="str">
        <f t="shared" si="4"/>
        <v>CAB</v>
      </c>
      <c r="Y17" s="301">
        <f t="shared" si="5"/>
        <v>7.6923076923076927E-2</v>
      </c>
      <c r="Z17" s="72" t="s">
        <v>94</v>
      </c>
      <c r="AA17" s="260">
        <v>1</v>
      </c>
      <c r="AB17" s="156">
        <f>Y17*AA17*AB7</f>
        <v>5.5769230769230772E-2</v>
      </c>
      <c r="AC17" s="156"/>
    </row>
    <row r="18" spans="1:29" x14ac:dyDescent="0.25">
      <c r="A18" t="str">
        <f>PLANTILLA!D15</f>
        <v>A. Retegui</v>
      </c>
      <c r="B18">
        <f>PLANTILLA!E15</f>
        <v>22</v>
      </c>
      <c r="C18" s="133">
        <f ca="1">PLANTILLA!F15</f>
        <v>83</v>
      </c>
      <c r="D18">
        <f>PLANTILLA!G15</f>
        <v>0</v>
      </c>
      <c r="E18" s="72">
        <f>PLANTILLA!J15</f>
        <v>1.2723233459190999</v>
      </c>
      <c r="F18" s="70">
        <f>PLANTILLA!O15</f>
        <v>1.5</v>
      </c>
      <c r="G18" s="70">
        <f>PLANTILLA!W15</f>
        <v>0</v>
      </c>
      <c r="H18" s="70">
        <f>PLANTILLA!X15</f>
        <v>4</v>
      </c>
      <c r="I18" s="70">
        <f>PLANTILLA!Y15</f>
        <v>15.533333333333333</v>
      </c>
      <c r="J18" s="70">
        <f>PLANTILLA!Z15</f>
        <v>7.75</v>
      </c>
      <c r="K18" s="70">
        <f>PLANTILLA!AA15</f>
        <v>8</v>
      </c>
      <c r="L18" s="70">
        <f>PLANTILLA!AB15</f>
        <v>4</v>
      </c>
      <c r="M18" s="70">
        <f>PLANTILLA!AC15</f>
        <v>9</v>
      </c>
      <c r="N18" s="301">
        <f>1/13</f>
        <v>7.6923076923076927E-2</v>
      </c>
      <c r="O18" s="72" t="s">
        <v>91</v>
      </c>
      <c r="P18" s="260">
        <v>1</v>
      </c>
      <c r="Q18" s="156">
        <f>N18*P18*Q5</f>
        <v>7.6923076923076927E-2</v>
      </c>
      <c r="U18" t="str">
        <f t="shared" si="1"/>
        <v>A. Retegui</v>
      </c>
      <c r="V18">
        <f t="shared" si="2"/>
        <v>22</v>
      </c>
      <c r="W18">
        <f t="shared" ca="1" si="3"/>
        <v>83</v>
      </c>
      <c r="Y18" s="301">
        <f t="shared" si="5"/>
        <v>7.6923076923076927E-2</v>
      </c>
      <c r="Z18" s="72" t="s">
        <v>91</v>
      </c>
      <c r="AA18" s="260">
        <v>1</v>
      </c>
      <c r="AB18" s="156">
        <f>Y18*AA18*AB5</f>
        <v>7.6923076923076927E-2</v>
      </c>
    </row>
    <row r="19" spans="1:29" x14ac:dyDescent="0.25">
      <c r="A19" t="str">
        <f>PLANTILLA!D16</f>
        <v>A. Balsebre</v>
      </c>
      <c r="B19">
        <f>PLANTILLA!E16</f>
        <v>23</v>
      </c>
      <c r="C19" s="133">
        <f ca="1">PLANTILLA!F16</f>
        <v>44</v>
      </c>
      <c r="D19">
        <f>PLANTILLA!G16</f>
        <v>0</v>
      </c>
      <c r="E19" s="72">
        <f>PLANTILLA!J16</f>
        <v>1.0375350005115249</v>
      </c>
      <c r="F19" s="70">
        <f>PLANTILLA!O16</f>
        <v>1.5</v>
      </c>
      <c r="G19" s="70">
        <f>PLANTILLA!W16</f>
        <v>0</v>
      </c>
      <c r="H19" s="70">
        <f>PLANTILLA!X16</f>
        <v>4</v>
      </c>
      <c r="I19" s="70">
        <f>PLANTILLA!Y16</f>
        <v>15.692307692307692</v>
      </c>
      <c r="J19" s="70">
        <f>PLANTILLA!Z16</f>
        <v>2</v>
      </c>
      <c r="K19" s="70">
        <f>PLANTILLA!AA16</f>
        <v>8.1999999999999993</v>
      </c>
      <c r="L19" s="70">
        <f>PLANTILLA!AB16</f>
        <v>3.3333333333333335</v>
      </c>
      <c r="M19" s="70">
        <f>PLANTILLA!AC16</f>
        <v>7</v>
      </c>
      <c r="N19" s="301">
        <f>1/13</f>
        <v>7.6923076923076927E-2</v>
      </c>
      <c r="O19" s="72" t="s">
        <v>91</v>
      </c>
      <c r="P19" s="260">
        <v>1</v>
      </c>
      <c r="Q19" s="156">
        <f>N19*P19*Q5</f>
        <v>7.6923076923076927E-2</v>
      </c>
      <c r="U19" t="str">
        <f t="shared" si="1"/>
        <v>A. Balsebre</v>
      </c>
      <c r="V19">
        <f t="shared" si="2"/>
        <v>23</v>
      </c>
      <c r="W19">
        <f t="shared" ca="1" si="3"/>
        <v>44</v>
      </c>
      <c r="Y19" s="301">
        <f t="shared" si="5"/>
        <v>7.6923076923076927E-2</v>
      </c>
      <c r="Z19" s="72" t="s">
        <v>91</v>
      </c>
      <c r="AA19" s="260">
        <v>1</v>
      </c>
      <c r="AB19" s="156">
        <f>Y19*AA19*AB5</f>
        <v>7.6923076923076927E-2</v>
      </c>
    </row>
    <row r="20" spans="1:29" x14ac:dyDescent="0.25">
      <c r="A20" t="str">
        <f>PLANTILLA!D17</f>
        <v>T. Lebon</v>
      </c>
      <c r="B20">
        <f>PLANTILLA!E17</f>
        <v>24</v>
      </c>
      <c r="C20" s="133">
        <f ca="1">PLANTILLA!F17</f>
        <v>46</v>
      </c>
      <c r="D20" t="str">
        <f>PLANTILLA!G17</f>
        <v>TEC</v>
      </c>
      <c r="E20" s="72">
        <f>PLANTILLA!J17</f>
        <v>1.0375350005115249</v>
      </c>
      <c r="F20" s="70">
        <f>PLANTILLA!O17</f>
        <v>1.5</v>
      </c>
      <c r="G20" s="70">
        <f>PLANTILLA!W17</f>
        <v>0</v>
      </c>
      <c r="H20" s="70">
        <f>PLANTILLA!X17</f>
        <v>4</v>
      </c>
      <c r="I20" s="70">
        <f>PLANTILLA!Y17</f>
        <v>14.166666666666666</v>
      </c>
      <c r="J20" s="70">
        <f>PLANTILLA!Z17</f>
        <v>8.1999999999999993</v>
      </c>
      <c r="K20" s="70">
        <f>PLANTILLA!AA17</f>
        <v>8</v>
      </c>
      <c r="L20" s="70">
        <f>PLANTILLA!AB17</f>
        <v>6</v>
      </c>
      <c r="M20" s="70">
        <f>PLANTILLA!AC17</f>
        <v>6</v>
      </c>
      <c r="N20" s="301">
        <f>1/10</f>
        <v>0.1</v>
      </c>
      <c r="O20" s="72" t="s">
        <v>94</v>
      </c>
      <c r="P20" s="260">
        <v>0.5</v>
      </c>
      <c r="Q20" s="156">
        <f>N20*P20*Q7</f>
        <v>3.6249999999999998E-2</v>
      </c>
      <c r="U20" t="str">
        <f t="shared" si="1"/>
        <v>T. Lebon</v>
      </c>
      <c r="V20">
        <f t="shared" si="2"/>
        <v>24</v>
      </c>
      <c r="W20">
        <f t="shared" ca="1" si="3"/>
        <v>46</v>
      </c>
      <c r="X20" t="str">
        <f t="shared" si="4"/>
        <v>TEC</v>
      </c>
      <c r="Y20" s="301">
        <f t="shared" si="5"/>
        <v>0.1</v>
      </c>
      <c r="Z20" s="72" t="s">
        <v>93</v>
      </c>
      <c r="AA20" s="260">
        <v>0.5</v>
      </c>
      <c r="AB20" s="156">
        <f>Y20*AA20*AB8</f>
        <v>2.2749999999999999E-2</v>
      </c>
    </row>
    <row r="21" spans="1:29" x14ac:dyDescent="0.25">
      <c r="A21" t="str">
        <f>PLANTILLA!D18</f>
        <v>L. Grière</v>
      </c>
      <c r="B21">
        <f>PLANTILLA!E18</f>
        <v>23</v>
      </c>
      <c r="C21" s="133">
        <f ca="1">PLANTILLA!F18</f>
        <v>65</v>
      </c>
      <c r="D21" t="str">
        <f>PLANTILLA!G18</f>
        <v>TEC</v>
      </c>
      <c r="E21" s="72">
        <f>PLANTILLA!J18</f>
        <v>0.93196000578135851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13.95</v>
      </c>
      <c r="J21" s="70">
        <f>PLANTILLA!Z18</f>
        <v>8.6</v>
      </c>
      <c r="K21" s="70">
        <f>PLANTILLA!AA18</f>
        <v>6.25</v>
      </c>
      <c r="L21" s="70">
        <f>PLANTILLA!AB18</f>
        <v>5</v>
      </c>
      <c r="M21" s="70">
        <f>PLANTILLA!AC18</f>
        <v>4</v>
      </c>
      <c r="N21" s="301">
        <f>1/10</f>
        <v>0.1</v>
      </c>
      <c r="O21" s="72" t="s">
        <v>94</v>
      </c>
      <c r="P21" s="260">
        <v>1</v>
      </c>
      <c r="Q21" s="156">
        <f>N21*P21*Q7</f>
        <v>7.2499999999999995E-2</v>
      </c>
      <c r="U21" t="str">
        <f t="shared" si="1"/>
        <v>L. Grière</v>
      </c>
      <c r="V21">
        <f t="shared" si="2"/>
        <v>23</v>
      </c>
      <c r="W21">
        <f t="shared" ca="1" si="3"/>
        <v>65</v>
      </c>
      <c r="X21" t="str">
        <f t="shared" si="4"/>
        <v>TEC</v>
      </c>
      <c r="Y21" s="301">
        <f t="shared" si="5"/>
        <v>0.1</v>
      </c>
      <c r="Z21" s="72" t="s">
        <v>257</v>
      </c>
      <c r="AA21" s="260">
        <v>1</v>
      </c>
      <c r="AB21" s="156">
        <f>Y21*AA21*AB4</f>
        <v>2.1000000000000001E-2</v>
      </c>
    </row>
    <row r="22" spans="1:29" x14ac:dyDescent="0.25">
      <c r="A22" t="str">
        <f>PLANTILLA!D20</f>
        <v>P. Molins</v>
      </c>
      <c r="B22">
        <f>PLANTILLA!E20</f>
        <v>18</v>
      </c>
      <c r="C22" s="133">
        <f ca="1">PLANTILLA!F20</f>
        <v>98</v>
      </c>
      <c r="D22" t="str">
        <f>PLANTILLA!G20</f>
        <v>POT</v>
      </c>
      <c r="E22" s="72">
        <f>PLANTILLA!J20</f>
        <v>0.42962572631189239</v>
      </c>
      <c r="F22" s="70">
        <f>PLANTILLA!O20</f>
        <v>1.5</v>
      </c>
      <c r="G22" s="70">
        <f>PLANTILLA!W20</f>
        <v>0</v>
      </c>
      <c r="H22" s="70">
        <f>PLANTILLA!X20</f>
        <v>4</v>
      </c>
      <c r="I22" s="70">
        <f>PLANTILLA!Y20</f>
        <v>6</v>
      </c>
      <c r="J22" s="70">
        <f>PLANTILLA!Z20</f>
        <v>3</v>
      </c>
      <c r="K22" s="70">
        <f>PLANTILLA!AA20</f>
        <v>7</v>
      </c>
      <c r="L22" s="70">
        <f>PLANTILLA!AB20</f>
        <v>5</v>
      </c>
      <c r="M22" s="70">
        <f>PLANTILLA!AC20</f>
        <v>4</v>
      </c>
      <c r="N22" s="301"/>
      <c r="O22" s="72"/>
      <c r="P22" s="72"/>
      <c r="Q22" s="156"/>
      <c r="U22" t="str">
        <f t="shared" si="1"/>
        <v>P. Molins</v>
      </c>
      <c r="V22">
        <f t="shared" si="2"/>
        <v>18</v>
      </c>
      <c r="W22">
        <f t="shared" ca="1" si="3"/>
        <v>98</v>
      </c>
      <c r="Y22" s="301"/>
      <c r="Z22" s="72"/>
      <c r="AA22" s="72"/>
      <c r="AB22" s="156"/>
    </row>
    <row r="23" spans="1:29" x14ac:dyDescent="0.25">
      <c r="A23" t="str">
        <f>PLANTILLA!D21</f>
        <v>A. Baldoví</v>
      </c>
      <c r="B23">
        <f>PLANTILLA!E21</f>
        <v>24</v>
      </c>
      <c r="C23" s="133">
        <f ca="1">PLANTILLA!F21</f>
        <v>18</v>
      </c>
      <c r="D23" t="str">
        <f>PLANTILLA!G21</f>
        <v>RAP</v>
      </c>
      <c r="E23" s="72">
        <f>PLANTILLA!J21</f>
        <v>1.1267973866856758</v>
      </c>
      <c r="F23" s="70">
        <f>PLANTILLA!O21</f>
        <v>1.5</v>
      </c>
      <c r="G23" s="70">
        <f>PLANTILLA!W21</f>
        <v>0</v>
      </c>
      <c r="H23" s="70">
        <f>PLANTILLA!X21</f>
        <v>4</v>
      </c>
      <c r="I23" s="70">
        <f>PLANTILLA!Y21</f>
        <v>14.692307692307692</v>
      </c>
      <c r="J23" s="70">
        <f>PLANTILLA!Z21</f>
        <v>8.6</v>
      </c>
      <c r="K23" s="70">
        <f>PLANTILLA!AA21</f>
        <v>8.4</v>
      </c>
      <c r="L23" s="70">
        <f>PLANTILLA!AB21</f>
        <v>9.1666666666666661</v>
      </c>
      <c r="M23" s="70">
        <f>PLANTILLA!AC21</f>
        <v>7</v>
      </c>
      <c r="N23" s="301">
        <f>1/13</f>
        <v>7.6923076923076927E-2</v>
      </c>
      <c r="O23" s="72" t="s">
        <v>12</v>
      </c>
      <c r="P23" s="260">
        <v>1</v>
      </c>
      <c r="Q23" s="156">
        <f>N23*P23*Q10</f>
        <v>1.9230769230769232E-2</v>
      </c>
      <c r="U23" t="str">
        <f t="shared" si="1"/>
        <v>A. Baldoví</v>
      </c>
      <c r="V23">
        <f t="shared" si="2"/>
        <v>24</v>
      </c>
      <c r="W23">
        <f t="shared" ca="1" si="3"/>
        <v>18</v>
      </c>
      <c r="X23" t="str">
        <f t="shared" si="4"/>
        <v>RAP</v>
      </c>
      <c r="Y23" s="301">
        <f>N23</f>
        <v>7.6923076923076927E-2</v>
      </c>
      <c r="Z23" s="72" t="s">
        <v>12</v>
      </c>
      <c r="AA23" s="260">
        <v>1</v>
      </c>
      <c r="AB23" s="156">
        <f>Y23*AA23*AB10</f>
        <v>1.9230769230769232E-2</v>
      </c>
    </row>
    <row r="24" spans="1:29" x14ac:dyDescent="0.25">
      <c r="A24" t="str">
        <f>PLANTILLA!D22</f>
        <v>R. Abrain</v>
      </c>
      <c r="B24">
        <f>PLANTILLA!E22</f>
        <v>24</v>
      </c>
      <c r="C24" s="133">
        <f ca="1">PLANTILLA!F22</f>
        <v>3</v>
      </c>
      <c r="D24" t="str">
        <f>PLANTILLA!G22</f>
        <v>IMP</v>
      </c>
      <c r="E24" s="72">
        <f>PLANTILLA!J22</f>
        <v>1.1267973866856758</v>
      </c>
      <c r="F24" s="70">
        <f>PLANTILLA!O22</f>
        <v>1.5</v>
      </c>
      <c r="G24" s="70">
        <f>PLANTILLA!W22</f>
        <v>0</v>
      </c>
      <c r="H24" s="70">
        <f>PLANTILLA!X22</f>
        <v>5</v>
      </c>
      <c r="I24" s="70">
        <f>PLANTILLA!Y22</f>
        <v>11.375</v>
      </c>
      <c r="J24" s="70">
        <f>PLANTILLA!Z22</f>
        <v>6.5</v>
      </c>
      <c r="K24" s="70">
        <f>PLANTILLA!AA22</f>
        <v>8</v>
      </c>
      <c r="L24" s="70">
        <f>PLANTILLA!AB22</f>
        <v>9</v>
      </c>
      <c r="M24" s="70">
        <f>PLANTILLA!AC22</f>
        <v>5</v>
      </c>
      <c r="N24" s="301">
        <f>1/7.5</f>
        <v>0.13333333333333333</v>
      </c>
      <c r="O24" s="2" t="s">
        <v>12</v>
      </c>
      <c r="P24" s="260">
        <v>0.5</v>
      </c>
      <c r="Q24" s="156">
        <f>N24*P24*Q10</f>
        <v>1.6666666666666666E-2</v>
      </c>
      <c r="U24" t="str">
        <f t="shared" si="1"/>
        <v>R. Abrain</v>
      </c>
      <c r="V24">
        <f t="shared" si="2"/>
        <v>24</v>
      </c>
      <c r="W24">
        <f t="shared" ca="1" si="3"/>
        <v>3</v>
      </c>
      <c r="X24" t="str">
        <f t="shared" si="4"/>
        <v>IMP</v>
      </c>
      <c r="Y24" s="301">
        <f>N24</f>
        <v>0.13333333333333333</v>
      </c>
      <c r="Z24" s="2" t="s">
        <v>12</v>
      </c>
      <c r="AA24" s="260">
        <v>0.5</v>
      </c>
      <c r="AB24" s="156">
        <f>Y24*AA24*AB10</f>
        <v>1.6666666666666666E-2</v>
      </c>
    </row>
    <row r="25" spans="1:29" x14ac:dyDescent="0.25">
      <c r="A25" t="str">
        <f>PLANTILLA!D23</f>
        <v>L. Cabistany</v>
      </c>
      <c r="B25">
        <f>PLANTILLA!E23</f>
        <v>22</v>
      </c>
      <c r="C25" s="133">
        <f ca="1">PLANTILLA!F23</f>
        <v>52</v>
      </c>
      <c r="D25">
        <f>PLANTILLA!G23</f>
        <v>0</v>
      </c>
      <c r="E25" s="72">
        <f>PLANTILLA!J23</f>
        <v>0.50694832228214137</v>
      </c>
      <c r="F25" s="70">
        <f>PLANTILLA!O23</f>
        <v>1.5</v>
      </c>
      <c r="G25" s="70">
        <f>PLANTILLA!W23</f>
        <v>0</v>
      </c>
      <c r="H25" s="70">
        <f>PLANTILLA!X23</f>
        <v>2</v>
      </c>
      <c r="I25" s="70">
        <f>PLANTILLA!Y23</f>
        <v>7.833333333333333</v>
      </c>
      <c r="J25" s="70">
        <f>PLANTILLA!Z23</f>
        <v>3</v>
      </c>
      <c r="K25" s="70">
        <f>PLANTILLA!AA23</f>
        <v>9</v>
      </c>
      <c r="L25" s="70">
        <f>PLANTILLA!AB23</f>
        <v>6</v>
      </c>
      <c r="M25" s="70">
        <f>PLANTILLA!AC23</f>
        <v>4</v>
      </c>
      <c r="N25" s="301"/>
      <c r="O25" s="72"/>
      <c r="P25" s="72"/>
      <c r="Q25" s="156"/>
      <c r="U25" t="str">
        <f t="shared" si="1"/>
        <v>L. Cabistany</v>
      </c>
      <c r="V25">
        <f t="shared" si="2"/>
        <v>22</v>
      </c>
      <c r="W25">
        <f t="shared" ca="1" si="3"/>
        <v>52</v>
      </c>
      <c r="Y25" s="301"/>
      <c r="Z25" s="72"/>
      <c r="AA25" s="72"/>
      <c r="AB25" s="156"/>
    </row>
    <row r="26" spans="1:29" x14ac:dyDescent="0.25">
      <c r="A26" t="str">
        <f>PLANTILLA!D24</f>
        <v>I. Velayo</v>
      </c>
      <c r="B26">
        <f>PLANTILLA!E24</f>
        <v>25</v>
      </c>
      <c r="C26" s="133">
        <f ca="1">PLANTILLA!F24</f>
        <v>105</v>
      </c>
      <c r="D26" t="str">
        <f>PLANTILLA!G24</f>
        <v>RAP</v>
      </c>
      <c r="E26" s="72">
        <f>PLANTILLA!J24</f>
        <v>1.1267973866856758</v>
      </c>
      <c r="F26" s="70">
        <f>PLANTILLA!O24</f>
        <v>1.5</v>
      </c>
      <c r="G26" s="70">
        <f>PLANTILLA!W24</f>
        <v>0</v>
      </c>
      <c r="H26" s="70">
        <f>PLANTILLA!X24</f>
        <v>4</v>
      </c>
      <c r="I26" s="70">
        <f>PLANTILLA!Y24</f>
        <v>11.625</v>
      </c>
      <c r="J26" s="70">
        <f>PLANTILLA!Z24</f>
        <v>4</v>
      </c>
      <c r="K26" s="70">
        <f>PLANTILLA!AA24</f>
        <v>7.5</v>
      </c>
      <c r="L26" s="70">
        <f>PLANTILLA!AB24</f>
        <v>9</v>
      </c>
      <c r="M26" s="70">
        <f>PLANTILLA!AC24</f>
        <v>5</v>
      </c>
      <c r="N26" s="301">
        <f>1/7.5</f>
        <v>0.13333333333333333</v>
      </c>
      <c r="O26" s="72" t="s">
        <v>12</v>
      </c>
      <c r="P26" s="260">
        <v>0.5</v>
      </c>
      <c r="Q26" s="156">
        <f>N26*P26*Q10</f>
        <v>1.6666666666666666E-2</v>
      </c>
      <c r="U26" t="str">
        <f t="shared" si="1"/>
        <v>I. Velayo</v>
      </c>
      <c r="V26">
        <f t="shared" si="2"/>
        <v>25</v>
      </c>
      <c r="W26">
        <f t="shared" ca="1" si="3"/>
        <v>105</v>
      </c>
      <c r="X26" t="str">
        <f t="shared" si="4"/>
        <v>RAP</v>
      </c>
      <c r="Y26" s="301">
        <f>N26</f>
        <v>0.13333333333333333</v>
      </c>
      <c r="Z26" s="72" t="s">
        <v>12</v>
      </c>
      <c r="AA26" s="260">
        <v>0.5</v>
      </c>
      <c r="AB26" s="156">
        <f>Y26*AA26*AB10</f>
        <v>1.6666666666666666E-2</v>
      </c>
    </row>
    <row r="27" spans="1:29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U27" t="e">
        <f t="shared" si="1"/>
        <v>#REF!</v>
      </c>
      <c r="V27" t="e">
        <f t="shared" si="2"/>
        <v>#REF!</v>
      </c>
      <c r="W27" t="e">
        <f t="shared" si="3"/>
        <v>#REF!</v>
      </c>
    </row>
    <row r="28" spans="1:29" x14ac:dyDescent="0.25">
      <c r="C28" s="133"/>
      <c r="E28" s="72"/>
      <c r="F28" s="70"/>
      <c r="G28" s="70"/>
      <c r="H28" s="70"/>
      <c r="I28" s="70"/>
      <c r="J28" s="70"/>
      <c r="K28" s="70"/>
      <c r="L28" s="70"/>
      <c r="M28" s="70"/>
    </row>
    <row r="29" spans="1:29" x14ac:dyDescent="0.25">
      <c r="C29" s="133"/>
      <c r="E29" s="72"/>
      <c r="F29" s="70"/>
      <c r="G29" s="70"/>
      <c r="H29" s="70"/>
      <c r="I29" s="70"/>
      <c r="J29" s="70"/>
      <c r="K29" s="70"/>
      <c r="L29" s="70"/>
      <c r="M29" s="70"/>
    </row>
    <row r="30" spans="1:29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</row>
  </sheetData>
  <mergeCells count="1">
    <mergeCell ref="A10:B10"/>
  </mergeCells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N25:O26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Q12:Q26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Z25:Z26">
    <cfRule type="dataBar" priority="1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AB12:AB26">
    <cfRule type="dataBar" priority="1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conditionalFormatting sqref="E12:F30">
    <cfRule type="colorScale" priority="1932">
      <colorScale>
        <cfvo type="min"/>
        <cfvo type="max"/>
        <color rgb="FFFCFCFF"/>
        <color rgb="FFF8696B"/>
      </colorScale>
    </cfRule>
  </conditionalFormatting>
  <conditionalFormatting sqref="G12:M30">
    <cfRule type="colorScale" priority="193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N25:O26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Q12:Q26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Z25:Z26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Q15" sqref="Q1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103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103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257</v>
      </c>
      <c r="P3" s="2"/>
      <c r="Q3" s="14">
        <v>0.73</v>
      </c>
      <c r="R3" s="14">
        <v>0</v>
      </c>
      <c r="S3" s="14">
        <v>0</v>
      </c>
      <c r="X3" s="2"/>
      <c r="Y3" s="2" t="s">
        <v>257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0.70199999999999996</v>
      </c>
      <c r="R4" s="14">
        <v>0</v>
      </c>
      <c r="S4" s="14">
        <v>0</v>
      </c>
      <c r="X4" s="2"/>
      <c r="Y4" s="2" t="s">
        <v>94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23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6.5</v>
      </c>
      <c r="L10" s="70">
        <f>PLANTILLA!AB19</f>
        <v>6.25</v>
      </c>
      <c r="M10" s="70">
        <f>PLANTILLA!AC19</f>
        <v>5</v>
      </c>
      <c r="N10" s="214">
        <f>1/3</f>
        <v>0.33333333333333331</v>
      </c>
      <c r="O10" s="72"/>
      <c r="P10" s="260">
        <v>0.5</v>
      </c>
      <c r="Q10" s="155"/>
      <c r="R10" s="155"/>
      <c r="S10" s="155"/>
      <c r="T10" s="156">
        <f>SUM(Q10:Q29)</f>
        <v>0.40150000000000002</v>
      </c>
      <c r="U10" s="156">
        <f t="shared" ref="U10:V10" si="0">SUM(R10:R29)</f>
        <v>0</v>
      </c>
      <c r="V10" s="156">
        <f t="shared" si="0"/>
        <v>0.40150000000000002</v>
      </c>
      <c r="X10" s="214">
        <f>N10</f>
        <v>0.33333333333333331</v>
      </c>
      <c r="Y10" s="72"/>
      <c r="Z10" s="260">
        <v>0.5</v>
      </c>
      <c r="AA10" s="155"/>
      <c r="AB10" s="155"/>
      <c r="AC10" s="155"/>
      <c r="AD10" s="156">
        <f>SUM(AA10:AA29)</f>
        <v>0.10050000000000001</v>
      </c>
      <c r="AE10" s="156">
        <f t="shared" ref="AE10" si="1">SUM(AB10:AB29)</f>
        <v>0</v>
      </c>
      <c r="AF10" s="156">
        <f t="shared" ref="AF10" si="2">SUM(AC10:AC29)</f>
        <v>0.79916666666666658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72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5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21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6.5</v>
      </c>
      <c r="L12" s="70">
        <f>PLANTILLA!AB9</f>
        <v>2</v>
      </c>
      <c r="M12" s="70">
        <f>PLANTILLA!AC9</f>
        <v>6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24</v>
      </c>
      <c r="C13" s="133">
        <f ca="1">PLANTILLA!F12</f>
        <v>93</v>
      </c>
      <c r="D13" t="str">
        <f>PLANTILLA!G12</f>
        <v>IMP</v>
      </c>
      <c r="E13" s="72">
        <f>PLANTILLA!J12</f>
        <v>0.96570115946771873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6</v>
      </c>
      <c r="N13" s="72">
        <f>1/2</f>
        <v>0.5</v>
      </c>
      <c r="O13" s="72" t="s">
        <v>253</v>
      </c>
      <c r="P13" s="260">
        <v>0.5</v>
      </c>
      <c r="Q13" s="155"/>
      <c r="R13" s="155"/>
      <c r="S13" s="155"/>
      <c r="T13" s="156"/>
      <c r="X13" s="214">
        <f t="shared" ref="X13:X24" si="3">N13</f>
        <v>0.5</v>
      </c>
      <c r="Y13" s="72" t="s">
        <v>253</v>
      </c>
      <c r="Z13" s="260">
        <v>0.5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53</v>
      </c>
      <c r="D14" t="str">
        <f>PLANTILLA!G13</f>
        <v>RAP</v>
      </c>
      <c r="E14" s="72">
        <f>PLANTILLA!J13</f>
        <v>1.1267973866856758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5</v>
      </c>
      <c r="N14" s="72"/>
      <c r="O14" s="72" t="s">
        <v>91</v>
      </c>
      <c r="P14" s="260"/>
      <c r="Q14" s="155"/>
      <c r="R14" s="155"/>
      <c r="S14" s="155"/>
      <c r="T14" s="155"/>
      <c r="X14" s="214"/>
      <c r="Y14" s="72" t="s">
        <v>91</v>
      </c>
      <c r="Z14" s="260"/>
      <c r="AA14" s="155"/>
      <c r="AB14" s="155"/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25</v>
      </c>
      <c r="C15" s="133">
        <f ca="1">PLANTILLA!F14</f>
        <v>86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8.1999999999999993</v>
      </c>
      <c r="L15" s="70">
        <f>PLANTILLA!AB14</f>
        <v>6.5</v>
      </c>
      <c r="M15" s="70">
        <f>PLANTILLA!AC14</f>
        <v>6</v>
      </c>
      <c r="N15" s="72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22</v>
      </c>
      <c r="C16" s="133">
        <f ca="1">PLANTILLA!F15</f>
        <v>83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8</v>
      </c>
      <c r="L16" s="70">
        <f>PLANTILLA!AB15</f>
        <v>4</v>
      </c>
      <c r="M16" s="70">
        <f>PLANTILLA!AC15</f>
        <v>9</v>
      </c>
      <c r="N16" s="72">
        <f>1/3</f>
        <v>0.33333333333333331</v>
      </c>
      <c r="O16" s="72" t="s">
        <v>91</v>
      </c>
      <c r="P16" s="260">
        <v>1</v>
      </c>
      <c r="Q16" s="155"/>
      <c r="R16" s="155"/>
      <c r="S16" s="155"/>
      <c r="X16" s="214">
        <f t="shared" si="3"/>
        <v>0.33333333333333331</v>
      </c>
      <c r="Y16" s="72" t="s">
        <v>234</v>
      </c>
      <c r="Z16" s="260">
        <v>1</v>
      </c>
      <c r="AA16" s="155"/>
      <c r="AB16" s="155"/>
      <c r="AC16" s="155">
        <f>X16*Z16*AC6</f>
        <v>0.22233333333333333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44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8.1999999999999993</v>
      </c>
      <c r="L17" s="70">
        <f>PLANTILLA!AB16</f>
        <v>3.3333333333333335</v>
      </c>
      <c r="M17" s="70">
        <f>PLANTILLA!AC16</f>
        <v>7</v>
      </c>
      <c r="N17" s="72"/>
      <c r="O17" s="72" t="s">
        <v>91</v>
      </c>
      <c r="P17" s="260"/>
      <c r="Q17" s="155"/>
      <c r="R17" s="155"/>
      <c r="S17" s="155"/>
      <c r="X17" s="214"/>
      <c r="Y17" s="72" t="s">
        <v>91</v>
      </c>
      <c r="Z17" s="260"/>
      <c r="AA17" s="155"/>
      <c r="AB17" s="155"/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46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6</v>
      </c>
      <c r="N18" s="72">
        <f>1/3</f>
        <v>0.33333333333333331</v>
      </c>
      <c r="O18" s="72" t="s">
        <v>94</v>
      </c>
      <c r="P18" s="260">
        <v>1</v>
      </c>
      <c r="Q18" s="155"/>
      <c r="R18" s="155"/>
      <c r="S18" s="155">
        <f>N18*P18*Q4</f>
        <v>0.23399999999999999</v>
      </c>
      <c r="X18" s="214">
        <f t="shared" si="3"/>
        <v>0.33333333333333331</v>
      </c>
      <c r="Y18" s="72" t="s">
        <v>93</v>
      </c>
      <c r="Z18" s="260">
        <v>1</v>
      </c>
      <c r="AA18" s="155"/>
      <c r="AB18" s="155"/>
      <c r="AC18" s="155">
        <f>X18*Z18*AC5</f>
        <v>0.28433333333333333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65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6.25</v>
      </c>
      <c r="L19" s="70">
        <f>PLANTILLA!AB18</f>
        <v>5</v>
      </c>
      <c r="M19" s="70">
        <f>PLANTILLA!AC18</f>
        <v>4</v>
      </c>
      <c r="N19" s="72">
        <f>1/3</f>
        <v>0.33333333333333331</v>
      </c>
      <c r="O19" s="72" t="s">
        <v>94</v>
      </c>
      <c r="P19" s="260">
        <v>1</v>
      </c>
      <c r="Q19" s="155">
        <f>N19*P19*Q4</f>
        <v>0.23399999999999999</v>
      </c>
      <c r="R19" s="155"/>
      <c r="S19" s="155"/>
      <c r="X19" s="214">
        <f t="shared" si="3"/>
        <v>0.33333333333333331</v>
      </c>
      <c r="Y19" s="72" t="s">
        <v>257</v>
      </c>
      <c r="Z19" s="260">
        <v>1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18</v>
      </c>
      <c r="C20" s="133">
        <f ca="1">PLANTILLA!F20</f>
        <v>98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7</v>
      </c>
      <c r="L20" s="70">
        <f>PLANTILLA!AB20</f>
        <v>5</v>
      </c>
      <c r="M20" s="70">
        <f>PLANTILLA!AC20</f>
        <v>4</v>
      </c>
      <c r="N20" s="72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18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8.4</v>
      </c>
      <c r="L21" s="70">
        <f>PLANTILLA!AB21</f>
        <v>9.1666666666666661</v>
      </c>
      <c r="M21" s="70">
        <f>PLANTILLA!AC21</f>
        <v>7</v>
      </c>
      <c r="N21" s="72">
        <f>1/3</f>
        <v>0.33333333333333331</v>
      </c>
      <c r="O21" s="72" t="s">
        <v>12</v>
      </c>
      <c r="P21" s="260">
        <v>1</v>
      </c>
      <c r="Q21" s="155">
        <f>S21</f>
        <v>6.7000000000000004E-2</v>
      </c>
      <c r="R21" s="155"/>
      <c r="S21" s="155">
        <f>N21*P21*S7</f>
        <v>6.7000000000000004E-2</v>
      </c>
      <c r="X21" s="214">
        <f t="shared" si="3"/>
        <v>0.33333333333333331</v>
      </c>
      <c r="Y21" s="72" t="s">
        <v>249</v>
      </c>
      <c r="Z21" s="260">
        <v>1</v>
      </c>
      <c r="AA21" s="155"/>
      <c r="AB21" s="155"/>
      <c r="AC21" s="155">
        <f>X21*Z21*AC8</f>
        <v>0.19199999999999998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5</v>
      </c>
      <c r="N22" s="72">
        <f>1/2</f>
        <v>0.5</v>
      </c>
      <c r="O22" s="2" t="s">
        <v>12</v>
      </c>
      <c r="P22" s="260">
        <v>0.5</v>
      </c>
      <c r="Q22" s="155">
        <f>N22*P22*S7</f>
        <v>5.0250000000000003E-2</v>
      </c>
      <c r="R22" s="155"/>
      <c r="S22" s="155">
        <f>Q22</f>
        <v>5.0250000000000003E-2</v>
      </c>
      <c r="X22" s="214">
        <f t="shared" si="3"/>
        <v>0.5</v>
      </c>
      <c r="Y22" s="2" t="s">
        <v>12</v>
      </c>
      <c r="Z22" s="260">
        <v>0.5</v>
      </c>
      <c r="AA22" s="155">
        <f>X22*Z22*AC7</f>
        <v>5.0250000000000003E-2</v>
      </c>
      <c r="AB22" s="155"/>
      <c r="AC22" s="155">
        <f>AA22</f>
        <v>5.0250000000000003E-2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52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72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25</v>
      </c>
      <c r="C24" s="133">
        <f ca="1">PLANTILLA!F24</f>
        <v>105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7.5</v>
      </c>
      <c r="L24" s="70">
        <f>PLANTILLA!AB24</f>
        <v>9</v>
      </c>
      <c r="M24" s="70">
        <f>PLANTILLA!AC24</f>
        <v>5</v>
      </c>
      <c r="N24" s="72">
        <f>1/2</f>
        <v>0.5</v>
      </c>
      <c r="O24" s="72" t="s">
        <v>12</v>
      </c>
      <c r="P24" s="260">
        <v>0.5</v>
      </c>
      <c r="Q24" s="155">
        <f>N24*P24*S7</f>
        <v>5.0250000000000003E-2</v>
      </c>
      <c r="R24" s="155"/>
      <c r="S24" s="155">
        <f>Q24</f>
        <v>5.0250000000000003E-2</v>
      </c>
      <c r="X24" s="214">
        <f t="shared" si="3"/>
        <v>0.5</v>
      </c>
      <c r="Y24" s="72" t="s">
        <v>12</v>
      </c>
      <c r="Z24" s="260">
        <v>0.5</v>
      </c>
      <c r="AA24" s="155">
        <f>X24*Z24*AC7</f>
        <v>5.0250000000000003E-2</v>
      </c>
      <c r="AB24" s="155"/>
      <c r="AC24" s="155">
        <f>AA24</f>
        <v>5.0250000000000003E-2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103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103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257</v>
      </c>
      <c r="P3" s="2"/>
      <c r="Q3" s="14">
        <v>0.73</v>
      </c>
      <c r="R3" s="14">
        <v>0</v>
      </c>
      <c r="S3" s="14">
        <v>0</v>
      </c>
      <c r="X3" s="2"/>
      <c r="Y3" s="2" t="s">
        <v>257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0.70199999999999996</v>
      </c>
      <c r="R4" s="14">
        <v>0</v>
      </c>
      <c r="S4" s="14">
        <v>0</v>
      </c>
      <c r="X4" s="2"/>
      <c r="Y4" s="2" t="s">
        <v>94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23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6.5</v>
      </c>
      <c r="L10" s="70">
        <f>PLANTILLA!AB19</f>
        <v>6.25</v>
      </c>
      <c r="M10" s="70">
        <f>PLANTILLA!AC19</f>
        <v>5</v>
      </c>
      <c r="N10" s="214">
        <f>1/3</f>
        <v>0.33333333333333331</v>
      </c>
      <c r="O10" s="72"/>
      <c r="P10" s="260">
        <v>0.64</v>
      </c>
      <c r="Q10" s="155"/>
      <c r="R10" s="155"/>
      <c r="S10" s="155"/>
      <c r="T10" s="156">
        <f>SUM(Q10:Q29)</f>
        <v>0.32127999999999995</v>
      </c>
      <c r="U10" s="156">
        <f t="shared" ref="U10:V10" si="0">SUM(R10:R29)</f>
        <v>0</v>
      </c>
      <c r="V10" s="156">
        <f t="shared" si="0"/>
        <v>0.32127999999999995</v>
      </c>
      <c r="X10" s="214">
        <f>N10</f>
        <v>0.33333333333333331</v>
      </c>
      <c r="Y10" s="72"/>
      <c r="Z10" s="260">
        <v>0.64</v>
      </c>
      <c r="AA10" s="155"/>
      <c r="AB10" s="155"/>
      <c r="AC10" s="155"/>
      <c r="AD10" s="156">
        <f>SUM(AA10:AA29)</f>
        <v>0.12864</v>
      </c>
      <c r="AE10" s="156">
        <f t="shared" ref="AE10:AF10" si="1">SUM(AB10:AB29)</f>
        <v>0</v>
      </c>
      <c r="AF10" s="156">
        <f t="shared" si="1"/>
        <v>0.57578666666666667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72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5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21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6.5</v>
      </c>
      <c r="L12" s="70">
        <f>PLANTILLA!AB9</f>
        <v>2</v>
      </c>
      <c r="M12" s="70">
        <f>PLANTILLA!AC9</f>
        <v>6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24</v>
      </c>
      <c r="C13" s="133">
        <f ca="1">PLANTILLA!F12</f>
        <v>93</v>
      </c>
      <c r="D13" t="str">
        <f>PLANTILLA!G12</f>
        <v>IMP</v>
      </c>
      <c r="E13" s="72">
        <f>PLANTILLA!J12</f>
        <v>0.96570115946771873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6</v>
      </c>
      <c r="N13" s="72">
        <f>1/2</f>
        <v>0.5</v>
      </c>
      <c r="O13" s="72" t="s">
        <v>253</v>
      </c>
      <c r="P13" s="260">
        <v>0.64</v>
      </c>
      <c r="Q13" s="155"/>
      <c r="R13" s="155"/>
      <c r="S13" s="155"/>
      <c r="T13" s="156"/>
      <c r="X13" s="214">
        <f t="shared" ref="X13:X24" si="2">N13</f>
        <v>0.5</v>
      </c>
      <c r="Y13" s="72" t="s">
        <v>253</v>
      </c>
      <c r="Z13" s="260">
        <v>0.64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53</v>
      </c>
      <c r="D14" t="str">
        <f>PLANTILLA!G13</f>
        <v>RAP</v>
      </c>
      <c r="E14" s="72">
        <f>PLANTILLA!J13</f>
        <v>1.1267973866856758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5</v>
      </c>
      <c r="N14" s="72"/>
      <c r="O14" s="72" t="s">
        <v>91</v>
      </c>
      <c r="P14" s="260"/>
      <c r="Q14" s="155"/>
      <c r="R14" s="155"/>
      <c r="S14" s="155"/>
      <c r="T14" s="155"/>
      <c r="X14" s="214"/>
      <c r="Y14" s="72" t="s">
        <v>91</v>
      </c>
      <c r="Z14" s="260"/>
      <c r="AA14" s="155"/>
      <c r="AB14" s="155"/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25</v>
      </c>
      <c r="C15" s="133">
        <f ca="1">PLANTILLA!F14</f>
        <v>86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8.1999999999999993</v>
      </c>
      <c r="L15" s="70">
        <f>PLANTILLA!AB14</f>
        <v>6.5</v>
      </c>
      <c r="M15" s="70">
        <f>PLANTILLA!AC14</f>
        <v>6</v>
      </c>
      <c r="N15" s="72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22</v>
      </c>
      <c r="C16" s="133">
        <f ca="1">PLANTILLA!F15</f>
        <v>83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8</v>
      </c>
      <c r="L16" s="70">
        <f>PLANTILLA!AB15</f>
        <v>4</v>
      </c>
      <c r="M16" s="70">
        <f>PLANTILLA!AC15</f>
        <v>9</v>
      </c>
      <c r="N16" s="72">
        <f>1/3</f>
        <v>0.33333333333333331</v>
      </c>
      <c r="O16" s="72" t="s">
        <v>91</v>
      </c>
      <c r="P16" s="260">
        <v>0.64</v>
      </c>
      <c r="Q16" s="155"/>
      <c r="R16" s="155"/>
      <c r="S16" s="155"/>
      <c r="X16" s="214">
        <f t="shared" si="2"/>
        <v>0.33333333333333331</v>
      </c>
      <c r="Y16" s="72" t="s">
        <v>234</v>
      </c>
      <c r="Z16" s="260">
        <v>0.64</v>
      </c>
      <c r="AA16" s="155"/>
      <c r="AB16" s="155"/>
      <c r="AC16" s="155">
        <f>X16*Z16*AC6</f>
        <v>0.14229333333333333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44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8.1999999999999993</v>
      </c>
      <c r="L17" s="70">
        <f>PLANTILLA!AB16</f>
        <v>3.3333333333333335</v>
      </c>
      <c r="M17" s="70">
        <f>PLANTILLA!AC16</f>
        <v>7</v>
      </c>
      <c r="N17" s="72"/>
      <c r="O17" s="72" t="s">
        <v>91</v>
      </c>
      <c r="P17" s="260"/>
      <c r="Q17" s="155"/>
      <c r="R17" s="155"/>
      <c r="S17" s="155"/>
      <c r="X17" s="214"/>
      <c r="Y17" s="72" t="s">
        <v>91</v>
      </c>
      <c r="Z17" s="260"/>
      <c r="AA17" s="155"/>
      <c r="AB17" s="155"/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46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6</v>
      </c>
      <c r="N18" s="72">
        <f>1/3</f>
        <v>0.33333333333333331</v>
      </c>
      <c r="O18" s="72" t="s">
        <v>94</v>
      </c>
      <c r="P18" s="260">
        <v>0.64</v>
      </c>
      <c r="Q18" s="155"/>
      <c r="R18" s="155"/>
      <c r="S18" s="155">
        <f>N18*P18*Q4</f>
        <v>0.14975999999999998</v>
      </c>
      <c r="X18" s="214">
        <f t="shared" si="2"/>
        <v>0.33333333333333331</v>
      </c>
      <c r="Y18" s="72" t="s">
        <v>93</v>
      </c>
      <c r="Z18" s="260">
        <v>0.64</v>
      </c>
      <c r="AA18" s="155"/>
      <c r="AB18" s="155"/>
      <c r="AC18" s="155">
        <f>X18*Z18*AC5</f>
        <v>0.18197333333333332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65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6.25</v>
      </c>
      <c r="L19" s="70">
        <f>PLANTILLA!AB18</f>
        <v>5</v>
      </c>
      <c r="M19" s="70">
        <f>PLANTILLA!AC18</f>
        <v>4</v>
      </c>
      <c r="N19" s="72">
        <f>1/3</f>
        <v>0.33333333333333331</v>
      </c>
      <c r="O19" s="72" t="s">
        <v>94</v>
      </c>
      <c r="P19" s="260">
        <v>0.64</v>
      </c>
      <c r="Q19" s="155">
        <f>N19*P19*Q4</f>
        <v>0.14975999999999998</v>
      </c>
      <c r="R19" s="155"/>
      <c r="S19" s="155"/>
      <c r="X19" s="214">
        <f t="shared" si="2"/>
        <v>0.33333333333333331</v>
      </c>
      <c r="Y19" s="72" t="s">
        <v>257</v>
      </c>
      <c r="Z19" s="260">
        <v>0.64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18</v>
      </c>
      <c r="C20" s="133">
        <f ca="1">PLANTILLA!F20</f>
        <v>98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7</v>
      </c>
      <c r="L20" s="70">
        <f>PLANTILLA!AB20</f>
        <v>5</v>
      </c>
      <c r="M20" s="70">
        <f>PLANTILLA!AC20</f>
        <v>4</v>
      </c>
      <c r="N20" s="72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18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8.4</v>
      </c>
      <c r="L21" s="70">
        <f>PLANTILLA!AB21</f>
        <v>9.1666666666666661</v>
      </c>
      <c r="M21" s="70">
        <f>PLANTILLA!AC21</f>
        <v>7</v>
      </c>
      <c r="N21" s="72">
        <f>1/3</f>
        <v>0.33333333333333331</v>
      </c>
      <c r="O21" s="72" t="s">
        <v>12</v>
      </c>
      <c r="P21" s="260">
        <v>0.64</v>
      </c>
      <c r="Q21" s="155">
        <f>S21</f>
        <v>4.2880000000000001E-2</v>
      </c>
      <c r="R21" s="155"/>
      <c r="S21" s="155">
        <f>N21*P21*S7</f>
        <v>4.2880000000000001E-2</v>
      </c>
      <c r="X21" s="214">
        <f t="shared" si="2"/>
        <v>0.33333333333333331</v>
      </c>
      <c r="Y21" s="72" t="s">
        <v>249</v>
      </c>
      <c r="Z21" s="260">
        <v>0.64</v>
      </c>
      <c r="AA21" s="155"/>
      <c r="AB21" s="155"/>
      <c r="AC21" s="155">
        <f>X21*Z21*AC8</f>
        <v>0.12287999999999999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5</v>
      </c>
      <c r="N22" s="72">
        <f>1/2</f>
        <v>0.5</v>
      </c>
      <c r="O22" s="2" t="s">
        <v>12</v>
      </c>
      <c r="P22" s="260">
        <v>0.64</v>
      </c>
      <c r="Q22" s="155">
        <f>N22*P22*S7</f>
        <v>6.4320000000000002E-2</v>
      </c>
      <c r="R22" s="155"/>
      <c r="S22" s="155">
        <f>Q22</f>
        <v>6.4320000000000002E-2</v>
      </c>
      <c r="X22" s="214">
        <f t="shared" si="2"/>
        <v>0.5</v>
      </c>
      <c r="Y22" s="2" t="s">
        <v>12</v>
      </c>
      <c r="Z22" s="260">
        <v>0.64</v>
      </c>
      <c r="AA22" s="155">
        <f>X22*Z22*AC7</f>
        <v>6.4320000000000002E-2</v>
      </c>
      <c r="AB22" s="155"/>
      <c r="AC22" s="155">
        <f>AA22</f>
        <v>6.4320000000000002E-2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52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72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25</v>
      </c>
      <c r="C24" s="133">
        <f ca="1">PLANTILLA!F24</f>
        <v>105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7.5</v>
      </c>
      <c r="L24" s="70">
        <f>PLANTILLA!AB24</f>
        <v>9</v>
      </c>
      <c r="M24" s="70">
        <f>PLANTILLA!AC24</f>
        <v>5</v>
      </c>
      <c r="N24" s="72">
        <f>1/2</f>
        <v>0.5</v>
      </c>
      <c r="O24" s="72" t="s">
        <v>12</v>
      </c>
      <c r="P24" s="260">
        <v>0.64</v>
      </c>
      <c r="Q24" s="155">
        <f>N24*P24*S7</f>
        <v>6.4320000000000002E-2</v>
      </c>
      <c r="R24" s="155"/>
      <c r="S24" s="155">
        <f>Q24</f>
        <v>6.4320000000000002E-2</v>
      </c>
      <c r="X24" s="214">
        <f t="shared" si="2"/>
        <v>0.5</v>
      </c>
      <c r="Y24" s="72" t="s">
        <v>12</v>
      </c>
      <c r="Z24" s="260">
        <v>0.64</v>
      </c>
      <c r="AA24" s="155">
        <f>X24*Z24*AC7</f>
        <v>6.4320000000000002E-2</v>
      </c>
      <c r="AB24" s="155"/>
      <c r="AC24" s="155">
        <f>AA24</f>
        <v>6.4320000000000002E-2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91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91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257</v>
      </c>
      <c r="P3" s="2"/>
      <c r="Q3" s="14">
        <v>0</v>
      </c>
      <c r="R3" s="14">
        <v>0</v>
      </c>
      <c r="S3" s="14">
        <v>0</v>
      </c>
      <c r="X3" s="2"/>
      <c r="Y3" s="2" t="s">
        <v>257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94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94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0.85299999999999998</v>
      </c>
      <c r="X5" s="2"/>
      <c r="Y5" s="2" t="s">
        <v>93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0.66700000000000004</v>
      </c>
      <c r="X6" s="2"/>
      <c r="Y6" s="2" t="s">
        <v>234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12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12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258</v>
      </c>
      <c r="P8" s="2"/>
      <c r="Q8" s="14">
        <v>0</v>
      </c>
      <c r="R8" s="14">
        <v>0</v>
      </c>
      <c r="S8" s="14">
        <v>0.57599999999999996</v>
      </c>
      <c r="X8" s="2"/>
      <c r="Y8" s="2" t="s">
        <v>258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23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6.5</v>
      </c>
      <c r="L10" s="70">
        <f>PLANTILLA!AB19</f>
        <v>6.25</v>
      </c>
      <c r="M10" s="70">
        <f>PLANTILLA!AC19</f>
        <v>5</v>
      </c>
      <c r="N10" s="214"/>
      <c r="O10" s="72"/>
      <c r="P10" s="260"/>
      <c r="Q10" s="155"/>
      <c r="R10" s="155"/>
      <c r="S10" s="155"/>
      <c r="T10" s="156">
        <f>SUM(Q10:Q29)</f>
        <v>0.40804166666666652</v>
      </c>
      <c r="U10" s="156">
        <f t="shared" ref="U10:V10" si="0">SUM(R10:R29)</f>
        <v>0.80658333333333332</v>
      </c>
      <c r="V10" s="156">
        <f t="shared" si="0"/>
        <v>0.44270833333333326</v>
      </c>
      <c r="X10" s="214"/>
      <c r="Y10" s="72"/>
      <c r="Z10" s="260"/>
      <c r="AA10" s="155"/>
      <c r="AB10" s="155"/>
      <c r="AC10" s="155"/>
      <c r="AD10" s="156">
        <f>SUM(AA10:AA29)</f>
        <v>0.31270833333333325</v>
      </c>
      <c r="AE10" s="156">
        <f t="shared" ref="AE10:AF10" si="1">SUM(AB10:AB29)</f>
        <v>0.70791666666666664</v>
      </c>
      <c r="AF10" s="156">
        <f t="shared" si="1"/>
        <v>0.45504166666666668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72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5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21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6.5</v>
      </c>
      <c r="L12" s="70">
        <f>PLANTILLA!AB9</f>
        <v>2</v>
      </c>
      <c r="M12" s="70">
        <f>PLANTILLA!AC9</f>
        <v>6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24</v>
      </c>
      <c r="C13" s="133">
        <f ca="1">PLANTILLA!F12</f>
        <v>93</v>
      </c>
      <c r="D13" t="str">
        <f>PLANTILLA!G12</f>
        <v>IMP</v>
      </c>
      <c r="E13" s="72">
        <f>PLANTILLA!J12</f>
        <v>0.96570115946771873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6</v>
      </c>
      <c r="N13" s="214">
        <f>1/3</f>
        <v>0.33333333333333331</v>
      </c>
      <c r="O13" s="72" t="s">
        <v>253</v>
      </c>
      <c r="P13" s="260">
        <v>1</v>
      </c>
      <c r="Q13" s="155"/>
      <c r="R13" s="155"/>
      <c r="S13" s="155"/>
      <c r="T13" s="156"/>
      <c r="X13" s="214">
        <f t="shared" ref="X13:X24" si="2">N13</f>
        <v>0.33333333333333331</v>
      </c>
      <c r="Y13" s="72" t="s">
        <v>253</v>
      </c>
      <c r="Z13" s="260">
        <v>1</v>
      </c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53</v>
      </c>
      <c r="D14" t="str">
        <f>PLANTILLA!G13</f>
        <v>RAP</v>
      </c>
      <c r="E14" s="72">
        <f>PLANTILLA!J13</f>
        <v>1.1267973866856758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5</v>
      </c>
      <c r="N14" s="214">
        <f>1/4</f>
        <v>0.25</v>
      </c>
      <c r="O14" s="72" t="s">
        <v>91</v>
      </c>
      <c r="P14" s="260">
        <v>1</v>
      </c>
      <c r="Q14" s="155">
        <f>N14*P14*((Q2+S2)/2)</f>
        <v>5.3374999999999992E-2</v>
      </c>
      <c r="R14" s="155">
        <f>N14*P14*R2</f>
        <v>8.9249999999999996E-2</v>
      </c>
      <c r="S14" s="155">
        <f>Q14</f>
        <v>5.3374999999999992E-2</v>
      </c>
      <c r="T14" s="155"/>
      <c r="X14" s="214">
        <f t="shared" si="2"/>
        <v>0.25</v>
      </c>
      <c r="Y14" s="72" t="s">
        <v>91</v>
      </c>
      <c r="Z14" s="260">
        <v>1</v>
      </c>
      <c r="AA14" s="155">
        <f>Q14</f>
        <v>5.3374999999999992E-2</v>
      </c>
      <c r="AB14" s="155">
        <f t="shared" ref="AB14:AC14" si="3">R14</f>
        <v>8.9249999999999996E-2</v>
      </c>
      <c r="AC14" s="155">
        <f t="shared" si="3"/>
        <v>5.3374999999999992E-2</v>
      </c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25</v>
      </c>
      <c r="C15" s="133">
        <f ca="1">PLANTILLA!F14</f>
        <v>86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8.1999999999999993</v>
      </c>
      <c r="L15" s="70">
        <f>PLANTILLA!AB14</f>
        <v>6.5</v>
      </c>
      <c r="M15" s="70">
        <f>PLANTILLA!AC14</f>
        <v>6</v>
      </c>
      <c r="N15" s="214">
        <f>1/3</f>
        <v>0.33333333333333331</v>
      </c>
      <c r="O15" s="72" t="s">
        <v>253</v>
      </c>
      <c r="P15" s="260">
        <v>1</v>
      </c>
      <c r="Q15" s="155"/>
      <c r="R15" s="155"/>
      <c r="S15" s="155"/>
      <c r="X15" s="214">
        <f t="shared" si="2"/>
        <v>0.33333333333333331</v>
      </c>
      <c r="Y15" s="72" t="s">
        <v>94</v>
      </c>
      <c r="Z15" s="260">
        <v>1</v>
      </c>
      <c r="AA15" s="155">
        <f>X15*Z15*AA4</f>
        <v>6.933333333333333E-2</v>
      </c>
      <c r="AB15" s="155">
        <f>X15*Z15*AB4</f>
        <v>5.7333333333333326E-2</v>
      </c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22</v>
      </c>
      <c r="C16" s="133">
        <f ca="1">PLANTILLA!F15</f>
        <v>83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8</v>
      </c>
      <c r="L16" s="70">
        <f>PLANTILLA!AB15</f>
        <v>4</v>
      </c>
      <c r="M16" s="70">
        <f>PLANTILLA!AC15</f>
        <v>9</v>
      </c>
      <c r="N16" s="214">
        <f>1/3</f>
        <v>0.33333333333333331</v>
      </c>
      <c r="O16" s="72" t="s">
        <v>91</v>
      </c>
      <c r="P16" s="260">
        <v>1</v>
      </c>
      <c r="Q16" s="155">
        <f>N16*P16*S2</f>
        <v>4.7666666666666663E-2</v>
      </c>
      <c r="R16" s="155">
        <f>N16*P16*R2</f>
        <v>0.11899999999999999</v>
      </c>
      <c r="S16" s="155">
        <f>N16*P16*Q2</f>
        <v>9.4666666666666649E-2</v>
      </c>
      <c r="X16" s="214">
        <f t="shared" si="2"/>
        <v>0.33333333333333331</v>
      </c>
      <c r="Y16" s="72" t="s">
        <v>234</v>
      </c>
      <c r="Z16" s="260">
        <v>1</v>
      </c>
      <c r="AA16" s="155"/>
      <c r="AB16" s="155">
        <f>X16*Z16*AB6</f>
        <v>8.4666666666666668E-2</v>
      </c>
      <c r="AC16" s="155">
        <f>X16*Z16*AC6</f>
        <v>0.10233333333333333</v>
      </c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44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8.1999999999999993</v>
      </c>
      <c r="L17" s="70">
        <f>PLANTILLA!AB16</f>
        <v>3.3333333333333335</v>
      </c>
      <c r="M17" s="70">
        <f>PLANTILLA!AC16</f>
        <v>7</v>
      </c>
      <c r="N17" s="214">
        <f>1/3</f>
        <v>0.33333333333333331</v>
      </c>
      <c r="O17" s="72" t="s">
        <v>91</v>
      </c>
      <c r="P17" s="260">
        <v>1</v>
      </c>
      <c r="Q17" s="155">
        <f>N17*P17*Q2</f>
        <v>9.4666666666666649E-2</v>
      </c>
      <c r="R17" s="155">
        <f>N17*P17*R2</f>
        <v>0.11899999999999999</v>
      </c>
      <c r="S17" s="155">
        <f>N17*P17*S2</f>
        <v>4.7666666666666663E-2</v>
      </c>
      <c r="X17" s="214">
        <f t="shared" si="2"/>
        <v>0.33333333333333331</v>
      </c>
      <c r="Y17" s="72" t="s">
        <v>91</v>
      </c>
      <c r="Z17" s="260">
        <v>1</v>
      </c>
      <c r="AA17" s="155">
        <f>Q17</f>
        <v>9.4666666666666649E-2</v>
      </c>
      <c r="AB17" s="155">
        <f t="shared" ref="AB17:AC17" si="4">R17</f>
        <v>0.11899999999999999</v>
      </c>
      <c r="AC17" s="155">
        <f t="shared" si="4"/>
        <v>4.7666666666666663E-2</v>
      </c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46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6</v>
      </c>
      <c r="N18" s="214">
        <f>1/3</f>
        <v>0.33333333333333331</v>
      </c>
      <c r="O18" s="72" t="s">
        <v>94</v>
      </c>
      <c r="P18" s="260">
        <v>1</v>
      </c>
      <c r="Q18" s="155">
        <f>N18*P18*Q4</f>
        <v>6.933333333333333E-2</v>
      </c>
      <c r="R18" s="155">
        <f>N18*P18*R4</f>
        <v>5.7333333333333326E-2</v>
      </c>
      <c r="S18" s="155"/>
      <c r="X18" s="214">
        <f t="shared" si="2"/>
        <v>0.33333333333333331</v>
      </c>
      <c r="Y18" s="72" t="s">
        <v>93</v>
      </c>
      <c r="Z18" s="260">
        <v>1</v>
      </c>
      <c r="AA18" s="155"/>
      <c r="AB18" s="155">
        <f>X18*Z18*AB5</f>
        <v>5.0999999999999997E-2</v>
      </c>
      <c r="AC18" s="155">
        <f>X18*Z18*AC5</f>
        <v>9.1333333333333336E-2</v>
      </c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65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6.25</v>
      </c>
      <c r="L19" s="70">
        <f>PLANTILLA!AB18</f>
        <v>5</v>
      </c>
      <c r="M19" s="70">
        <f>PLANTILLA!AC18</f>
        <v>4</v>
      </c>
      <c r="N19" s="214">
        <f>1/2</f>
        <v>0.5</v>
      </c>
      <c r="O19" s="72" t="s">
        <v>94</v>
      </c>
      <c r="P19" s="260">
        <v>1</v>
      </c>
      <c r="Q19" s="155"/>
      <c r="R19" s="155">
        <f>N19*P19*R4</f>
        <v>8.5999999999999993E-2</v>
      </c>
      <c r="S19" s="155">
        <f>N19*P19*Q4</f>
        <v>0.104</v>
      </c>
      <c r="X19" s="214">
        <f t="shared" si="2"/>
        <v>0.5</v>
      </c>
      <c r="Y19" s="72" t="s">
        <v>257</v>
      </c>
      <c r="Z19" s="260">
        <v>1</v>
      </c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18</v>
      </c>
      <c r="C20" s="133">
        <f ca="1">PLANTILLA!F20</f>
        <v>98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7</v>
      </c>
      <c r="L20" s="70">
        <f>PLANTILLA!AB20</f>
        <v>5</v>
      </c>
      <c r="M20" s="70">
        <f>PLANTILLA!AC20</f>
        <v>4</v>
      </c>
      <c r="N20" s="214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18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8.4</v>
      </c>
      <c r="L21" s="70">
        <f>PLANTILLA!AB21</f>
        <v>9.1666666666666661</v>
      </c>
      <c r="M21" s="70">
        <f>PLANTILLA!AC21</f>
        <v>7</v>
      </c>
      <c r="N21" s="214">
        <f>1/3</f>
        <v>0.33333333333333331</v>
      </c>
      <c r="O21" s="72" t="s">
        <v>12</v>
      </c>
      <c r="P21" s="260">
        <v>1</v>
      </c>
      <c r="Q21" s="155">
        <f>$N$21*$P$21*Q7</f>
        <v>4.7666666666666663E-2</v>
      </c>
      <c r="R21" s="155">
        <f t="shared" ref="R21:S21" si="5">$N$21*$P$21*R7</f>
        <v>0.112</v>
      </c>
      <c r="S21" s="155">
        <f t="shared" si="5"/>
        <v>4.7666666666666663E-2</v>
      </c>
      <c r="X21" s="214">
        <f t="shared" si="2"/>
        <v>0.33333333333333331</v>
      </c>
      <c r="Y21" s="72" t="s">
        <v>249</v>
      </c>
      <c r="Z21" s="260">
        <v>1</v>
      </c>
      <c r="AA21" s="155"/>
      <c r="AB21" s="155">
        <f>X21*Z21*AB8</f>
        <v>8.2666666666666666E-2</v>
      </c>
      <c r="AC21" s="155">
        <f>X21*Z21*AC8</f>
        <v>6.5000000000000002E-2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5</v>
      </c>
      <c r="N22" s="214">
        <f>1/3</f>
        <v>0.33333333333333331</v>
      </c>
      <c r="O22" s="2" t="s">
        <v>12</v>
      </c>
      <c r="P22" s="260">
        <v>1</v>
      </c>
      <c r="Q22" s="155">
        <f>$N$22*$P$22*Q7</f>
        <v>4.7666666666666663E-2</v>
      </c>
      <c r="R22" s="155">
        <f t="shared" ref="R22:S22" si="6">$N$22*$P$22*R7</f>
        <v>0.112</v>
      </c>
      <c r="S22" s="155">
        <f t="shared" si="6"/>
        <v>4.7666666666666663E-2</v>
      </c>
      <c r="X22" s="214">
        <f t="shared" si="2"/>
        <v>0.33333333333333331</v>
      </c>
      <c r="Y22" s="2" t="s">
        <v>12</v>
      </c>
      <c r="Z22" s="260">
        <v>1</v>
      </c>
      <c r="AA22" s="155">
        <f>Q22</f>
        <v>4.7666666666666663E-2</v>
      </c>
      <c r="AB22" s="155">
        <f t="shared" ref="AB22:AC22" si="7">R22</f>
        <v>0.112</v>
      </c>
      <c r="AC22" s="155">
        <f t="shared" si="7"/>
        <v>4.7666666666666663E-2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52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214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25</v>
      </c>
      <c r="C24" s="133">
        <f ca="1">PLANTILLA!F24</f>
        <v>105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7.5</v>
      </c>
      <c r="L24" s="70">
        <f>PLANTILLA!AB24</f>
        <v>9</v>
      </c>
      <c r="M24" s="70">
        <f>PLANTILLA!AC24</f>
        <v>5</v>
      </c>
      <c r="N24" s="214">
        <f>1/3</f>
        <v>0.33333333333333331</v>
      </c>
      <c r="O24" s="72" t="s">
        <v>12</v>
      </c>
      <c r="P24" s="260">
        <v>1</v>
      </c>
      <c r="Q24" s="155">
        <f>$N$24*$P$24*Q7</f>
        <v>4.7666666666666663E-2</v>
      </c>
      <c r="R24" s="155">
        <f t="shared" ref="R24:S24" si="8">$N$24*$P$24*R7</f>
        <v>0.112</v>
      </c>
      <c r="S24" s="155">
        <f t="shared" si="8"/>
        <v>4.7666666666666663E-2</v>
      </c>
      <c r="X24" s="214">
        <f t="shared" si="2"/>
        <v>0.33333333333333331</v>
      </c>
      <c r="Y24" s="72" t="s">
        <v>12</v>
      </c>
      <c r="Z24" s="260">
        <v>1</v>
      </c>
      <c r="AA24" s="155">
        <f t="shared" ref="AA24" si="9">Q24</f>
        <v>4.7666666666666663E-2</v>
      </c>
      <c r="AB24" s="155">
        <f t="shared" ref="AB24" si="10">R24</f>
        <v>0.112</v>
      </c>
      <c r="AC24" s="155">
        <f t="shared" ref="AC24" si="11">S24</f>
        <v>4.7666666666666663E-2</v>
      </c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91</v>
      </c>
      <c r="P2" s="2"/>
      <c r="Q2" s="14">
        <v>0</v>
      </c>
      <c r="R2" s="14">
        <v>0.21</v>
      </c>
      <c r="S2" s="14">
        <v>0</v>
      </c>
      <c r="X2" s="2"/>
      <c r="Y2" s="2" t="s">
        <v>91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257</v>
      </c>
      <c r="P3" s="2"/>
      <c r="Q3" s="14">
        <v>0</v>
      </c>
      <c r="R3" s="14">
        <v>0</v>
      </c>
      <c r="S3" s="14">
        <v>0</v>
      </c>
      <c r="X3" s="2"/>
      <c r="Y3" s="2" t="s">
        <v>257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94</v>
      </c>
      <c r="P4" s="2"/>
      <c r="Q4" s="14">
        <v>0</v>
      </c>
      <c r="R4" s="14">
        <v>0</v>
      </c>
      <c r="S4" s="14">
        <v>0</v>
      </c>
      <c r="X4" s="2"/>
      <c r="Y4" s="2" t="s">
        <v>94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93</v>
      </c>
      <c r="P5" s="2"/>
      <c r="Q5" s="14">
        <v>0</v>
      </c>
      <c r="R5" s="14">
        <v>0</v>
      </c>
      <c r="S5" s="14">
        <v>0</v>
      </c>
      <c r="X5" s="2"/>
      <c r="Y5" s="2" t="s">
        <v>93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234</v>
      </c>
      <c r="P6" s="2"/>
      <c r="Q6" s="14">
        <v>0</v>
      </c>
      <c r="R6" s="14">
        <v>0</v>
      </c>
      <c r="S6" s="14">
        <v>0</v>
      </c>
      <c r="X6" s="2"/>
      <c r="Y6" s="2" t="s">
        <v>234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12</v>
      </c>
      <c r="P7" s="2"/>
      <c r="Q7" s="14">
        <v>0.27600000000000002</v>
      </c>
      <c r="R7" s="14">
        <v>1</v>
      </c>
      <c r="S7" s="14">
        <v>0</v>
      </c>
      <c r="X7" s="2"/>
      <c r="Y7" s="2" t="s">
        <v>12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258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258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1" t="s">
        <v>46</v>
      </c>
      <c r="B9" s="152" t="s">
        <v>47</v>
      </c>
      <c r="C9" s="152" t="s">
        <v>48</v>
      </c>
      <c r="D9" s="152" t="s">
        <v>49</v>
      </c>
      <c r="E9" s="152" t="s">
        <v>52</v>
      </c>
      <c r="F9" s="152" t="s">
        <v>57</v>
      </c>
      <c r="G9" s="152" t="s">
        <v>65</v>
      </c>
      <c r="H9" s="152" t="s">
        <v>66</v>
      </c>
      <c r="I9" s="152" t="s">
        <v>67</v>
      </c>
      <c r="J9" s="152" t="s">
        <v>68</v>
      </c>
      <c r="K9" s="152" t="s">
        <v>69</v>
      </c>
      <c r="L9" s="152" t="s">
        <v>70</v>
      </c>
      <c r="M9" s="152" t="s">
        <v>49</v>
      </c>
      <c r="N9" s="153" t="s">
        <v>144</v>
      </c>
      <c r="O9" s="153" t="s">
        <v>45</v>
      </c>
      <c r="P9" s="259" t="s">
        <v>256</v>
      </c>
      <c r="Q9" s="154" t="s">
        <v>218</v>
      </c>
      <c r="R9" s="154" t="s">
        <v>219</v>
      </c>
      <c r="S9" s="154" t="s">
        <v>220</v>
      </c>
      <c r="T9" s="215" t="s">
        <v>79</v>
      </c>
      <c r="U9" s="215" t="s">
        <v>79</v>
      </c>
      <c r="V9" s="215" t="s">
        <v>79</v>
      </c>
      <c r="X9" s="153" t="s">
        <v>144</v>
      </c>
      <c r="Y9" s="153" t="s">
        <v>45</v>
      </c>
      <c r="Z9" s="259" t="s">
        <v>256</v>
      </c>
      <c r="AA9" s="154" t="s">
        <v>218</v>
      </c>
      <c r="AB9" s="154" t="s">
        <v>219</v>
      </c>
      <c r="AC9" s="154" t="s">
        <v>220</v>
      </c>
      <c r="AD9" s="215" t="s">
        <v>79</v>
      </c>
      <c r="AE9" s="215" t="s">
        <v>79</v>
      </c>
      <c r="AF9" s="215" t="s">
        <v>79</v>
      </c>
    </row>
    <row r="10" spans="1:32" x14ac:dyDescent="0.25">
      <c r="A10" t="str">
        <f>PLANTILLA!D19</f>
        <v>D. Juliol</v>
      </c>
      <c r="B10">
        <f>PLANTILLA!E19</f>
        <v>24</v>
      </c>
      <c r="C10" s="133">
        <f ca="1">PLANTILLA!F19</f>
        <v>23</v>
      </c>
      <c r="D10">
        <f>PLANTILLA!G19</f>
        <v>0</v>
      </c>
      <c r="E10" s="72">
        <f>PLANTILLA!J19</f>
        <v>1.0375350005115249</v>
      </c>
      <c r="F10" s="70">
        <f>PLANTILLA!O19</f>
        <v>1.5</v>
      </c>
      <c r="G10" s="70">
        <f>PLANTILLA!W19</f>
        <v>1</v>
      </c>
      <c r="H10" s="70">
        <f>PLANTILLA!X19</f>
        <v>5</v>
      </c>
      <c r="I10" s="70">
        <f>PLANTILLA!Y19</f>
        <v>9</v>
      </c>
      <c r="J10" s="70">
        <f>PLANTILLA!Z19</f>
        <v>6</v>
      </c>
      <c r="K10" s="70">
        <f>PLANTILLA!AA19</f>
        <v>6.5</v>
      </c>
      <c r="L10" s="70">
        <f>PLANTILLA!AB19</f>
        <v>6.25</v>
      </c>
      <c r="M10" s="70">
        <f>PLANTILLA!AC19</f>
        <v>5</v>
      </c>
      <c r="N10" s="214"/>
      <c r="O10" s="72"/>
      <c r="P10" s="260"/>
      <c r="Q10" s="155"/>
      <c r="R10" s="155"/>
      <c r="S10" s="155"/>
      <c r="T10" s="156">
        <f>SUM(Q10:Q29)</f>
        <v>6.9000000000000006E-2</v>
      </c>
      <c r="U10" s="156">
        <f t="shared" ref="U10:V10" si="4">SUM(R10:R29)</f>
        <v>0.68199999999999994</v>
      </c>
      <c r="V10" s="156">
        <f t="shared" si="4"/>
        <v>6.9000000000000006E-2</v>
      </c>
      <c r="X10" s="214"/>
      <c r="Y10" s="72"/>
      <c r="Z10" s="260"/>
      <c r="AA10" s="155"/>
      <c r="AB10" s="155"/>
      <c r="AC10" s="155"/>
      <c r="AD10" s="156">
        <f>SUM(AA10:AA29)</f>
        <v>6.9000000000000006E-2</v>
      </c>
      <c r="AE10" s="156">
        <f t="shared" ref="AE10:AF10" si="5">SUM(AB10:AB29)</f>
        <v>0.53733333333333333</v>
      </c>
      <c r="AF10" s="156">
        <f t="shared" si="5"/>
        <v>0.12416666666666665</v>
      </c>
    </row>
    <row r="11" spans="1:32" x14ac:dyDescent="0.25">
      <c r="A11" t="str">
        <f>PLANTILLA!D10</f>
        <v>D. Alemany</v>
      </c>
      <c r="B11">
        <f>PLANTILLA!E10</f>
        <v>21</v>
      </c>
      <c r="C11" s="133">
        <f ca="1">PLANTILLA!F10</f>
        <v>72</v>
      </c>
      <c r="D11">
        <f>PLANTILLA!G10</f>
        <v>0</v>
      </c>
      <c r="E11" s="72">
        <f>PLANTILLA!J10</f>
        <v>0.63616167295954995</v>
      </c>
      <c r="F11" s="70">
        <f>PLANTILLA!O10</f>
        <v>1.5</v>
      </c>
      <c r="G11" s="70">
        <f>PLANTILLA!W10</f>
        <v>0</v>
      </c>
      <c r="H11" s="70">
        <f>PLANTILLA!X10</f>
        <v>6</v>
      </c>
      <c r="I11" s="70">
        <f>PLANTILLA!Y10</f>
        <v>5.166666666666667</v>
      </c>
      <c r="J11" s="70">
        <f>PLANTILLA!Z10</f>
        <v>2</v>
      </c>
      <c r="K11" s="70">
        <f>PLANTILLA!AA10</f>
        <v>8</v>
      </c>
      <c r="L11" s="70">
        <f>PLANTILLA!AB10</f>
        <v>4</v>
      </c>
      <c r="M11" s="70">
        <f>PLANTILLA!AC10</f>
        <v>5</v>
      </c>
      <c r="N11" s="72"/>
      <c r="O11" s="72"/>
      <c r="P11" s="260"/>
      <c r="Q11" s="155"/>
      <c r="R11" s="155"/>
      <c r="S11" s="155"/>
      <c r="T11" s="156"/>
      <c r="X11" s="214"/>
      <c r="Y11" s="72"/>
      <c r="Z11" s="260"/>
      <c r="AA11" s="155"/>
      <c r="AB11" s="155"/>
      <c r="AC11" s="155"/>
      <c r="AD11" s="156"/>
      <c r="AE11" s="155"/>
      <c r="AF11" s="155"/>
    </row>
    <row r="12" spans="1:32" x14ac:dyDescent="0.25">
      <c r="A12" t="str">
        <f>PLANTILLA!D9</f>
        <v>P. Recatalà</v>
      </c>
      <c r="B12">
        <f>PLANTILLA!E9</f>
        <v>23</v>
      </c>
      <c r="C12" s="133">
        <f ca="1">PLANTILLA!F9</f>
        <v>21</v>
      </c>
      <c r="D12">
        <f>PLANTILLA!G9</f>
        <v>0</v>
      </c>
      <c r="E12" s="72">
        <f>PLANTILLA!J9</f>
        <v>0.65514892511236356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5</v>
      </c>
      <c r="K12" s="70">
        <f>PLANTILLA!AA9</f>
        <v>6.5</v>
      </c>
      <c r="L12" s="70">
        <f>PLANTILLA!AB9</f>
        <v>2</v>
      </c>
      <c r="M12" s="70">
        <f>PLANTILLA!AC9</f>
        <v>6</v>
      </c>
      <c r="N12" s="72"/>
      <c r="O12" s="72"/>
      <c r="P12" s="260"/>
      <c r="Q12" s="155"/>
      <c r="R12" s="155"/>
      <c r="S12" s="155"/>
      <c r="T12" s="156"/>
      <c r="X12" s="214"/>
      <c r="Y12" s="72"/>
      <c r="Z12" s="260"/>
      <c r="AA12" s="155"/>
      <c r="AB12" s="155"/>
      <c r="AC12" s="155"/>
      <c r="AD12" s="156"/>
      <c r="AE12" s="155"/>
      <c r="AF12" s="155"/>
    </row>
    <row r="13" spans="1:32" x14ac:dyDescent="0.25">
      <c r="A13" t="str">
        <f>PLANTILLA!D12</f>
        <v>G. Durand</v>
      </c>
      <c r="B13">
        <f>PLANTILLA!E12</f>
        <v>24</v>
      </c>
      <c r="C13" s="133">
        <f ca="1">PLANTILLA!F12</f>
        <v>93</v>
      </c>
      <c r="D13" t="str">
        <f>PLANTILLA!G12</f>
        <v>IMP</v>
      </c>
      <c r="E13" s="72">
        <f>PLANTILLA!J12</f>
        <v>0.96570115946771873</v>
      </c>
      <c r="F13" s="70">
        <f>PLANTILLA!O12</f>
        <v>1.5</v>
      </c>
      <c r="G13" s="70">
        <f>PLANTILLA!W12</f>
        <v>0</v>
      </c>
      <c r="H13" s="70">
        <f>PLANTILLA!X12</f>
        <v>5</v>
      </c>
      <c r="I13" s="70">
        <f>PLANTILLA!Y12</f>
        <v>11.75</v>
      </c>
      <c r="J13" s="70">
        <f>PLANTILLA!Z12</f>
        <v>2</v>
      </c>
      <c r="K13" s="70">
        <f>PLANTILLA!AA12</f>
        <v>7</v>
      </c>
      <c r="L13" s="70">
        <f>PLANTILLA!AB12</f>
        <v>4</v>
      </c>
      <c r="M13" s="70">
        <f>PLANTILLA!AC12</f>
        <v>6</v>
      </c>
      <c r="N13" s="214"/>
      <c r="O13" s="72" t="s">
        <v>253</v>
      </c>
      <c r="P13" s="260"/>
      <c r="Q13" s="155"/>
      <c r="R13" s="155"/>
      <c r="S13" s="155"/>
      <c r="T13" s="156"/>
      <c r="X13" s="214"/>
      <c r="Y13" s="72" t="s">
        <v>253</v>
      </c>
      <c r="Z13" s="260"/>
      <c r="AA13" s="155"/>
      <c r="AB13" s="155"/>
      <c r="AC13" s="155"/>
      <c r="AD13" s="156"/>
      <c r="AE13" s="155"/>
      <c r="AF13" s="155"/>
    </row>
    <row r="14" spans="1:32" x14ac:dyDescent="0.25">
      <c r="A14" t="str">
        <f>PLANTILLA!D13</f>
        <v>B. Corominola</v>
      </c>
      <c r="B14">
        <f>PLANTILLA!E13</f>
        <v>25</v>
      </c>
      <c r="C14" s="133">
        <f ca="1">PLANTILLA!F13</f>
        <v>53</v>
      </c>
      <c r="D14" t="str">
        <f>PLANTILLA!G13</f>
        <v>RAP</v>
      </c>
      <c r="E14" s="72">
        <f>PLANTILLA!J13</f>
        <v>1.1267973866856758</v>
      </c>
      <c r="F14" s="70">
        <f>PLANTILLA!O13</f>
        <v>1.5</v>
      </c>
      <c r="G14" s="70">
        <f>PLANTILLA!W13</f>
        <v>0</v>
      </c>
      <c r="H14" s="70">
        <f>PLANTILLA!X13</f>
        <v>6</v>
      </c>
      <c r="I14" s="70">
        <f>PLANTILLA!Y13</f>
        <v>14.9</v>
      </c>
      <c r="J14" s="70">
        <f>PLANTILLA!Z13</f>
        <v>2</v>
      </c>
      <c r="K14" s="70">
        <f>PLANTILLA!AA13</f>
        <v>9</v>
      </c>
      <c r="L14" s="70">
        <f>PLANTILLA!AB13</f>
        <v>7</v>
      </c>
      <c r="M14" s="70">
        <f>PLANTILLA!AC13</f>
        <v>5</v>
      </c>
      <c r="N14" s="214">
        <f>1/5</f>
        <v>0.2</v>
      </c>
      <c r="O14" s="72" t="s">
        <v>91</v>
      </c>
      <c r="P14" s="260">
        <v>1</v>
      </c>
      <c r="Q14" s="155"/>
      <c r="R14" s="155">
        <f>N14*P14*R2</f>
        <v>4.2000000000000003E-2</v>
      </c>
      <c r="S14" s="155"/>
      <c r="T14" s="155"/>
      <c r="X14" s="214">
        <f>N14</f>
        <v>0.2</v>
      </c>
      <c r="Y14" s="72" t="s">
        <v>91</v>
      </c>
      <c r="Z14" s="260">
        <v>1</v>
      </c>
      <c r="AA14" s="155"/>
      <c r="AB14" s="155">
        <f t="shared" ref="AB14" si="6">R14</f>
        <v>4.2000000000000003E-2</v>
      </c>
      <c r="AC14" s="155"/>
      <c r="AD14" s="155"/>
      <c r="AE14" s="155"/>
      <c r="AF14" s="155"/>
    </row>
    <row r="15" spans="1:32" x14ac:dyDescent="0.25">
      <c r="A15" t="str">
        <f>PLANTILLA!D14</f>
        <v>T. Orozco</v>
      </c>
      <c r="B15">
        <f>PLANTILLA!E14</f>
        <v>25</v>
      </c>
      <c r="C15" s="133">
        <f ca="1">PLANTILLA!F14</f>
        <v>86</v>
      </c>
      <c r="D15" t="str">
        <f>PLANTILLA!G14</f>
        <v>CAB</v>
      </c>
      <c r="E15" s="72">
        <f>PLANTILLA!J14</f>
        <v>1.1267973866856758</v>
      </c>
      <c r="F15" s="70">
        <f>PLANTILLA!O14</f>
        <v>1.5</v>
      </c>
      <c r="G15" s="70">
        <f>PLANTILLA!W14</f>
        <v>1</v>
      </c>
      <c r="H15" s="70">
        <f>PLANTILLA!X14</f>
        <v>6</v>
      </c>
      <c r="I15" s="70">
        <f>PLANTILLA!Y14</f>
        <v>14.6</v>
      </c>
      <c r="J15" s="70">
        <f>PLANTILLA!Z14</f>
        <v>3</v>
      </c>
      <c r="K15" s="70">
        <f>PLANTILLA!AA14</f>
        <v>8.1999999999999993</v>
      </c>
      <c r="L15" s="70">
        <f>PLANTILLA!AB14</f>
        <v>6.5</v>
      </c>
      <c r="M15" s="70">
        <f>PLANTILLA!AC14</f>
        <v>6</v>
      </c>
      <c r="N15" s="214"/>
      <c r="O15" s="72" t="s">
        <v>253</v>
      </c>
      <c r="P15" s="260"/>
      <c r="Q15" s="155"/>
      <c r="R15" s="155"/>
      <c r="S15" s="155"/>
      <c r="X15" s="214"/>
      <c r="Y15" s="72" t="s">
        <v>94</v>
      </c>
      <c r="Z15" s="260"/>
      <c r="AA15" s="155"/>
      <c r="AB15" s="155"/>
      <c r="AC15" s="155"/>
      <c r="AD15" s="155"/>
      <c r="AE15" s="155"/>
      <c r="AF15" s="155"/>
    </row>
    <row r="16" spans="1:32" x14ac:dyDescent="0.25">
      <c r="A16" t="str">
        <f>PLANTILLA!D15</f>
        <v>A. Retegui</v>
      </c>
      <c r="B16">
        <f>PLANTILLA!E15</f>
        <v>22</v>
      </c>
      <c r="C16" s="133">
        <f ca="1">PLANTILLA!F15</f>
        <v>83</v>
      </c>
      <c r="D16">
        <f>PLANTILLA!G15</f>
        <v>0</v>
      </c>
      <c r="E16" s="72">
        <f>PLANTILLA!J15</f>
        <v>1.2723233459190999</v>
      </c>
      <c r="F16" s="70">
        <f>PLANTILLA!O15</f>
        <v>1.5</v>
      </c>
      <c r="G16" s="70">
        <f>PLANTILLA!W15</f>
        <v>0</v>
      </c>
      <c r="H16" s="70">
        <f>PLANTILLA!X15</f>
        <v>4</v>
      </c>
      <c r="I16" s="70">
        <f>PLANTILLA!Y15</f>
        <v>15.533333333333333</v>
      </c>
      <c r="J16" s="70">
        <f>PLANTILLA!Z15</f>
        <v>7.75</v>
      </c>
      <c r="K16" s="70">
        <f>PLANTILLA!AA15</f>
        <v>8</v>
      </c>
      <c r="L16" s="70">
        <f>PLANTILLA!AB15</f>
        <v>4</v>
      </c>
      <c r="M16" s="70">
        <f>PLANTILLA!AC15</f>
        <v>9</v>
      </c>
      <c r="N16" s="214">
        <f>1/3</f>
        <v>0.33333333333333331</v>
      </c>
      <c r="O16" s="72" t="s">
        <v>91</v>
      </c>
      <c r="P16" s="260">
        <v>1</v>
      </c>
      <c r="Q16" s="155"/>
      <c r="R16" s="155">
        <f>N16*P16*R2</f>
        <v>6.9999999999999993E-2</v>
      </c>
      <c r="S16" s="155"/>
      <c r="X16" s="214">
        <f t="shared" ref="X16:X24" si="7">N16</f>
        <v>0.33333333333333331</v>
      </c>
      <c r="Y16" s="72" t="s">
        <v>234</v>
      </c>
      <c r="Z16" s="260">
        <v>1</v>
      </c>
      <c r="AA16" s="155"/>
      <c r="AB16" s="155"/>
      <c r="AC16" s="155"/>
      <c r="AD16" s="155"/>
      <c r="AE16" s="155"/>
      <c r="AF16" s="155"/>
    </row>
    <row r="17" spans="1:32" x14ac:dyDescent="0.25">
      <c r="A17" t="str">
        <f>PLANTILLA!D16</f>
        <v>A. Balsebre</v>
      </c>
      <c r="B17">
        <f>PLANTILLA!E16</f>
        <v>23</v>
      </c>
      <c r="C17" s="133">
        <f ca="1">PLANTILLA!F16</f>
        <v>44</v>
      </c>
      <c r="D17">
        <f>PLANTILLA!G16</f>
        <v>0</v>
      </c>
      <c r="E17" s="72">
        <f>PLANTILLA!J16</f>
        <v>1.0375350005115249</v>
      </c>
      <c r="F17" s="70">
        <f>PLANTILLA!O16</f>
        <v>1.5</v>
      </c>
      <c r="G17" s="70">
        <f>PLANTILLA!W16</f>
        <v>0</v>
      </c>
      <c r="H17" s="70">
        <f>PLANTILLA!X16</f>
        <v>4</v>
      </c>
      <c r="I17" s="70">
        <f>PLANTILLA!Y16</f>
        <v>15.692307692307692</v>
      </c>
      <c r="J17" s="70">
        <f>PLANTILLA!Z16</f>
        <v>2</v>
      </c>
      <c r="K17" s="70">
        <f>PLANTILLA!AA16</f>
        <v>8.1999999999999993</v>
      </c>
      <c r="L17" s="70">
        <f>PLANTILLA!AB16</f>
        <v>3.3333333333333335</v>
      </c>
      <c r="M17" s="70">
        <f>PLANTILLA!AC16</f>
        <v>7</v>
      </c>
      <c r="N17" s="214">
        <f>1/3</f>
        <v>0.33333333333333331</v>
      </c>
      <c r="O17" s="72" t="s">
        <v>91</v>
      </c>
      <c r="P17" s="260">
        <v>1</v>
      </c>
      <c r="Q17" s="155"/>
      <c r="R17" s="155">
        <f>N17*P17*R2</f>
        <v>6.9999999999999993E-2</v>
      </c>
      <c r="S17" s="155"/>
      <c r="X17" s="214">
        <f t="shared" si="7"/>
        <v>0.33333333333333331</v>
      </c>
      <c r="Y17" s="72" t="s">
        <v>91</v>
      </c>
      <c r="Z17" s="260">
        <v>1</v>
      </c>
      <c r="AA17" s="155"/>
      <c r="AB17" s="155">
        <f t="shared" ref="AB17" si="8">R17</f>
        <v>6.9999999999999993E-2</v>
      </c>
      <c r="AC17" s="155"/>
      <c r="AD17" s="155"/>
      <c r="AE17" s="155"/>
      <c r="AF17" s="155"/>
    </row>
    <row r="18" spans="1:32" x14ac:dyDescent="0.25">
      <c r="A18" t="str">
        <f>PLANTILLA!D17</f>
        <v>T. Lebon</v>
      </c>
      <c r="B18">
        <f>PLANTILLA!E17</f>
        <v>24</v>
      </c>
      <c r="C18" s="133">
        <f ca="1">PLANTILLA!F17</f>
        <v>46</v>
      </c>
      <c r="D18" t="str">
        <f>PLANTILLA!G17</f>
        <v>TEC</v>
      </c>
      <c r="E18" s="72">
        <f>PLANTILLA!J17</f>
        <v>1.0375350005115249</v>
      </c>
      <c r="F18" s="70">
        <f>PLANTILLA!O17</f>
        <v>1.5</v>
      </c>
      <c r="G18" s="70">
        <f>PLANTILLA!W17</f>
        <v>0</v>
      </c>
      <c r="H18" s="70">
        <f>PLANTILLA!X17</f>
        <v>4</v>
      </c>
      <c r="I18" s="70">
        <f>PLANTILLA!Y17</f>
        <v>14.166666666666666</v>
      </c>
      <c r="J18" s="70">
        <f>PLANTILLA!Z17</f>
        <v>8.1999999999999993</v>
      </c>
      <c r="K18" s="70">
        <f>PLANTILLA!AA17</f>
        <v>8</v>
      </c>
      <c r="L18" s="70">
        <f>PLANTILLA!AB17</f>
        <v>6</v>
      </c>
      <c r="M18" s="70">
        <f>PLANTILLA!AC17</f>
        <v>6</v>
      </c>
      <c r="N18" s="214"/>
      <c r="O18" s="72" t="s">
        <v>94</v>
      </c>
      <c r="P18" s="260"/>
      <c r="Q18" s="155"/>
      <c r="R18" s="155"/>
      <c r="S18" s="155"/>
      <c r="X18" s="214"/>
      <c r="Y18" s="72" t="s">
        <v>93</v>
      </c>
      <c r="Z18" s="260"/>
      <c r="AA18" s="155"/>
      <c r="AB18" s="155"/>
      <c r="AC18" s="155"/>
      <c r="AD18" s="155"/>
      <c r="AE18" s="155"/>
      <c r="AF18" s="155"/>
    </row>
    <row r="19" spans="1:32" x14ac:dyDescent="0.25">
      <c r="A19" t="str">
        <f>PLANTILLA!D18</f>
        <v>L. Grière</v>
      </c>
      <c r="B19">
        <f>PLANTILLA!E18</f>
        <v>23</v>
      </c>
      <c r="C19" s="133">
        <f ca="1">PLANTILLA!F18</f>
        <v>65</v>
      </c>
      <c r="D19" t="str">
        <f>PLANTILLA!G18</f>
        <v>TEC</v>
      </c>
      <c r="E19" s="72">
        <f>PLANTILLA!J18</f>
        <v>0.93196000578135851</v>
      </c>
      <c r="F19" s="70">
        <f>PLANTILLA!O18</f>
        <v>1.5</v>
      </c>
      <c r="G19" s="70">
        <f>PLANTILLA!W18</f>
        <v>0</v>
      </c>
      <c r="H19" s="70">
        <f>PLANTILLA!X18</f>
        <v>4</v>
      </c>
      <c r="I19" s="70">
        <f>PLANTILLA!Y18</f>
        <v>13.95</v>
      </c>
      <c r="J19" s="70">
        <f>PLANTILLA!Z18</f>
        <v>8.6</v>
      </c>
      <c r="K19" s="70">
        <f>PLANTILLA!AA18</f>
        <v>6.25</v>
      </c>
      <c r="L19" s="70">
        <f>PLANTILLA!AB18</f>
        <v>5</v>
      </c>
      <c r="M19" s="70">
        <f>PLANTILLA!AC18</f>
        <v>4</v>
      </c>
      <c r="N19" s="214"/>
      <c r="O19" s="72" t="s">
        <v>94</v>
      </c>
      <c r="P19" s="260"/>
      <c r="Q19" s="155"/>
      <c r="R19" s="155"/>
      <c r="S19" s="155"/>
      <c r="X19" s="214"/>
      <c r="Y19" s="72" t="s">
        <v>257</v>
      </c>
      <c r="Z19" s="260"/>
      <c r="AA19" s="155"/>
      <c r="AB19" s="155"/>
      <c r="AC19" s="155"/>
      <c r="AD19" s="155"/>
      <c r="AE19" s="155"/>
      <c r="AF19" s="155"/>
    </row>
    <row r="20" spans="1:32" x14ac:dyDescent="0.25">
      <c r="A20" t="str">
        <f>PLANTILLA!D20</f>
        <v>P. Molins</v>
      </c>
      <c r="B20">
        <f>PLANTILLA!E20</f>
        <v>18</v>
      </c>
      <c r="C20" s="133">
        <f ca="1">PLANTILLA!F20</f>
        <v>98</v>
      </c>
      <c r="D20" t="str">
        <f>PLANTILLA!G20</f>
        <v>POT</v>
      </c>
      <c r="E20" s="72">
        <f>PLANTILLA!J20</f>
        <v>0.42962572631189239</v>
      </c>
      <c r="F20" s="70">
        <f>PLANTILLA!O20</f>
        <v>1.5</v>
      </c>
      <c r="G20" s="70">
        <f>PLANTILLA!W20</f>
        <v>0</v>
      </c>
      <c r="H20" s="70">
        <f>PLANTILLA!X20</f>
        <v>4</v>
      </c>
      <c r="I20" s="70">
        <f>PLANTILLA!Y20</f>
        <v>6</v>
      </c>
      <c r="J20" s="70">
        <f>PLANTILLA!Z20</f>
        <v>3</v>
      </c>
      <c r="K20" s="70">
        <f>PLANTILLA!AA20</f>
        <v>7</v>
      </c>
      <c r="L20" s="70">
        <f>PLANTILLA!AB20</f>
        <v>5</v>
      </c>
      <c r="M20" s="70">
        <f>PLANTILLA!AC20</f>
        <v>4</v>
      </c>
      <c r="N20" s="214"/>
      <c r="O20" s="72"/>
      <c r="P20" s="260"/>
      <c r="Q20" s="155"/>
      <c r="R20" s="155"/>
      <c r="S20" s="155"/>
      <c r="X20" s="214"/>
      <c r="Y20" s="72"/>
      <c r="Z20" s="260"/>
      <c r="AA20" s="155"/>
      <c r="AB20" s="155"/>
      <c r="AC20" s="155"/>
      <c r="AD20" s="155"/>
      <c r="AE20" s="155"/>
      <c r="AF20" s="155"/>
    </row>
    <row r="21" spans="1:32" x14ac:dyDescent="0.25">
      <c r="A21" t="str">
        <f>PLANTILLA!D21</f>
        <v>A. Baldoví</v>
      </c>
      <c r="B21">
        <f>PLANTILLA!E21</f>
        <v>24</v>
      </c>
      <c r="C21" s="133">
        <f ca="1">PLANTILLA!F21</f>
        <v>18</v>
      </c>
      <c r="D21" t="str">
        <f>PLANTILLA!G21</f>
        <v>RAP</v>
      </c>
      <c r="E21" s="72">
        <f>PLANTILLA!J21</f>
        <v>1.1267973866856758</v>
      </c>
      <c r="F21" s="70">
        <f>PLANTILLA!O21</f>
        <v>1.5</v>
      </c>
      <c r="G21" s="70">
        <f>PLANTILLA!W21</f>
        <v>0</v>
      </c>
      <c r="H21" s="70">
        <f>PLANTILLA!X21</f>
        <v>4</v>
      </c>
      <c r="I21" s="70">
        <f>PLANTILLA!Y21</f>
        <v>14.692307692307692</v>
      </c>
      <c r="J21" s="70">
        <f>PLANTILLA!Z21</f>
        <v>8.6</v>
      </c>
      <c r="K21" s="70">
        <f>PLANTILLA!AA21</f>
        <v>8.4</v>
      </c>
      <c r="L21" s="70">
        <f>PLANTILLA!AB21</f>
        <v>9.1666666666666661</v>
      </c>
      <c r="M21" s="70">
        <f>PLANTILLA!AC21</f>
        <v>7</v>
      </c>
      <c r="N21" s="214">
        <f>1/6</f>
        <v>0.16666666666666666</v>
      </c>
      <c r="O21" s="72" t="s">
        <v>12</v>
      </c>
      <c r="P21" s="260">
        <v>1</v>
      </c>
      <c r="Q21" s="155"/>
      <c r="R21" s="155">
        <f t="shared" ref="R21" si="9">$N$21*$P$21*R7</f>
        <v>0.16666666666666666</v>
      </c>
      <c r="S21" s="155">
        <f>N21*P21*Q7</f>
        <v>4.5999999999999999E-2</v>
      </c>
      <c r="X21" s="214">
        <f t="shared" si="7"/>
        <v>0.16666666666666666</v>
      </c>
      <c r="Y21" s="72" t="s">
        <v>249</v>
      </c>
      <c r="Z21" s="260">
        <v>1</v>
      </c>
      <c r="AA21" s="155"/>
      <c r="AB21" s="155">
        <f>X21*Z21*AB8</f>
        <v>9.1999999999999998E-2</v>
      </c>
      <c r="AC21" s="155">
        <f>X21*Z21*AC8</f>
        <v>0.10116666666666665</v>
      </c>
      <c r="AD21" s="155"/>
      <c r="AE21" s="155"/>
      <c r="AF21" s="155"/>
    </row>
    <row r="22" spans="1:32" x14ac:dyDescent="0.25">
      <c r="A22" t="str">
        <f>PLANTILLA!D22</f>
        <v>R. Abrain</v>
      </c>
      <c r="B22">
        <f>PLANTILLA!E22</f>
        <v>24</v>
      </c>
      <c r="C22" s="133">
        <f ca="1">PLANTILLA!F22</f>
        <v>3</v>
      </c>
      <c r="D22" t="str">
        <f>PLANTILLA!G22</f>
        <v>IMP</v>
      </c>
      <c r="E22" s="72">
        <f>PLANTILLA!J22</f>
        <v>1.1267973866856758</v>
      </c>
      <c r="F22" s="70">
        <f>PLANTILLA!O22</f>
        <v>1.5</v>
      </c>
      <c r="G22" s="70">
        <f>PLANTILLA!W22</f>
        <v>0</v>
      </c>
      <c r="H22" s="70">
        <f>PLANTILLA!X22</f>
        <v>5</v>
      </c>
      <c r="I22" s="70">
        <f>PLANTILLA!Y22</f>
        <v>11.375</v>
      </c>
      <c r="J22" s="70">
        <f>PLANTILLA!Z22</f>
        <v>6.5</v>
      </c>
      <c r="K22" s="70">
        <f>PLANTILLA!AA22</f>
        <v>8</v>
      </c>
      <c r="L22" s="70">
        <f>PLANTILLA!AB22</f>
        <v>9</v>
      </c>
      <c r="M22" s="70">
        <f>PLANTILLA!AC22</f>
        <v>5</v>
      </c>
      <c r="N22" s="214">
        <f>1/6</f>
        <v>0.16666666666666666</v>
      </c>
      <c r="O22" s="2" t="s">
        <v>12</v>
      </c>
      <c r="P22" s="260">
        <v>1</v>
      </c>
      <c r="Q22" s="155">
        <f>N22*P22*Q7/2</f>
        <v>2.3E-2</v>
      </c>
      <c r="R22" s="155">
        <f t="shared" ref="R22" si="10">$N$22*$P$22*R7</f>
        <v>0.16666666666666666</v>
      </c>
      <c r="S22" s="155">
        <f>Q22</f>
        <v>2.3E-2</v>
      </c>
      <c r="X22" s="214">
        <f t="shared" si="7"/>
        <v>0.16666666666666666</v>
      </c>
      <c r="Y22" s="2" t="s">
        <v>12</v>
      </c>
      <c r="Z22" s="260">
        <v>1</v>
      </c>
      <c r="AA22" s="155">
        <f>Q22</f>
        <v>2.3E-2</v>
      </c>
      <c r="AB22" s="155">
        <f t="shared" ref="AB22:AC22" si="11">R22</f>
        <v>0.16666666666666666</v>
      </c>
      <c r="AC22" s="155">
        <f t="shared" si="11"/>
        <v>2.3E-2</v>
      </c>
      <c r="AD22" s="155"/>
      <c r="AE22" s="155"/>
      <c r="AF22" s="155"/>
    </row>
    <row r="23" spans="1:32" x14ac:dyDescent="0.25">
      <c r="A23" t="str">
        <f>PLANTILLA!D23</f>
        <v>L. Cabistany</v>
      </c>
      <c r="B23">
        <f>PLANTILLA!E23</f>
        <v>22</v>
      </c>
      <c r="C23" s="133">
        <f ca="1">PLANTILLA!F23</f>
        <v>52</v>
      </c>
      <c r="D23">
        <f>PLANTILLA!G23</f>
        <v>0</v>
      </c>
      <c r="E23" s="72">
        <f>PLANTILLA!J23</f>
        <v>0.50694832228214137</v>
      </c>
      <c r="F23" s="70">
        <f>PLANTILLA!O23</f>
        <v>1.5</v>
      </c>
      <c r="G23" s="70">
        <f>PLANTILLA!W23</f>
        <v>0</v>
      </c>
      <c r="H23" s="70">
        <f>PLANTILLA!X23</f>
        <v>2</v>
      </c>
      <c r="I23" s="70">
        <f>PLANTILLA!Y23</f>
        <v>7.833333333333333</v>
      </c>
      <c r="J23" s="70">
        <f>PLANTILLA!Z23</f>
        <v>3</v>
      </c>
      <c r="K23" s="70">
        <f>PLANTILLA!AA23</f>
        <v>9</v>
      </c>
      <c r="L23" s="70">
        <f>PLANTILLA!AB23</f>
        <v>6</v>
      </c>
      <c r="M23" s="70">
        <f>PLANTILLA!AC23</f>
        <v>4</v>
      </c>
      <c r="N23" s="214"/>
      <c r="O23" s="72"/>
      <c r="P23" s="260"/>
      <c r="Q23" s="155"/>
      <c r="R23" s="155"/>
      <c r="S23" s="155"/>
      <c r="X23" s="214"/>
      <c r="Y23" s="72"/>
      <c r="Z23" s="260"/>
      <c r="AA23" s="155"/>
      <c r="AB23" s="155"/>
      <c r="AC23" s="155"/>
      <c r="AD23" s="155"/>
      <c r="AE23" s="155"/>
      <c r="AF23" s="155"/>
    </row>
    <row r="24" spans="1:32" x14ac:dyDescent="0.25">
      <c r="A24" t="str">
        <f>PLANTILLA!D24</f>
        <v>I. Velayo</v>
      </c>
      <c r="B24">
        <f>PLANTILLA!E24</f>
        <v>25</v>
      </c>
      <c r="C24" s="133">
        <f ca="1">PLANTILLA!F24</f>
        <v>105</v>
      </c>
      <c r="D24" t="str">
        <f>PLANTILLA!G24</f>
        <v>RAP</v>
      </c>
      <c r="E24" s="72">
        <f>PLANTILLA!J24</f>
        <v>1.1267973866856758</v>
      </c>
      <c r="F24" s="70">
        <f>PLANTILLA!O24</f>
        <v>1.5</v>
      </c>
      <c r="G24" s="70">
        <f>PLANTILLA!W24</f>
        <v>0</v>
      </c>
      <c r="H24" s="70">
        <f>PLANTILLA!X24</f>
        <v>4</v>
      </c>
      <c r="I24" s="70">
        <f>PLANTILLA!Y24</f>
        <v>11.625</v>
      </c>
      <c r="J24" s="70">
        <f>PLANTILLA!Z24</f>
        <v>4</v>
      </c>
      <c r="K24" s="70">
        <f>PLANTILLA!AA24</f>
        <v>7.5</v>
      </c>
      <c r="L24" s="70">
        <f>PLANTILLA!AB24</f>
        <v>9</v>
      </c>
      <c r="M24" s="70">
        <f>PLANTILLA!AC24</f>
        <v>5</v>
      </c>
      <c r="N24" s="214">
        <f>1/6</f>
        <v>0.16666666666666666</v>
      </c>
      <c r="O24" s="72" t="s">
        <v>12</v>
      </c>
      <c r="P24" s="260">
        <v>1</v>
      </c>
      <c r="Q24" s="155">
        <f>N24*P24*Q7</f>
        <v>4.5999999999999999E-2</v>
      </c>
      <c r="R24" s="155">
        <f t="shared" ref="R24" si="12">$N$24*$P$24*R7</f>
        <v>0.16666666666666666</v>
      </c>
      <c r="S24" s="155"/>
      <c r="X24" s="214">
        <f t="shared" si="7"/>
        <v>0.16666666666666666</v>
      </c>
      <c r="Y24" s="72" t="s">
        <v>12</v>
      </c>
      <c r="Z24" s="260">
        <v>1</v>
      </c>
      <c r="AA24" s="155">
        <f t="shared" ref="AA24:AB24" si="13">Q24</f>
        <v>4.5999999999999999E-2</v>
      </c>
      <c r="AB24" s="155">
        <f t="shared" si="13"/>
        <v>0.16666666666666666</v>
      </c>
      <c r="AC24" s="155"/>
      <c r="AD24" s="155"/>
      <c r="AE24" s="155"/>
      <c r="AF24" s="155"/>
    </row>
    <row r="25" spans="1:32" x14ac:dyDescent="0.25">
      <c r="A25" t="e">
        <f>PLANTILLA!#REF!</f>
        <v>#REF!</v>
      </c>
      <c r="B25" t="e">
        <f>PLANTILLA!#REF!</f>
        <v>#REF!</v>
      </c>
      <c r="C25" s="133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60"/>
      <c r="Q25" s="155"/>
      <c r="R25" s="155"/>
      <c r="S25" s="155"/>
      <c r="X25" s="214"/>
      <c r="Y25" s="72"/>
      <c r="Z25" s="260"/>
      <c r="AA25" s="155"/>
      <c r="AB25" s="155"/>
      <c r="AC25" s="155"/>
      <c r="AD25" s="155"/>
      <c r="AE25" s="155"/>
      <c r="AF25" s="155"/>
    </row>
    <row r="26" spans="1:32" x14ac:dyDescent="0.25">
      <c r="A26" t="e">
        <f>PLANTILLA!#REF!</f>
        <v>#REF!</v>
      </c>
      <c r="B26" t="e">
        <f>PLANTILLA!#REF!</f>
        <v>#REF!</v>
      </c>
      <c r="C26" s="133" t="e">
        <f>PLANTILLA!#REF!</f>
        <v>#REF!</v>
      </c>
      <c r="D26" t="e">
        <f>PLANTILLA!#REF!</f>
        <v>#REF!</v>
      </c>
      <c r="E26" s="72" t="e">
        <f>PLANTILLA!#REF!</f>
        <v>#REF!</v>
      </c>
      <c r="F26" s="70" t="e">
        <f>PLANTILLA!#REF!</f>
        <v>#REF!</v>
      </c>
      <c r="G26" s="70" t="e">
        <f>PLANTILLA!#REF!</f>
        <v>#REF!</v>
      </c>
      <c r="H26" s="70" t="e">
        <f>PLANTILLA!#REF!</f>
        <v>#REF!</v>
      </c>
      <c r="I26" s="70" t="e">
        <f>PLANTILLA!#REF!</f>
        <v>#REF!</v>
      </c>
      <c r="J26" s="70" t="e">
        <f>PLANTILLA!#REF!</f>
        <v>#REF!</v>
      </c>
      <c r="K26" s="70" t="e">
        <f>PLANTILLA!#REF!</f>
        <v>#REF!</v>
      </c>
      <c r="L26" s="70" t="e">
        <f>PLANTILLA!#REF!</f>
        <v>#REF!</v>
      </c>
      <c r="M26" s="70" t="e">
        <f>PLANTILLA!#REF!</f>
        <v>#REF!</v>
      </c>
      <c r="N26" s="72"/>
      <c r="P26" s="260"/>
      <c r="Q26" s="155"/>
      <c r="R26" s="155"/>
      <c r="S26" s="155"/>
      <c r="X26" s="72"/>
      <c r="Z26" s="260"/>
    </row>
    <row r="27" spans="1:32" x14ac:dyDescent="0.25">
      <c r="A27" t="e">
        <f>PLANTILLA!#REF!</f>
        <v>#REF!</v>
      </c>
      <c r="B27" t="e">
        <f>PLANTILLA!#REF!</f>
        <v>#REF!</v>
      </c>
      <c r="C27" s="133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60"/>
      <c r="Q27" s="155"/>
      <c r="R27" s="155"/>
      <c r="S27" s="155"/>
      <c r="X27" s="72"/>
      <c r="Z27" s="260"/>
    </row>
    <row r="28" spans="1:32" x14ac:dyDescent="0.25">
      <c r="A28" t="e">
        <f>PLANTILLA!#REF!</f>
        <v>#REF!</v>
      </c>
      <c r="B28" t="e">
        <f>PLANTILLA!#REF!</f>
        <v>#REF!</v>
      </c>
      <c r="C28" s="133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60"/>
      <c r="Q28" s="155"/>
      <c r="R28" s="155"/>
      <c r="S28" s="155"/>
      <c r="X28" s="72"/>
      <c r="Y28" s="72"/>
      <c r="Z28" s="260"/>
      <c r="AA28" s="155"/>
      <c r="AB28" s="155"/>
      <c r="AC28" s="155"/>
    </row>
    <row r="29" spans="1:32" x14ac:dyDescent="0.25">
      <c r="A29" t="e">
        <f>PLANTILLA!#REF!</f>
        <v>#REF!</v>
      </c>
      <c r="B29" t="e">
        <f>PLANTILLA!#REF!</f>
        <v>#REF!</v>
      </c>
      <c r="C29" s="133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60"/>
      <c r="Q29" s="155"/>
      <c r="R29" s="155"/>
      <c r="S29" s="155"/>
      <c r="X29" s="72"/>
      <c r="Z29" s="260"/>
    </row>
    <row r="30" spans="1:32" x14ac:dyDescent="0.25">
      <c r="C30" s="133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56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1AD-E720-4498-8F3D-BBBF3E95FE72}">
  <sheetPr>
    <tabColor rgb="FF0070C0"/>
  </sheetPr>
  <dimension ref="A1:F9"/>
  <sheetViews>
    <sheetView workbookViewId="0">
      <selection activeCell="G14" sqref="G14"/>
    </sheetView>
  </sheetViews>
  <sheetFormatPr baseColWidth="10" defaultRowHeight="15" x14ac:dyDescent="0.25"/>
  <cols>
    <col min="1" max="1" width="21" bestFit="1" customWidth="1"/>
    <col min="2" max="2" width="112.5703125" bestFit="1" customWidth="1"/>
    <col min="3" max="3" width="11.42578125" style="2"/>
  </cols>
  <sheetData>
    <row r="1" spans="1:6" x14ac:dyDescent="0.25">
      <c r="A1" t="s">
        <v>274</v>
      </c>
      <c r="B1" s="298">
        <v>44377</v>
      </c>
    </row>
    <row r="2" spans="1:6" x14ac:dyDescent="0.25">
      <c r="A2" t="s">
        <v>275</v>
      </c>
      <c r="B2" s="298">
        <v>44396</v>
      </c>
    </row>
    <row r="4" spans="1:6" s="9" customFormat="1" x14ac:dyDescent="0.25">
      <c r="A4" s="9" t="s">
        <v>270</v>
      </c>
      <c r="B4" s="9" t="s">
        <v>271</v>
      </c>
      <c r="C4" s="297" t="s">
        <v>284</v>
      </c>
      <c r="D4" s="297" t="s">
        <v>287</v>
      </c>
    </row>
    <row r="5" spans="1:6" x14ac:dyDescent="0.25">
      <c r="A5" t="s">
        <v>272</v>
      </c>
      <c r="B5" t="s">
        <v>273</v>
      </c>
      <c r="C5" s="2">
        <v>4</v>
      </c>
      <c r="D5" s="2">
        <v>4</v>
      </c>
    </row>
    <row r="6" spans="1:6" x14ac:dyDescent="0.25">
      <c r="A6" t="s">
        <v>276</v>
      </c>
      <c r="B6" t="s">
        <v>277</v>
      </c>
      <c r="C6" s="2">
        <v>0</v>
      </c>
      <c r="D6" s="2">
        <v>1</v>
      </c>
    </row>
    <row r="7" spans="1:6" x14ac:dyDescent="0.25">
      <c r="A7" t="s">
        <v>278</v>
      </c>
      <c r="B7" t="s">
        <v>279</v>
      </c>
      <c r="C7" s="2">
        <v>0</v>
      </c>
      <c r="D7" s="2">
        <v>2</v>
      </c>
    </row>
    <row r="8" spans="1:6" x14ac:dyDescent="0.25">
      <c r="A8" t="s">
        <v>280</v>
      </c>
      <c r="B8" t="s">
        <v>281</v>
      </c>
      <c r="C8" s="2">
        <v>0</v>
      </c>
      <c r="D8" s="2">
        <v>2</v>
      </c>
    </row>
    <row r="9" spans="1:6" x14ac:dyDescent="0.25">
      <c r="A9" t="s">
        <v>282</v>
      </c>
      <c r="B9" t="s">
        <v>283</v>
      </c>
      <c r="C9" s="299" t="s">
        <v>285</v>
      </c>
      <c r="D9" s="299" t="s">
        <v>286</v>
      </c>
      <c r="E9" s="299" t="s">
        <v>288</v>
      </c>
      <c r="F9" s="299" t="s">
        <v>289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F33"/>
  <sheetViews>
    <sheetView tabSelected="1" zoomScale="110" workbookViewId="0">
      <pane xSplit="7" ySplit="3" topLeftCell="K4" activePane="bottomRight" state="frozen"/>
      <selection pane="topRight"/>
      <selection pane="bottomLeft"/>
      <selection pane="bottomRight" activeCell="O19" sqref="O19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bestFit="1" customWidth="1"/>
    <col min="3" max="3" width="5" style="2" customWidth="1"/>
    <col min="4" max="4" width="14.285156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bestFit="1" customWidth="1"/>
    <col min="16" max="16" width="4.140625" customWidth="1"/>
    <col min="17" max="18" width="6.28515625" customWidth="1"/>
    <col min="19" max="19" width="12.140625" bestFit="1" customWidth="1"/>
    <col min="20" max="21" width="10.5703125" bestFit="1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2" width="4.42578125" customWidth="1"/>
    <col min="33" max="33" width="5.140625" bestFit="1" customWidth="1"/>
    <col min="34" max="34" width="6" bestFit="1" customWidth="1"/>
    <col min="35" max="35" width="9.5703125" bestFit="1" customWidth="1"/>
    <col min="36" max="38" width="7.5703125" customWidth="1"/>
    <col min="39" max="39" width="7.5703125" bestFit="1" customWidth="1"/>
    <col min="40" max="41" width="7.5703125" customWidth="1"/>
    <col min="42" max="42" width="6.5703125" customWidth="1"/>
    <col min="43" max="44" width="3.42578125" customWidth="1"/>
    <col min="45" max="45" width="5.28515625" customWidth="1"/>
    <col min="46" max="46" width="5" style="2" customWidth="1"/>
    <col min="47" max="47" width="3.5703125" style="2" customWidth="1"/>
    <col min="48" max="49" width="3.42578125" style="2" customWidth="1"/>
    <col min="50" max="51" width="4.140625" style="2" customWidth="1"/>
    <col min="52" max="52" width="4.28515625" style="2" customWidth="1"/>
    <col min="53" max="53" width="3.42578125" style="2" customWidth="1"/>
    <col min="54" max="54" width="4.85546875" style="2" customWidth="1"/>
    <col min="55" max="55" width="3.5703125" style="2" customWidth="1"/>
    <col min="56" max="56" width="4.85546875" style="2" customWidth="1"/>
    <col min="57" max="57" width="10.42578125" customWidth="1"/>
    <col min="58" max="58" width="10.5703125" bestFit="1" customWidth="1"/>
    <col min="59" max="60" width="11.5703125" customWidth="1"/>
    <col min="1020" max="1021" width="8.7109375" customWidth="1"/>
  </cols>
  <sheetData>
    <row r="1" spans="1:58" x14ac:dyDescent="0.25">
      <c r="A1" s="19"/>
      <c r="B1" s="19"/>
      <c r="C1" s="19"/>
      <c r="D1" s="21">
        <f ca="1">TODAY()</f>
        <v>44692</v>
      </c>
      <c r="E1" s="354">
        <v>43637</v>
      </c>
      <c r="F1" s="354"/>
      <c r="G1" s="354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0"/>
      <c r="AF1" s="20"/>
      <c r="AG1" s="25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BE1" s="22"/>
      <c r="BF1" s="20"/>
    </row>
    <row r="2" spans="1:58" x14ac:dyDescent="0.25">
      <c r="B2" s="271"/>
      <c r="C2" s="19"/>
      <c r="D2" s="26"/>
      <c r="E2" s="24"/>
      <c r="F2" s="24"/>
      <c r="G2" s="18"/>
      <c r="H2" s="18"/>
      <c r="I2" s="27">
        <f>AVERAGE(I4:I24)</f>
        <v>3.9238095238095241</v>
      </c>
      <c r="J2" s="24"/>
      <c r="K2" s="24"/>
      <c r="L2" s="18"/>
      <c r="M2" s="27">
        <f>AVERAGE(M4:M24)</f>
        <v>6.6238095238095251</v>
      </c>
      <c r="N2" s="24"/>
      <c r="O2" s="24"/>
      <c r="P2" s="27">
        <f>AVERAGE(P4:P24)</f>
        <v>5.7142857142857144</v>
      </c>
      <c r="Q2" s="28">
        <f>AVERAGE(Q4:Q24)</f>
        <v>0.89595344197805871</v>
      </c>
      <c r="R2" s="28">
        <f>AVERAGE(R4:R24)</f>
        <v>0.95021654456035398</v>
      </c>
      <c r="S2" s="29">
        <f>AVERAGE(S4:S24)</f>
        <v>67751.904761904763</v>
      </c>
      <c r="T2" s="29">
        <f>AVERAGE(T4:T24)</f>
        <v>3989</v>
      </c>
      <c r="U2" s="29">
        <f>AVERAGE(U4:U24)</f>
        <v>13355.714285714286</v>
      </c>
      <c r="V2" s="30"/>
      <c r="W2" s="30"/>
      <c r="X2" s="30"/>
      <c r="Y2" s="30"/>
      <c r="Z2" s="30"/>
      <c r="AA2" s="30"/>
      <c r="AB2" s="30"/>
      <c r="AC2" s="30"/>
      <c r="AD2" s="31">
        <f>AVERAGE(AD4:AD24)</f>
        <v>894.04761904761904</v>
      </c>
      <c r="AE2" s="18"/>
      <c r="AF2" s="18"/>
      <c r="AG2" s="30"/>
      <c r="AH2" s="30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BE2" s="24"/>
      <c r="BF2" s="18"/>
    </row>
    <row r="3" spans="1:58" x14ac:dyDescent="0.25">
      <c r="A3" s="32" t="s">
        <v>262</v>
      </c>
      <c r="B3" s="32" t="s">
        <v>44</v>
      </c>
      <c r="C3" s="32" t="s">
        <v>45</v>
      </c>
      <c r="D3" s="33" t="s">
        <v>46</v>
      </c>
      <c r="E3" s="32" t="s">
        <v>47</v>
      </c>
      <c r="F3" s="32" t="s">
        <v>48</v>
      </c>
      <c r="G3" s="32" t="s">
        <v>49</v>
      </c>
      <c r="H3" s="32" t="s">
        <v>50</v>
      </c>
      <c r="I3" s="32" t="s">
        <v>51</v>
      </c>
      <c r="J3" s="32" t="s">
        <v>52</v>
      </c>
      <c r="K3" s="34" t="s">
        <v>53</v>
      </c>
      <c r="L3" s="34" t="s">
        <v>54</v>
      </c>
      <c r="M3" s="32" t="s">
        <v>55</v>
      </c>
      <c r="N3" s="32" t="s">
        <v>56</v>
      </c>
      <c r="O3" s="32" t="s">
        <v>57</v>
      </c>
      <c r="P3" s="32" t="s">
        <v>58</v>
      </c>
      <c r="Q3" s="35" t="s">
        <v>59</v>
      </c>
      <c r="R3" s="35" t="s">
        <v>60</v>
      </c>
      <c r="S3" s="32" t="s">
        <v>61</v>
      </c>
      <c r="T3" s="32" t="s">
        <v>62</v>
      </c>
      <c r="U3" s="32" t="s">
        <v>63</v>
      </c>
      <c r="V3" s="32" t="s">
        <v>64</v>
      </c>
      <c r="W3" s="32" t="s">
        <v>65</v>
      </c>
      <c r="X3" s="32" t="s">
        <v>66</v>
      </c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49</v>
      </c>
      <c r="AD3" s="32" t="s">
        <v>71</v>
      </c>
      <c r="AE3" s="36" t="s">
        <v>72</v>
      </c>
      <c r="AF3" s="36" t="s">
        <v>73</v>
      </c>
      <c r="AG3" s="36" t="s">
        <v>74</v>
      </c>
      <c r="AH3" s="36" t="s">
        <v>75</v>
      </c>
      <c r="AI3" s="37" t="s">
        <v>79</v>
      </c>
      <c r="AJ3" s="37" t="s">
        <v>80</v>
      </c>
      <c r="AK3" s="37" t="s">
        <v>81</v>
      </c>
      <c r="AL3" s="37" t="s">
        <v>82</v>
      </c>
      <c r="AM3" s="37" t="s">
        <v>83</v>
      </c>
      <c r="AN3" s="37" t="s">
        <v>84</v>
      </c>
      <c r="AO3" s="37" t="s">
        <v>85</v>
      </c>
      <c r="AP3" s="37" t="s">
        <v>86</v>
      </c>
      <c r="AQ3" s="32" t="s">
        <v>76</v>
      </c>
      <c r="AR3" s="32" t="s">
        <v>77</v>
      </c>
      <c r="AS3" s="32" t="s">
        <v>78</v>
      </c>
      <c r="AT3" s="38" t="s">
        <v>10</v>
      </c>
      <c r="AU3" s="38" t="s">
        <v>87</v>
      </c>
      <c r="AV3" s="38" t="s">
        <v>88</v>
      </c>
      <c r="AW3" s="38" t="s">
        <v>89</v>
      </c>
      <c r="AX3" s="38" t="s">
        <v>90</v>
      </c>
      <c r="AY3" s="38" t="s">
        <v>91</v>
      </c>
      <c r="AZ3" s="38" t="s">
        <v>92</v>
      </c>
      <c r="BA3" s="38" t="s">
        <v>93</v>
      </c>
      <c r="BB3" s="38" t="s">
        <v>94</v>
      </c>
      <c r="BC3" s="38" t="s">
        <v>95</v>
      </c>
      <c r="BD3" s="38" t="s">
        <v>12</v>
      </c>
      <c r="BE3" s="32" t="s">
        <v>96</v>
      </c>
      <c r="BF3" s="39" t="s">
        <v>97</v>
      </c>
    </row>
    <row r="4" spans="1:58" x14ac:dyDescent="0.25">
      <c r="A4" s="40" t="s">
        <v>98</v>
      </c>
      <c r="B4" s="249">
        <v>29</v>
      </c>
      <c r="C4" s="273" t="s">
        <v>10</v>
      </c>
      <c r="D4" s="268" t="s">
        <v>99</v>
      </c>
      <c r="E4" s="42">
        <v>27</v>
      </c>
      <c r="F4" s="43">
        <f ca="1">$D$1-43606-112-112-112-112-112-112-112-112-112</f>
        <v>78</v>
      </c>
      <c r="G4" s="44" t="s">
        <v>100</v>
      </c>
      <c r="H4" s="45">
        <v>2</v>
      </c>
      <c r="I4" s="46">
        <v>7</v>
      </c>
      <c r="J4" s="47">
        <f t="shared" ref="J4:J24" si="0">LOG(I4+1)*4/3</f>
        <v>1.2041199826559248</v>
      </c>
      <c r="K4" s="48">
        <f t="shared" ref="K4:K24" si="1">(H4)*(H4)*(I4)</f>
        <v>28</v>
      </c>
      <c r="L4" s="48">
        <f t="shared" ref="L4:L24" si="2">(H4+1)*(H4+1)*I4</f>
        <v>63</v>
      </c>
      <c r="M4" s="212">
        <v>6.9</v>
      </c>
      <c r="N4" s="49">
        <f t="shared" ref="N4:N24" si="3">M4*10+19</f>
        <v>88</v>
      </c>
      <c r="O4" s="50">
        <v>1.5</v>
      </c>
      <c r="P4" s="49">
        <v>7</v>
      </c>
      <c r="Q4" s="51">
        <f t="shared" ref="Q4:Q24" si="4">(P4/7)^0.5</f>
        <v>1</v>
      </c>
      <c r="R4" s="51">
        <f t="shared" ref="R4:R24" si="5">IF(P4=7,1,((P4+0.99)/7)^0.5)</f>
        <v>1</v>
      </c>
      <c r="S4" s="200">
        <v>47590</v>
      </c>
      <c r="T4" s="53">
        <f t="shared" ref="T4:T24" si="6">S4-BF4</f>
        <v>4170</v>
      </c>
      <c r="U4" s="52">
        <v>14730</v>
      </c>
      <c r="V4" s="54">
        <f t="shared" ref="V4:V25" si="7">S4/U4</f>
        <v>3.2308214528173793</v>
      </c>
      <c r="W4" s="166">
        <f>13+2/7</f>
        <v>13.285714285714286</v>
      </c>
      <c r="X4" s="166">
        <v>6</v>
      </c>
      <c r="Y4" s="166">
        <v>5</v>
      </c>
      <c r="Z4" s="166">
        <v>3</v>
      </c>
      <c r="AA4" s="166">
        <v>4</v>
      </c>
      <c r="AB4" s="166">
        <v>3</v>
      </c>
      <c r="AC4" s="166">
        <v>8</v>
      </c>
      <c r="AD4" s="31">
        <v>890</v>
      </c>
      <c r="AE4" s="55">
        <f t="shared" ref="AE4:AE24" si="8">(Y4+O4+J4)*(P4/7)^0.5</f>
        <v>7.704119982655925</v>
      </c>
      <c r="AF4" s="55">
        <f t="shared" ref="AF4:AF24" si="9">(Y4+O4+J4)*(IF(P4=7,(P4/7)^0.5,((P4+1)/7)^0.5))</f>
        <v>7.704119982655925</v>
      </c>
      <c r="AG4" s="247">
        <f t="shared" ref="AG4:AG24" si="10">(((X4+O4+J4)+(AA4+O4+J4)*2)/8)*(P4/7)^0.5</f>
        <v>2.7640449934959719</v>
      </c>
      <c r="AH4" s="247">
        <f t="shared" ref="AH4:AH24" si="11">((AC4+J4+O4)*0.7+(AB4+J4+O4)*0.3)*(P4/7)^0.5</f>
        <v>9.204119982655925</v>
      </c>
      <c r="AI4" s="56">
        <f t="shared" ref="AI4:AI24" si="12">SUM(AJ4:AP4)</f>
        <v>75</v>
      </c>
      <c r="AJ4" s="57">
        <v>38.5</v>
      </c>
      <c r="AK4" s="57">
        <v>14</v>
      </c>
      <c r="AL4" s="57">
        <v>9</v>
      </c>
      <c r="AM4" s="57">
        <v>1.5</v>
      </c>
      <c r="AN4" s="57">
        <v>4</v>
      </c>
      <c r="AO4" s="57">
        <v>2</v>
      </c>
      <c r="AP4" s="57">
        <v>6</v>
      </c>
      <c r="AQ4" s="49">
        <v>0</v>
      </c>
      <c r="AR4" s="49">
        <v>0</v>
      </c>
      <c r="AS4" s="51">
        <f t="shared" ref="AS4:AS24" si="13">IF(AQ4=4,IF(AR4=0,0.137+0.0697,0.137+0.02),IF(AQ4=3,IF(AR4=0,0.0958+0.0697,0.0958+0.02),IF(AQ4=2,IF(AR4=0,0.0415+0.0697,0.0415+0.02),IF(AQ4=1,IF(AR4=0,0.0294+0.0697,0.0294+0.02),IF(AQ4=0,IF(AR4=0,0.0063+0.0697,0.0063+0.02))))))</f>
        <v>7.5999999999999998E-2</v>
      </c>
      <c r="AT4" s="58">
        <f t="shared" ref="AT4:AT24" si="14">AJ4+AK4*0.33+AP4</f>
        <v>49.12</v>
      </c>
      <c r="AU4" s="58">
        <f t="shared" ref="AU4:AU24" si="15">AK4+AL4*0.25+AP4</f>
        <v>22.25</v>
      </c>
      <c r="AV4" s="58">
        <f t="shared" ref="AV4:AV24" si="16">AK4+AM4*0.33+AP4</f>
        <v>20.494999999999997</v>
      </c>
      <c r="AW4" s="58">
        <f t="shared" ref="AW4:AW24" si="17">AK4+AM4/1.5+AP4</f>
        <v>21</v>
      </c>
      <c r="AX4" s="58">
        <f t="shared" ref="AX4:AX24" si="18">AL4+AK4*0.6+AN4*0.17+AP4+AO4*0.12</f>
        <v>24.319999999999997</v>
      </c>
      <c r="AY4" s="58">
        <f t="shared" ref="AY4:AY24" si="19">AL4+AK4*0.4+AN4*0.3+AP4+AO4*0.21</f>
        <v>22.220000000000002</v>
      </c>
      <c r="AZ4" s="58">
        <f t="shared" ref="AZ4:AZ24" si="20">AL4+AK4*0.16+AN4*0.5+AP4+AO4*0.31</f>
        <v>19.860000000000003</v>
      </c>
      <c r="BA4" s="58">
        <f t="shared" ref="BA4:BA24" si="21">AM4+AL4*0.45+AK4*0.25+AN4*0.25+AP4</f>
        <v>16.05</v>
      </c>
      <c r="BB4" s="58">
        <f t="shared" ref="BB4:BB24" si="22">AM4+AL4*0.63+AK4*0.25+AN4*0.17+AP4</f>
        <v>17.350000000000001</v>
      </c>
      <c r="BC4" s="58">
        <f t="shared" ref="BC4:BC24" si="23">AO4*0.6+AL4*0.4+AM4*0.15+AN4*0.5+AP4</f>
        <v>13.024999999999999</v>
      </c>
      <c r="BD4" s="58">
        <f t="shared" ref="BD4:BD24" si="24">AO4+AL4*0.25+AM4*0.22+AN4*0.35+AP4</f>
        <v>11.98</v>
      </c>
      <c r="BE4" s="59">
        <v>43637</v>
      </c>
      <c r="BF4" s="200">
        <v>43420</v>
      </c>
    </row>
    <row r="5" spans="1:58" x14ac:dyDescent="0.25">
      <c r="A5" s="40" t="s">
        <v>128</v>
      </c>
      <c r="B5" s="249">
        <v>26</v>
      </c>
      <c r="C5" s="273" t="s">
        <v>10</v>
      </c>
      <c r="D5" s="269" t="s">
        <v>101</v>
      </c>
      <c r="E5" s="42">
        <v>30</v>
      </c>
      <c r="F5" s="43">
        <f ca="1">$D$1-43615-112-112-112-112-112-112-112-112-112</f>
        <v>69</v>
      </c>
      <c r="G5" s="44" t="s">
        <v>102</v>
      </c>
      <c r="H5" s="60">
        <v>6</v>
      </c>
      <c r="I5" s="46">
        <v>3.4</v>
      </c>
      <c r="J5" s="47">
        <f t="shared" si="0"/>
        <v>0.85793690198158323</v>
      </c>
      <c r="K5" s="48">
        <f t="shared" si="1"/>
        <v>122.39999999999999</v>
      </c>
      <c r="L5" s="48">
        <f t="shared" si="2"/>
        <v>166.6</v>
      </c>
      <c r="M5" s="212">
        <v>5.9</v>
      </c>
      <c r="N5" s="49">
        <f t="shared" si="3"/>
        <v>78</v>
      </c>
      <c r="O5" s="50">
        <v>1.5</v>
      </c>
      <c r="P5" s="49">
        <v>6</v>
      </c>
      <c r="Q5" s="51">
        <f t="shared" si="4"/>
        <v>0.92582009977255142</v>
      </c>
      <c r="R5" s="51">
        <f t="shared" si="5"/>
        <v>0.99928545900129484</v>
      </c>
      <c r="S5" s="200">
        <v>38570</v>
      </c>
      <c r="T5" s="53">
        <f t="shared" si="6"/>
        <v>-1120</v>
      </c>
      <c r="U5" s="52">
        <v>9320</v>
      </c>
      <c r="V5" s="54">
        <f t="shared" si="7"/>
        <v>4.1384120171673819</v>
      </c>
      <c r="W5" s="166">
        <f>12+3/6</f>
        <v>12.5</v>
      </c>
      <c r="X5" s="166">
        <v>2</v>
      </c>
      <c r="Y5" s="166">
        <v>3</v>
      </c>
      <c r="Z5" s="166">
        <v>1</v>
      </c>
      <c r="AA5" s="166">
        <v>1</v>
      </c>
      <c r="AB5" s="166">
        <v>1</v>
      </c>
      <c r="AC5" s="166">
        <v>6</v>
      </c>
      <c r="AD5" s="31">
        <v>488</v>
      </c>
      <c r="AE5" s="55">
        <f t="shared" si="8"/>
        <v>4.9604856771676245</v>
      </c>
      <c r="AF5" s="55">
        <f t="shared" si="9"/>
        <v>5.3579369019815832</v>
      </c>
      <c r="AG5" s="247">
        <f t="shared" si="10"/>
        <v>1.2815445665800145</v>
      </c>
      <c r="AH5" s="247">
        <f t="shared" si="11"/>
        <v>6.3492158268264509</v>
      </c>
      <c r="AI5" s="56">
        <f t="shared" si="12"/>
        <v>37.5</v>
      </c>
      <c r="AJ5" s="57">
        <v>33.5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4</v>
      </c>
      <c r="AQ5" s="49">
        <v>3</v>
      </c>
      <c r="AR5" s="49">
        <v>4</v>
      </c>
      <c r="AS5" s="51">
        <f t="shared" si="13"/>
        <v>0.1158</v>
      </c>
      <c r="AT5" s="58">
        <f t="shared" si="14"/>
        <v>37.5</v>
      </c>
      <c r="AU5" s="58">
        <f t="shared" si="15"/>
        <v>4</v>
      </c>
      <c r="AV5" s="58">
        <f t="shared" si="16"/>
        <v>4</v>
      </c>
      <c r="AW5" s="58">
        <f t="shared" si="17"/>
        <v>4</v>
      </c>
      <c r="AX5" s="58">
        <f t="shared" si="18"/>
        <v>4</v>
      </c>
      <c r="AY5" s="58">
        <f t="shared" si="19"/>
        <v>4</v>
      </c>
      <c r="AZ5" s="58">
        <f t="shared" si="20"/>
        <v>4</v>
      </c>
      <c r="BA5" s="58">
        <f t="shared" si="21"/>
        <v>4</v>
      </c>
      <c r="BB5" s="58">
        <f t="shared" si="22"/>
        <v>4</v>
      </c>
      <c r="BC5" s="58">
        <f t="shared" si="23"/>
        <v>4</v>
      </c>
      <c r="BD5" s="58">
        <f t="shared" si="24"/>
        <v>4</v>
      </c>
      <c r="BE5" s="59">
        <v>43637</v>
      </c>
      <c r="BF5" s="200">
        <v>39690</v>
      </c>
    </row>
    <row r="6" spans="1:58" x14ac:dyDescent="0.25">
      <c r="A6" s="201" t="s">
        <v>372</v>
      </c>
      <c r="B6" s="342"/>
      <c r="C6" s="274" t="s">
        <v>10</v>
      </c>
      <c r="D6" s="269" t="s">
        <v>243</v>
      </c>
      <c r="E6" s="167">
        <v>19</v>
      </c>
      <c r="F6" s="168">
        <f ca="1">$D$1-44497-112</f>
        <v>83</v>
      </c>
      <c r="G6" s="169"/>
      <c r="H6" s="202">
        <v>2</v>
      </c>
      <c r="I6" s="171">
        <v>1</v>
      </c>
      <c r="J6" s="172">
        <f t="shared" ref="J6:J11" si="25">LOG(I6+1)*4/3</f>
        <v>0.40137332755197491</v>
      </c>
      <c r="K6" s="173">
        <f t="shared" ref="K6:K11" si="26">(H6)*(H6)*(I6)</f>
        <v>4</v>
      </c>
      <c r="L6" s="173">
        <f>(H6+1)*(H6+1)*I57</f>
        <v>0</v>
      </c>
      <c r="M6" s="213">
        <v>6</v>
      </c>
      <c r="N6" s="174">
        <f t="shared" ref="N6:N11" si="27">M6*10+19</f>
        <v>79</v>
      </c>
      <c r="O6" s="175">
        <v>1.5</v>
      </c>
      <c r="P6" s="174">
        <v>5</v>
      </c>
      <c r="Q6" s="176">
        <f t="shared" ref="Q6:Q11" si="28">(P6/7)^0.5</f>
        <v>0.84515425472851657</v>
      </c>
      <c r="R6" s="176">
        <f t="shared" ref="R6:R11" si="29">IF(P6=7,1,((P6+0.99)/7)^0.5)</f>
        <v>0.92504826128926143</v>
      </c>
      <c r="S6" s="216">
        <v>3940</v>
      </c>
      <c r="T6" s="178">
        <f t="shared" si="6"/>
        <v>-530</v>
      </c>
      <c r="U6" s="177">
        <v>1390</v>
      </c>
      <c r="V6" s="179">
        <f t="shared" ref="V6:V11" si="30">S6/U6</f>
        <v>2.8345323741007196</v>
      </c>
      <c r="W6" s="166">
        <v>6</v>
      </c>
      <c r="X6" s="166">
        <v>3</v>
      </c>
      <c r="Y6" s="166">
        <v>1</v>
      </c>
      <c r="Z6" s="166">
        <v>1</v>
      </c>
      <c r="AA6" s="166">
        <v>1</v>
      </c>
      <c r="AB6" s="166">
        <v>0</v>
      </c>
      <c r="AC6" s="166">
        <v>3</v>
      </c>
      <c r="AD6" s="180">
        <v>220</v>
      </c>
      <c r="AE6" s="55">
        <f t="shared" si="8"/>
        <v>2.4521080123363856</v>
      </c>
      <c r="AF6" s="55">
        <f t="shared" si="9"/>
        <v>2.6861497435915891</v>
      </c>
      <c r="AG6" s="247">
        <f t="shared" si="10"/>
        <v>1.1308290683082738</v>
      </c>
      <c r="AH6" s="247">
        <f t="shared" si="11"/>
        <v>3.381777692537753</v>
      </c>
      <c r="AI6" s="56">
        <f t="shared" si="12"/>
        <v>11.5</v>
      </c>
      <c r="AJ6" s="182">
        <v>7.5</v>
      </c>
      <c r="AK6" s="182">
        <v>3</v>
      </c>
      <c r="AL6" s="182">
        <v>0</v>
      </c>
      <c r="AM6" s="182">
        <v>0</v>
      </c>
      <c r="AN6" s="182">
        <v>0</v>
      </c>
      <c r="AO6" s="182">
        <v>0</v>
      </c>
      <c r="AP6" s="182">
        <v>1</v>
      </c>
      <c r="AQ6" s="174">
        <v>3</v>
      </c>
      <c r="AR6" s="174">
        <v>2</v>
      </c>
      <c r="AS6" s="51">
        <f t="shared" si="13"/>
        <v>0.1158</v>
      </c>
      <c r="AT6" s="165">
        <f t="shared" ref="AT6" si="31">AJ6+AK6*0.33+AP6</f>
        <v>9.49</v>
      </c>
      <c r="AU6" s="165">
        <f t="shared" ref="AU6" si="32">AK6+AL6*0.25+AP6</f>
        <v>4</v>
      </c>
      <c r="AV6" s="165">
        <f t="shared" ref="AV6" si="33">AK6+AM6*0.33+AP6</f>
        <v>4</v>
      </c>
      <c r="AW6" s="165">
        <f t="shared" ref="AW6" si="34">AK6+AM6/1.5+AP6</f>
        <v>4</v>
      </c>
      <c r="AX6" s="165">
        <f t="shared" ref="AX6" si="35">AL6+AK6*0.6+AN6*0.17+AP6+AO6*0.12</f>
        <v>2.8</v>
      </c>
      <c r="AY6" s="165">
        <f t="shared" ref="AY6" si="36">AL6+AK6*0.4+AN6*0.3+AP6+AO6*0.21</f>
        <v>2.2000000000000002</v>
      </c>
      <c r="AZ6" s="165">
        <f t="shared" ref="AZ6" si="37">AL6+AK6*0.16+AN6*0.5+AP6+AO6*0.31</f>
        <v>1.48</v>
      </c>
      <c r="BA6" s="165">
        <f t="shared" ref="BA6" si="38">AM6+AL6*0.45+AK6*0.25+AN6*0.25+AP6</f>
        <v>1.75</v>
      </c>
      <c r="BB6" s="165">
        <f t="shared" ref="BB6" si="39">AM6+AL6*0.63+AK6*0.25+AN6*0.17+AP6</f>
        <v>1.75</v>
      </c>
      <c r="BC6" s="165">
        <f t="shared" ref="BC6" si="40">AO6*0.6+AL6*0.4+AM6*0.15+AN6*0.5+AP6</f>
        <v>1</v>
      </c>
      <c r="BD6" s="165">
        <f t="shared" ref="BD6" si="41">AO6+AL6*0.25+AM6*0.22+AN6*0.35+AP6</f>
        <v>1</v>
      </c>
      <c r="BE6" s="183">
        <v>44494</v>
      </c>
      <c r="BF6" s="216">
        <v>4470</v>
      </c>
    </row>
    <row r="7" spans="1:58" x14ac:dyDescent="0.25">
      <c r="A7" s="201" t="s">
        <v>374</v>
      </c>
      <c r="B7" s="342"/>
      <c r="C7" s="274" t="s">
        <v>103</v>
      </c>
      <c r="D7" s="363" t="s">
        <v>291</v>
      </c>
      <c r="E7" s="167">
        <v>19</v>
      </c>
      <c r="F7" s="168">
        <f ca="1">$D$1-44498-39-112</f>
        <v>43</v>
      </c>
      <c r="G7" s="169"/>
      <c r="H7" s="202">
        <v>4</v>
      </c>
      <c r="I7" s="171">
        <v>1</v>
      </c>
      <c r="J7" s="172">
        <f>LOG(I7+1)*4/3</f>
        <v>0.40137332755197491</v>
      </c>
      <c r="K7" s="173">
        <f>(H7)*(H7)*(I7)</f>
        <v>16</v>
      </c>
      <c r="L7" s="173">
        <f t="shared" ref="L7:L11" si="42">(H7+1)*(H7+1)*I7</f>
        <v>25</v>
      </c>
      <c r="M7" s="213">
        <v>5.2</v>
      </c>
      <c r="N7" s="174">
        <f>M7*10+19</f>
        <v>71</v>
      </c>
      <c r="O7" s="175">
        <v>1.5</v>
      </c>
      <c r="P7" s="174">
        <v>2</v>
      </c>
      <c r="Q7" s="176">
        <f>(P7/7)^0.5</f>
        <v>0.53452248382484879</v>
      </c>
      <c r="R7" s="176">
        <f>IF(P7=7,1,((P7+0.99)/7)^0.5)</f>
        <v>0.65356167049702141</v>
      </c>
      <c r="S7" s="177">
        <v>880</v>
      </c>
      <c r="T7" s="53">
        <f t="shared" si="6"/>
        <v>-150</v>
      </c>
      <c r="U7" s="177">
        <v>350</v>
      </c>
      <c r="V7" s="179">
        <f>S7/U7</f>
        <v>2.5142857142857142</v>
      </c>
      <c r="W7" s="166">
        <v>0</v>
      </c>
      <c r="X7" s="166">
        <v>6</v>
      </c>
      <c r="Y7" s="166">
        <v>2</v>
      </c>
      <c r="Z7" s="166">
        <v>4</v>
      </c>
      <c r="AA7" s="166">
        <v>2</v>
      </c>
      <c r="AB7" s="166">
        <v>4</v>
      </c>
      <c r="AC7" s="166">
        <v>1</v>
      </c>
      <c r="AD7" s="180">
        <v>391</v>
      </c>
      <c r="AE7" s="55">
        <f t="shared" si="8"/>
        <v>2.0853717613710971</v>
      </c>
      <c r="AF7" s="55">
        <f t="shared" si="9"/>
        <v>2.5540483696840952</v>
      </c>
      <c r="AG7" s="247">
        <f t="shared" si="10"/>
        <v>1.0492756524265858</v>
      </c>
      <c r="AH7" s="247">
        <f t="shared" si="11"/>
        <v>2.0319195129886123</v>
      </c>
      <c r="AI7" s="56">
        <f t="shared" ref="AI7" si="43">SUM(AJ7:AP7)</f>
        <v>21.5</v>
      </c>
      <c r="AJ7" s="182">
        <v>0</v>
      </c>
      <c r="AK7" s="182">
        <v>14</v>
      </c>
      <c r="AL7" s="182">
        <v>0</v>
      </c>
      <c r="AM7" s="182">
        <v>3.5</v>
      </c>
      <c r="AN7" s="182">
        <v>0</v>
      </c>
      <c r="AO7" s="182">
        <v>5</v>
      </c>
      <c r="AP7" s="182">
        <v>-1</v>
      </c>
      <c r="AQ7" s="174">
        <v>0</v>
      </c>
      <c r="AR7" s="174">
        <v>1</v>
      </c>
      <c r="AS7" s="176">
        <f t="shared" ref="AS7:AS11" si="44">IF(AQ7=4,IF(AR7=0,0.137+0.0697,0.137+0.02),IF(AQ7=3,IF(AR7=0,0.0958+0.0697,0.0958+0.02),IF(AQ7=2,IF(AR7=0,0.0415+0.0697,0.0415+0.02),IF(AQ7=1,IF(AR7=0,0.0294+0.0697,0.0294+0.02),IF(AQ7=0,IF(AR7=0,0.0063+0.0697,0.0063+0.02))))))</f>
        <v>2.63E-2</v>
      </c>
      <c r="AT7" s="165">
        <f>AJ7+AK7*0.33+AP7</f>
        <v>3.62</v>
      </c>
      <c r="AU7" s="165">
        <f>AK7+AL7*0.25+AP7</f>
        <v>13</v>
      </c>
      <c r="AV7" s="165">
        <f>AK7+AM7*0.33+AP7</f>
        <v>14.154999999999999</v>
      </c>
      <c r="AW7" s="165">
        <f>AK7+AM7/1.5+AP7</f>
        <v>15.333333333333332</v>
      </c>
      <c r="AX7" s="165">
        <f>AL7+AK7*0.6+AN7*0.17+AP7+AO7*0.12</f>
        <v>8</v>
      </c>
      <c r="AY7" s="165">
        <f>AL7+AK7*0.4+AN7*0.3+AP7+AO7*0.21</f>
        <v>5.65</v>
      </c>
      <c r="AZ7" s="165">
        <f>AL7+AK7*0.16+AN7*0.5+AP7+AO7*0.31</f>
        <v>2.79</v>
      </c>
      <c r="BA7" s="165">
        <f>AM7+AL7*0.45+AK7*0.25+AN7*0.25+AP7</f>
        <v>6</v>
      </c>
      <c r="BB7" s="165">
        <f>AM7+AL7*0.63+AK7*0.25+AN7*0.17+AP7</f>
        <v>6</v>
      </c>
      <c r="BC7" s="165">
        <f>AO7*0.6+AL7*0.4+AM7*0.15+AN7*0.5+AP7</f>
        <v>2.5249999999999999</v>
      </c>
      <c r="BD7" s="165">
        <f>AO7+AL7*0.25+AM7*0.22+AN7*0.35+AP7</f>
        <v>4.7699999999999996</v>
      </c>
      <c r="BE7" s="183">
        <v>44524</v>
      </c>
      <c r="BF7" s="177">
        <v>1030</v>
      </c>
    </row>
    <row r="8" spans="1:58" x14ac:dyDescent="0.25">
      <c r="A8" s="201" t="s">
        <v>405</v>
      </c>
      <c r="B8" s="342"/>
      <c r="C8" s="274" t="s">
        <v>103</v>
      </c>
      <c r="D8" s="363" t="s">
        <v>368</v>
      </c>
      <c r="E8" s="167">
        <v>18</v>
      </c>
      <c r="F8" s="168">
        <f ca="1">$D$1-44172-449</f>
        <v>71</v>
      </c>
      <c r="G8" s="169" t="s">
        <v>102</v>
      </c>
      <c r="H8" s="202">
        <v>0</v>
      </c>
      <c r="I8" s="171">
        <v>1</v>
      </c>
      <c r="J8" s="172">
        <f>LOG(I8+1)*4/3</f>
        <v>0.40137332755197491</v>
      </c>
      <c r="K8" s="173">
        <f>(H8)*(H8)*(I8)</f>
        <v>0</v>
      </c>
      <c r="L8" s="173">
        <f t="shared" si="42"/>
        <v>1</v>
      </c>
      <c r="M8" s="213">
        <v>3.5</v>
      </c>
      <c r="N8" s="174">
        <f>M8*10+19</f>
        <v>54</v>
      </c>
      <c r="O8" s="175">
        <v>1.5</v>
      </c>
      <c r="P8" s="174">
        <v>5</v>
      </c>
      <c r="Q8" s="176">
        <f>(P8/7)^0.5</f>
        <v>0.84515425472851657</v>
      </c>
      <c r="R8" s="176">
        <f>IF(P8=7,1,((P8+0.99)/7)^0.5)</f>
        <v>0.92504826128926143</v>
      </c>
      <c r="S8" s="177">
        <v>1850</v>
      </c>
      <c r="T8" s="178"/>
      <c r="U8" s="177">
        <v>370</v>
      </c>
      <c r="V8" s="179">
        <f>S8/U8</f>
        <v>5</v>
      </c>
      <c r="W8" s="166">
        <v>0</v>
      </c>
      <c r="X8" s="166">
        <v>6</v>
      </c>
      <c r="Y8" s="166">
        <v>3</v>
      </c>
      <c r="Z8" s="166">
        <v>2</v>
      </c>
      <c r="AA8" s="166">
        <v>6</v>
      </c>
      <c r="AB8" s="166">
        <v>4</v>
      </c>
      <c r="AC8" s="166">
        <v>1</v>
      </c>
      <c r="AD8" s="180">
        <v>486</v>
      </c>
      <c r="AE8" s="361">
        <f t="shared" si="8"/>
        <v>4.142416521793419</v>
      </c>
      <c r="AF8" s="361">
        <f t="shared" si="9"/>
        <v>4.5377899431366924</v>
      </c>
      <c r="AG8" s="248">
        <f t="shared" si="10"/>
        <v>2.5042047322421133</v>
      </c>
      <c r="AH8" s="248">
        <f t="shared" si="11"/>
        <v>3.2127468415920504</v>
      </c>
      <c r="AI8" s="181">
        <f>SUM(AJ8:AP8)</f>
        <v>24</v>
      </c>
      <c r="AJ8" s="182">
        <v>0</v>
      </c>
      <c r="AK8" s="182">
        <v>14</v>
      </c>
      <c r="AL8" s="182">
        <v>2.5</v>
      </c>
      <c r="AM8" s="182">
        <v>3.5</v>
      </c>
      <c r="AN8" s="182">
        <v>0</v>
      </c>
      <c r="AO8" s="182">
        <v>5</v>
      </c>
      <c r="AP8" s="182">
        <v>-1</v>
      </c>
      <c r="AQ8" s="174">
        <v>1</v>
      </c>
      <c r="AR8" s="174">
        <v>3</v>
      </c>
      <c r="AS8" s="176">
        <f t="shared" si="44"/>
        <v>4.9399999999999999E-2</v>
      </c>
      <c r="AT8" s="165">
        <f>AJ8+AK8*0.33+AP8</f>
        <v>3.62</v>
      </c>
      <c r="AU8" s="165">
        <f>AK8+AL8*0.25+AP8</f>
        <v>13.625</v>
      </c>
      <c r="AV8" s="165">
        <f>AK8+AM8*0.33+AP8</f>
        <v>14.154999999999999</v>
      </c>
      <c r="AW8" s="165">
        <f>AK8+AM8/1.5+AP8</f>
        <v>15.333333333333332</v>
      </c>
      <c r="AX8" s="165">
        <f>AL8+AK8*0.6+AN8*0.17+AP8+AO8*0.12</f>
        <v>10.5</v>
      </c>
      <c r="AY8" s="165">
        <f>AL8+AK8*0.4+AN8*0.3+AP8+AO8*0.21</f>
        <v>8.1500000000000021</v>
      </c>
      <c r="AZ8" s="165">
        <f>AL8+AK8*0.16+AN8*0.5+AP8+AO8*0.31</f>
        <v>5.29</v>
      </c>
      <c r="BA8" s="165">
        <f>AM8+AL8*0.45+AK8*0.25+AN8*0.25+AP8</f>
        <v>7.125</v>
      </c>
      <c r="BB8" s="165">
        <f>AM8+AL8*0.63+AK8*0.25+AN8*0.17+AP8</f>
        <v>7.5749999999999993</v>
      </c>
      <c r="BC8" s="165">
        <f>AO8*0.6+AL8*0.4+AM8*0.15+AN8*0.5+AP8</f>
        <v>3.5250000000000004</v>
      </c>
      <c r="BD8" s="165">
        <f>AO8+AL8*0.25+AM8*0.22+AN8*0.35+AP8</f>
        <v>5.3949999999999996</v>
      </c>
      <c r="BE8" s="183"/>
      <c r="BF8" s="177"/>
    </row>
    <row r="9" spans="1:58" x14ac:dyDescent="0.25">
      <c r="A9" s="201" t="s">
        <v>125</v>
      </c>
      <c r="B9" s="249">
        <f ca="1">VLOOKUP(D9,Generaciones!$A$1:$E$34,5)</f>
        <v>33</v>
      </c>
      <c r="C9" s="274" t="s">
        <v>103</v>
      </c>
      <c r="D9" s="363" t="s">
        <v>148</v>
      </c>
      <c r="E9" s="167">
        <v>23</v>
      </c>
      <c r="F9" s="168">
        <f ca="1">$D$1-43887-112-112-112-112-112-112-112</f>
        <v>21</v>
      </c>
      <c r="G9" s="169"/>
      <c r="H9" s="241">
        <v>5</v>
      </c>
      <c r="I9" s="171">
        <v>2.1</v>
      </c>
      <c r="J9" s="47">
        <f>LOG(I9+1)*4/3</f>
        <v>0.65514892511236356</v>
      </c>
      <c r="K9" s="48">
        <f>(H9)*(H9)*(I9)</f>
        <v>52.5</v>
      </c>
      <c r="L9" s="48">
        <f>(H9+1)*(H9+1)*I9</f>
        <v>75.600000000000009</v>
      </c>
      <c r="M9" s="213">
        <v>7</v>
      </c>
      <c r="N9" s="49">
        <f>M9*10+19</f>
        <v>89</v>
      </c>
      <c r="O9" s="175">
        <v>1.5</v>
      </c>
      <c r="P9" s="174">
        <v>7</v>
      </c>
      <c r="Q9" s="51">
        <f>(P9/7)^0.5</f>
        <v>1</v>
      </c>
      <c r="R9" s="51">
        <f>IF(P9=7,1,((P9+0.99)/7)^0.5)</f>
        <v>1</v>
      </c>
      <c r="S9" s="177">
        <v>6850</v>
      </c>
      <c r="T9" s="53">
        <f>S9-BF9</f>
        <v>490</v>
      </c>
      <c r="U9" s="177">
        <v>490</v>
      </c>
      <c r="V9" s="54">
        <f>S9/U9</f>
        <v>13.979591836734693</v>
      </c>
      <c r="W9" s="166">
        <v>0</v>
      </c>
      <c r="X9" s="166">
        <v>5</v>
      </c>
      <c r="Y9" s="166">
        <v>6</v>
      </c>
      <c r="Z9" s="166">
        <v>5</v>
      </c>
      <c r="AA9" s="166">
        <f>6+2/4</f>
        <v>6.5</v>
      </c>
      <c r="AB9" s="166">
        <v>2</v>
      </c>
      <c r="AC9" s="166">
        <v>6</v>
      </c>
      <c r="AD9" s="180">
        <v>568</v>
      </c>
      <c r="AE9" s="55">
        <f>(Y9+O9+J9)*(P9/7)^0.5</f>
        <v>8.1551489251123641</v>
      </c>
      <c r="AF9" s="55">
        <f>(Y9+O9+J9)*(IF(P9=7,(P9/7)^0.5,((P9+1)/7)^0.5))</f>
        <v>8.1551489251123641</v>
      </c>
      <c r="AG9" s="247">
        <f>(((X9+O9+J9)+(AA9+O9+J9)*2)/8)*(P9/7)^0.5</f>
        <v>3.0581808469171365</v>
      </c>
      <c r="AH9" s="247">
        <f>((AC9+J9+O9)*0.7+(AB9+J9+O9)*0.3)*(P9/7)^0.5</f>
        <v>6.9551489251123639</v>
      </c>
      <c r="AI9" s="56">
        <f>SUM(AJ9:AP9)</f>
        <v>44.5</v>
      </c>
      <c r="AJ9" s="182"/>
      <c r="AK9" s="182">
        <v>10</v>
      </c>
      <c r="AL9" s="182">
        <v>12</v>
      </c>
      <c r="AM9" s="182">
        <v>5.5</v>
      </c>
      <c r="AN9" s="182">
        <v>13</v>
      </c>
      <c r="AO9" s="182">
        <v>0</v>
      </c>
      <c r="AP9" s="182">
        <v>4</v>
      </c>
      <c r="AQ9" s="174">
        <v>1</v>
      </c>
      <c r="AR9" s="174">
        <v>3</v>
      </c>
      <c r="AS9" s="51">
        <f>IF(AQ9=4,IF(AR9=0,0.137+0.0697,0.137+0.02),IF(AQ9=3,IF(AR9=0,0.0958+0.0697,0.0958+0.02),IF(AQ9=2,IF(AR9=0,0.0415+0.0697,0.0415+0.02),IF(AQ9=1,IF(AR9=0,0.0294+0.0697,0.0294+0.02),IF(AQ9=0,IF(AR9=0,0.0063+0.0697,0.0063+0.02))))))</f>
        <v>4.9399999999999999E-2</v>
      </c>
      <c r="AT9" s="165">
        <f>AJ9+AK9*0.33+AP9</f>
        <v>7.3000000000000007</v>
      </c>
      <c r="AU9" s="165">
        <f>AK9+AL9*0.25+AP9</f>
        <v>17</v>
      </c>
      <c r="AV9" s="165">
        <f>AK9+AM9*0.33+AP9</f>
        <v>15.815</v>
      </c>
      <c r="AW9" s="165">
        <f>AK9+AM9/1.5+AP9</f>
        <v>17.666666666666664</v>
      </c>
      <c r="AX9" s="165">
        <f>AL9+AK9*0.6+AN9*0.17+AP9+AO9*0.12</f>
        <v>24.21</v>
      </c>
      <c r="AY9" s="165">
        <f>AL9+AK9*0.4+AN9*0.3+AP9+AO9*0.21</f>
        <v>23.9</v>
      </c>
      <c r="AZ9" s="165">
        <f>AL9+AK9*0.16+AN9*0.5+AP9+AO9*0.31</f>
        <v>24.1</v>
      </c>
      <c r="BA9" s="165">
        <f>AM9+AL9*0.45+AK9*0.25+AN9*0.25+AP9</f>
        <v>20.65</v>
      </c>
      <c r="BB9" s="165">
        <f>AM9+AL9*0.63+AK9*0.25+AN9*0.17+AP9</f>
        <v>21.77</v>
      </c>
      <c r="BC9" s="165">
        <f>AO9*0.6+AL9*0.4+AM9*0.15+AN9*0.5+AP9</f>
        <v>16.125</v>
      </c>
      <c r="BD9" s="165">
        <f>AO9+AL9*0.25+AM9*0.22+AN9*0.35+AP9</f>
        <v>12.76</v>
      </c>
      <c r="BE9" s="183" t="s">
        <v>226</v>
      </c>
      <c r="BF9" s="177">
        <v>6360</v>
      </c>
    </row>
    <row r="10" spans="1:58" x14ac:dyDescent="0.25">
      <c r="A10" s="201" t="s">
        <v>232</v>
      </c>
      <c r="B10" s="249">
        <f ca="1">VLOOKUP(D10,Generaciones!$A$1:$E$34,5)</f>
        <v>33</v>
      </c>
      <c r="C10" s="274" t="s">
        <v>106</v>
      </c>
      <c r="D10" s="269" t="s">
        <v>230</v>
      </c>
      <c r="E10" s="167">
        <v>21</v>
      </c>
      <c r="F10" s="168">
        <f ca="1">$D$1-44172-112-112-112-112</f>
        <v>72</v>
      </c>
      <c r="G10" s="169"/>
      <c r="H10" s="202">
        <v>0</v>
      </c>
      <c r="I10" s="171">
        <v>2</v>
      </c>
      <c r="J10" s="172">
        <f t="shared" si="25"/>
        <v>0.63616167295954995</v>
      </c>
      <c r="K10" s="173">
        <f t="shared" si="26"/>
        <v>0</v>
      </c>
      <c r="L10" s="173">
        <f t="shared" si="42"/>
        <v>2</v>
      </c>
      <c r="M10" s="213">
        <v>7</v>
      </c>
      <c r="N10" s="174">
        <f t="shared" si="27"/>
        <v>89</v>
      </c>
      <c r="O10" s="175">
        <v>1.5</v>
      </c>
      <c r="P10" s="174">
        <v>5</v>
      </c>
      <c r="Q10" s="176">
        <f t="shared" si="28"/>
        <v>0.84515425472851657</v>
      </c>
      <c r="R10" s="176">
        <f t="shared" si="29"/>
        <v>0.92504826128926143</v>
      </c>
      <c r="S10" s="216">
        <v>8170</v>
      </c>
      <c r="T10" s="178">
        <f t="shared" si="6"/>
        <v>-620</v>
      </c>
      <c r="U10" s="177">
        <v>710</v>
      </c>
      <c r="V10" s="179">
        <f t="shared" si="30"/>
        <v>11.507042253521126</v>
      </c>
      <c r="W10" s="166">
        <v>0</v>
      </c>
      <c r="X10" s="166">
        <v>6</v>
      </c>
      <c r="Y10" s="166">
        <f>5+0.5/3</f>
        <v>5.166666666666667</v>
      </c>
      <c r="Z10" s="166">
        <v>2</v>
      </c>
      <c r="AA10" s="166">
        <v>8</v>
      </c>
      <c r="AB10" s="166">
        <v>4</v>
      </c>
      <c r="AC10" s="166">
        <v>5</v>
      </c>
      <c r="AD10" s="180">
        <v>638</v>
      </c>
      <c r="AE10" s="55">
        <f t="shared" si="8"/>
        <v>6.1720164427870854</v>
      </c>
      <c r="AF10" s="55">
        <f t="shared" si="9"/>
        <v>6.76110526201456</v>
      </c>
      <c r="AG10" s="248">
        <f t="shared" si="10"/>
        <v>3.0011939980120768</v>
      </c>
      <c r="AH10" s="247">
        <f t="shared" si="11"/>
        <v>5.7776111239137764</v>
      </c>
      <c r="AI10" s="56">
        <f>SUM(AJ10:AP10)</f>
        <v>49</v>
      </c>
      <c r="AJ10" s="182">
        <v>0</v>
      </c>
      <c r="AK10" s="182">
        <v>14</v>
      </c>
      <c r="AL10" s="182">
        <v>9</v>
      </c>
      <c r="AM10" s="182">
        <v>0</v>
      </c>
      <c r="AN10" s="182">
        <v>18</v>
      </c>
      <c r="AO10" s="182">
        <v>5</v>
      </c>
      <c r="AP10" s="182">
        <v>3</v>
      </c>
      <c r="AQ10" s="174">
        <v>3</v>
      </c>
      <c r="AR10" s="174">
        <v>3</v>
      </c>
      <c r="AS10" s="176">
        <f t="shared" si="44"/>
        <v>0.1158</v>
      </c>
      <c r="AT10" s="165">
        <f>AJ10+AK10*0.33+AP10</f>
        <v>7.62</v>
      </c>
      <c r="AU10" s="165">
        <f>AK10+AL10*0.25+AP10</f>
        <v>19.25</v>
      </c>
      <c r="AV10" s="165">
        <f>AK10+AM10*0.33+AP10</f>
        <v>17</v>
      </c>
      <c r="AW10" s="165">
        <f>AK10+AM10/1.5+AP10</f>
        <v>17</v>
      </c>
      <c r="AX10" s="165">
        <f>AL10+AK10*0.6+AN10*0.17+AP10+AO10*0.12</f>
        <v>24.06</v>
      </c>
      <c r="AY10" s="165">
        <f>AL10+AK10*0.4+AN10*0.3+AP10+AO10*0.21</f>
        <v>24.05</v>
      </c>
      <c r="AZ10" s="165">
        <f>AL10+AK10*0.16+AN10*0.5+AP10+AO10*0.31</f>
        <v>24.790000000000003</v>
      </c>
      <c r="BA10" s="165">
        <f>AM10+AL10*0.45+AK10*0.25+AN10*0.25+AP10</f>
        <v>15.05</v>
      </c>
      <c r="BB10" s="165">
        <f>AM10+AL10*0.63+AK10*0.25+AN10*0.17+AP10</f>
        <v>15.23</v>
      </c>
      <c r="BC10" s="165">
        <f>AO10*0.6+AL10*0.4+AM10*0.15+AN10*0.5+AP10</f>
        <v>18.600000000000001</v>
      </c>
      <c r="BD10" s="165">
        <f>AO10+AL10*0.25+AM10*0.22+AN10*0.35+AP10</f>
        <v>16.55</v>
      </c>
      <c r="BE10" s="183" t="s">
        <v>227</v>
      </c>
      <c r="BF10" s="216">
        <v>8790</v>
      </c>
    </row>
    <row r="11" spans="1:58" x14ac:dyDescent="0.25">
      <c r="A11" s="201" t="s">
        <v>290</v>
      </c>
      <c r="B11" s="249">
        <v>35</v>
      </c>
      <c r="C11" s="274" t="s">
        <v>106</v>
      </c>
      <c r="D11" s="269" t="s">
        <v>231</v>
      </c>
      <c r="E11" s="167">
        <v>20</v>
      </c>
      <c r="F11" s="168">
        <f ca="1">$D$1-44428-176</f>
        <v>88</v>
      </c>
      <c r="G11" s="169" t="s">
        <v>112</v>
      </c>
      <c r="H11" s="202">
        <v>2</v>
      </c>
      <c r="I11" s="171">
        <v>1.1000000000000001</v>
      </c>
      <c r="J11" s="47">
        <f t="shared" si="25"/>
        <v>0.42962572631189239</v>
      </c>
      <c r="K11" s="173">
        <f t="shared" si="26"/>
        <v>4.4000000000000004</v>
      </c>
      <c r="L11" s="173">
        <f t="shared" si="42"/>
        <v>9.9</v>
      </c>
      <c r="M11" s="213">
        <v>6</v>
      </c>
      <c r="N11" s="174">
        <f t="shared" si="27"/>
        <v>79</v>
      </c>
      <c r="O11" s="175">
        <v>1.5</v>
      </c>
      <c r="P11" s="174">
        <v>6</v>
      </c>
      <c r="Q11" s="176">
        <f t="shared" si="28"/>
        <v>0.92582009977255142</v>
      </c>
      <c r="R11" s="176">
        <f t="shared" si="29"/>
        <v>0.99928545900129484</v>
      </c>
      <c r="S11" s="216">
        <v>8530</v>
      </c>
      <c r="T11" s="178">
        <f t="shared" si="6"/>
        <v>770</v>
      </c>
      <c r="U11" s="177">
        <v>690</v>
      </c>
      <c r="V11" s="179">
        <f t="shared" si="30"/>
        <v>12.362318840579711</v>
      </c>
      <c r="W11" s="166">
        <v>0</v>
      </c>
      <c r="X11" s="166">
        <v>5</v>
      </c>
      <c r="Y11" s="166">
        <v>5</v>
      </c>
      <c r="Z11" s="166">
        <v>2</v>
      </c>
      <c r="AA11" s="166">
        <v>8</v>
      </c>
      <c r="AB11" s="166">
        <v>3</v>
      </c>
      <c r="AC11" s="166">
        <v>4</v>
      </c>
      <c r="AD11" s="180">
        <v>562</v>
      </c>
      <c r="AE11" s="55">
        <f t="shared" si="8"/>
        <v>6.4155867813205152</v>
      </c>
      <c r="AF11" s="55">
        <f t="shared" si="9"/>
        <v>6.9296257263118921</v>
      </c>
      <c r="AG11" s="248">
        <f t="shared" si="10"/>
        <v>3.1002101178246071</v>
      </c>
      <c r="AH11" s="248">
        <f t="shared" si="11"/>
        <v>5.2120206516161973</v>
      </c>
      <c r="AI11" s="181">
        <f>SUM(AJ11:AP11)</f>
        <v>41</v>
      </c>
      <c r="AJ11" s="182">
        <v>0</v>
      </c>
      <c r="AK11" s="182">
        <v>10</v>
      </c>
      <c r="AL11" s="182">
        <v>9</v>
      </c>
      <c r="AM11" s="182">
        <v>0</v>
      </c>
      <c r="AN11" s="182">
        <v>18</v>
      </c>
      <c r="AO11" s="182">
        <v>2</v>
      </c>
      <c r="AP11" s="182">
        <v>2</v>
      </c>
      <c r="AQ11" s="174">
        <v>3</v>
      </c>
      <c r="AR11" s="174">
        <v>2</v>
      </c>
      <c r="AS11" s="176">
        <f t="shared" si="44"/>
        <v>0.1158</v>
      </c>
      <c r="AT11" s="165">
        <f t="shared" ref="AT11" si="45">AJ11+AK11*0.33+AP11</f>
        <v>5.3000000000000007</v>
      </c>
      <c r="AU11" s="165">
        <f t="shared" ref="AU11" si="46">AK11+AL11*0.25+AP11</f>
        <v>14.25</v>
      </c>
      <c r="AV11" s="165">
        <f t="shared" ref="AV11" si="47">AK11+AM11*0.33+AP11</f>
        <v>12</v>
      </c>
      <c r="AW11" s="165">
        <f t="shared" ref="AW11" si="48">AK11+AM11/1.5+AP11</f>
        <v>12</v>
      </c>
      <c r="AX11" s="165">
        <f t="shared" ref="AX11" si="49">AL11+AK11*0.6+AN11*0.17+AP11+AO11*0.12</f>
        <v>20.299999999999997</v>
      </c>
      <c r="AY11" s="165">
        <f t="shared" ref="AY11" si="50">AL11+AK11*0.4+AN11*0.3+AP11+AO11*0.21</f>
        <v>20.82</v>
      </c>
      <c r="AZ11" s="165">
        <f t="shared" ref="AZ11" si="51">AL11+AK11*0.16+AN11*0.5+AP11+AO11*0.31</f>
        <v>22.220000000000002</v>
      </c>
      <c r="BA11" s="165">
        <f t="shared" ref="BA11" si="52">AM11+AL11*0.45+AK11*0.25+AN11*0.25+AP11</f>
        <v>13.05</v>
      </c>
      <c r="BB11" s="165">
        <f t="shared" ref="BB11" si="53">AM11+AL11*0.63+AK11*0.25+AN11*0.17+AP11</f>
        <v>13.23</v>
      </c>
      <c r="BC11" s="165">
        <f t="shared" ref="BC11" si="54">AO11*0.6+AL11*0.4+AM11*0.15+AN11*0.5+AP11</f>
        <v>15.8</v>
      </c>
      <c r="BD11" s="165">
        <f t="shared" ref="BD11" si="55">AO11+AL11*0.25+AM11*0.22+AN11*0.35+AP11</f>
        <v>12.55</v>
      </c>
      <c r="BE11" s="183">
        <v>44339</v>
      </c>
      <c r="BF11" s="216">
        <v>7760</v>
      </c>
    </row>
    <row r="12" spans="1:58" x14ac:dyDescent="0.25">
      <c r="A12" s="62" t="s">
        <v>221</v>
      </c>
      <c r="B12" s="249">
        <f ca="1">VLOOKUP(D12,Generaciones!$A$1:$E$34,5)</f>
        <v>33</v>
      </c>
      <c r="C12" s="273" t="s">
        <v>106</v>
      </c>
      <c r="D12" s="269" t="s">
        <v>111</v>
      </c>
      <c r="E12" s="42">
        <v>24</v>
      </c>
      <c r="F12" s="43">
        <f ca="1">$D$1-43815-112-112-112-112-112-112-112</f>
        <v>93</v>
      </c>
      <c r="G12" s="44" t="s">
        <v>112</v>
      </c>
      <c r="H12" s="45">
        <v>3</v>
      </c>
      <c r="I12" s="46">
        <v>4.3</v>
      </c>
      <c r="J12" s="47">
        <f t="shared" si="0"/>
        <v>0.96570115946771873</v>
      </c>
      <c r="K12" s="48">
        <f t="shared" si="1"/>
        <v>38.699999999999996</v>
      </c>
      <c r="L12" s="48">
        <f t="shared" si="2"/>
        <v>68.8</v>
      </c>
      <c r="M12" s="212">
        <v>7.2</v>
      </c>
      <c r="N12" s="49">
        <f t="shared" si="3"/>
        <v>91</v>
      </c>
      <c r="O12" s="50">
        <v>1.5</v>
      </c>
      <c r="P12" s="49">
        <v>7</v>
      </c>
      <c r="Q12" s="51">
        <f t="shared" si="4"/>
        <v>1</v>
      </c>
      <c r="R12" s="51">
        <f t="shared" si="5"/>
        <v>1</v>
      </c>
      <c r="S12" s="52">
        <v>40130</v>
      </c>
      <c r="T12" s="53">
        <f t="shared" si="6"/>
        <v>1140</v>
      </c>
      <c r="U12" s="52">
        <v>8230</v>
      </c>
      <c r="V12" s="54">
        <f t="shared" si="7"/>
        <v>4.8760631834750914</v>
      </c>
      <c r="W12" s="166">
        <v>0</v>
      </c>
      <c r="X12" s="166">
        <v>5</v>
      </c>
      <c r="Y12" s="166">
        <f>11+6/8</f>
        <v>11.75</v>
      </c>
      <c r="Z12" s="166">
        <v>2</v>
      </c>
      <c r="AA12" s="166">
        <v>7</v>
      </c>
      <c r="AB12" s="166">
        <v>4</v>
      </c>
      <c r="AC12" s="166">
        <v>6</v>
      </c>
      <c r="AD12" s="31">
        <v>862</v>
      </c>
      <c r="AE12" s="55">
        <f t="shared" si="8"/>
        <v>14.215701159467718</v>
      </c>
      <c r="AF12" s="55">
        <f t="shared" si="9"/>
        <v>14.215701159467718</v>
      </c>
      <c r="AG12" s="247">
        <f t="shared" si="10"/>
        <v>3.2996379348003941</v>
      </c>
      <c r="AH12" s="247">
        <f t="shared" si="11"/>
        <v>7.8657011594677178</v>
      </c>
      <c r="AI12" s="56">
        <f t="shared" si="12"/>
        <v>78.5</v>
      </c>
      <c r="AJ12" s="57">
        <v>0</v>
      </c>
      <c r="AK12" s="57">
        <v>10</v>
      </c>
      <c r="AL12" s="57">
        <v>44.5</v>
      </c>
      <c r="AM12" s="57">
        <v>0</v>
      </c>
      <c r="AN12" s="57">
        <v>15</v>
      </c>
      <c r="AO12" s="57">
        <v>5</v>
      </c>
      <c r="AP12" s="57">
        <v>4</v>
      </c>
      <c r="AQ12" s="49">
        <v>2</v>
      </c>
      <c r="AR12" s="49">
        <v>3</v>
      </c>
      <c r="AS12" s="51">
        <f t="shared" si="13"/>
        <v>6.1499999999999999E-2</v>
      </c>
      <c r="AT12" s="58">
        <f t="shared" si="14"/>
        <v>7.3000000000000007</v>
      </c>
      <c r="AU12" s="58">
        <f t="shared" si="15"/>
        <v>25.125</v>
      </c>
      <c r="AV12" s="58">
        <f t="shared" si="16"/>
        <v>14</v>
      </c>
      <c r="AW12" s="58">
        <f t="shared" si="17"/>
        <v>14</v>
      </c>
      <c r="AX12" s="58">
        <f t="shared" si="18"/>
        <v>57.65</v>
      </c>
      <c r="AY12" s="58">
        <f t="shared" si="19"/>
        <v>58.05</v>
      </c>
      <c r="AZ12" s="58">
        <f t="shared" si="20"/>
        <v>59.15</v>
      </c>
      <c r="BA12" s="58">
        <f t="shared" si="21"/>
        <v>30.275000000000002</v>
      </c>
      <c r="BB12" s="58">
        <f t="shared" si="22"/>
        <v>37.085000000000001</v>
      </c>
      <c r="BC12" s="58">
        <f t="shared" si="23"/>
        <v>32.299999999999997</v>
      </c>
      <c r="BD12" s="58">
        <f t="shared" si="24"/>
        <v>25.375</v>
      </c>
      <c r="BE12" s="59">
        <v>44037</v>
      </c>
      <c r="BF12" s="52">
        <v>38990</v>
      </c>
    </row>
    <row r="13" spans="1:58" x14ac:dyDescent="0.25">
      <c r="A13" s="62" t="s">
        <v>107</v>
      </c>
      <c r="B13" s="249">
        <f ca="1">VLOOKUP(D13,Generaciones!$A$1:$E$34,5)</f>
        <v>31</v>
      </c>
      <c r="C13" s="273" t="s">
        <v>23</v>
      </c>
      <c r="D13" s="363" t="s">
        <v>108</v>
      </c>
      <c r="E13" s="42">
        <v>25</v>
      </c>
      <c r="F13" s="43">
        <f ca="1">$D$1-43855-112-112-112-112-112-112-112</f>
        <v>53</v>
      </c>
      <c r="G13" s="44" t="s">
        <v>100</v>
      </c>
      <c r="H13" s="45">
        <v>2</v>
      </c>
      <c r="I13" s="46">
        <v>6</v>
      </c>
      <c r="J13" s="47">
        <f>LOG(I13+1)*4/3</f>
        <v>1.1267973866856758</v>
      </c>
      <c r="K13" s="48">
        <f>(H13)*(H13)*(I13)</f>
        <v>24</v>
      </c>
      <c r="L13" s="48">
        <f>(H13+1)*(H13+1)*I13</f>
        <v>54</v>
      </c>
      <c r="M13" s="212">
        <v>7.1</v>
      </c>
      <c r="N13" s="49">
        <f>M13*10+19</f>
        <v>90</v>
      </c>
      <c r="O13" s="50">
        <v>1.5</v>
      </c>
      <c r="P13" s="49">
        <v>6</v>
      </c>
      <c r="Q13" s="51">
        <f>(P13/7)^0.5</f>
        <v>0.92582009977255142</v>
      </c>
      <c r="R13" s="51">
        <f>IF(P13=7,1,((P13+0.99)/7)^0.5)</f>
        <v>0.99928545900129484</v>
      </c>
      <c r="S13" s="52">
        <v>166250</v>
      </c>
      <c r="T13" s="53">
        <f t="shared" si="6"/>
        <v>4870</v>
      </c>
      <c r="U13" s="52">
        <v>33050</v>
      </c>
      <c r="V13" s="54">
        <f>S13/U13</f>
        <v>5.0302571860816947</v>
      </c>
      <c r="W13" s="166">
        <v>0</v>
      </c>
      <c r="X13" s="166">
        <v>6</v>
      </c>
      <c r="Y13" s="166">
        <f>14+9/10</f>
        <v>14.9</v>
      </c>
      <c r="Z13" s="166">
        <v>2</v>
      </c>
      <c r="AA13" s="166">
        <f>9+0/5</f>
        <v>9</v>
      </c>
      <c r="AB13" s="166">
        <f>7+0/4</f>
        <v>7</v>
      </c>
      <c r="AC13" s="166">
        <v>5</v>
      </c>
      <c r="AD13" s="31">
        <v>1364</v>
      </c>
      <c r="AE13" s="55">
        <f t="shared" si="8"/>
        <v>16.226661305234625</v>
      </c>
      <c r="AF13" s="55">
        <f t="shared" si="9"/>
        <v>17.526797386685676</v>
      </c>
      <c r="AG13" s="247">
        <f t="shared" si="10"/>
        <v>3.689438481301508</v>
      </c>
      <c r="AH13" s="247">
        <f t="shared" si="11"/>
        <v>7.6165343773498968</v>
      </c>
      <c r="AI13" s="56">
        <f>SUM(AJ13:AP13)</f>
        <v>135</v>
      </c>
      <c r="AJ13" s="57">
        <v>0</v>
      </c>
      <c r="AK13" s="57">
        <v>14</v>
      </c>
      <c r="AL13" s="57">
        <v>80</v>
      </c>
      <c r="AM13" s="57">
        <v>0</v>
      </c>
      <c r="AN13" s="57">
        <v>23</v>
      </c>
      <c r="AO13" s="57">
        <v>15</v>
      </c>
      <c r="AP13" s="57">
        <v>3</v>
      </c>
      <c r="AQ13" s="49">
        <v>0</v>
      </c>
      <c r="AR13" s="49">
        <v>1</v>
      </c>
      <c r="AS13" s="51">
        <f>IF(AQ13=4,IF(AR13=0,0.137+0.0697,0.137+0.02),IF(AQ13=3,IF(AR13=0,0.0958+0.0697,0.0958+0.02),IF(AQ13=2,IF(AR13=0,0.0415+0.0697,0.0415+0.02),IF(AQ13=1,IF(AR13=0,0.0294+0.0697,0.0294+0.02),IF(AQ13=0,IF(AR13=0,0.0063+0.0697,0.0063+0.02))))))</f>
        <v>2.63E-2</v>
      </c>
      <c r="AT13" s="58">
        <f>AJ13+AK13*0.33+AP13</f>
        <v>7.62</v>
      </c>
      <c r="AU13" s="58">
        <f>AK13+AL13*0.25+AP13</f>
        <v>37</v>
      </c>
      <c r="AV13" s="58">
        <f>AK13+AM13*0.33+AP13</f>
        <v>17</v>
      </c>
      <c r="AW13" s="58">
        <f>AK13+AM13/1.5+AP13</f>
        <v>17</v>
      </c>
      <c r="AX13" s="58">
        <f>AL13+AK13*0.6+AN13*0.17+AP13+AO13*0.12</f>
        <v>97.11</v>
      </c>
      <c r="AY13" s="58">
        <f>AL13+AK13*0.4+AN13*0.3+AP13+AO13*0.21</f>
        <v>98.65</v>
      </c>
      <c r="AZ13" s="58">
        <f>AL13+AK13*0.16+AN13*0.5+AP13+AO13*0.31</f>
        <v>101.39</v>
      </c>
      <c r="BA13" s="58">
        <f>AM13+AL13*0.45+AK13*0.25+AN13*0.25+AP13</f>
        <v>48.25</v>
      </c>
      <c r="BB13" s="58">
        <f>AM13+AL13*0.63+AK13*0.25+AN13*0.17+AP13</f>
        <v>60.81</v>
      </c>
      <c r="BC13" s="58">
        <f>AO13*0.6+AL13*0.4+AM13*0.15+AN13*0.5+AP13</f>
        <v>55.5</v>
      </c>
      <c r="BD13" s="58">
        <f>AO13+AL13*0.25+AM13*0.22+AN13*0.35+AP13</f>
        <v>46.05</v>
      </c>
      <c r="BE13" s="59" t="s">
        <v>109</v>
      </c>
      <c r="BF13" s="52">
        <v>161380</v>
      </c>
    </row>
    <row r="14" spans="1:58" x14ac:dyDescent="0.25">
      <c r="A14" s="40" t="s">
        <v>222</v>
      </c>
      <c r="B14" s="249">
        <v>31</v>
      </c>
      <c r="C14" s="273" t="s">
        <v>23</v>
      </c>
      <c r="D14" s="363" t="s">
        <v>113</v>
      </c>
      <c r="E14" s="42">
        <v>25</v>
      </c>
      <c r="F14" s="43">
        <f ca="1">$D$1-43822-112-112-112-112-112-112-112</f>
        <v>86</v>
      </c>
      <c r="G14" s="44" t="s">
        <v>102</v>
      </c>
      <c r="H14" s="45">
        <v>2</v>
      </c>
      <c r="I14" s="46">
        <v>6</v>
      </c>
      <c r="J14" s="47">
        <f>LOG(I14+1)*4/3</f>
        <v>1.1267973866856758</v>
      </c>
      <c r="K14" s="48">
        <f>(H14)*(H14)*(I14)</f>
        <v>24</v>
      </c>
      <c r="L14" s="48">
        <f>(H14+1)*(H14+1)*I14</f>
        <v>54</v>
      </c>
      <c r="M14" s="212">
        <v>7</v>
      </c>
      <c r="N14" s="49">
        <f>M14*10+19</f>
        <v>89</v>
      </c>
      <c r="O14" s="50">
        <v>1.5</v>
      </c>
      <c r="P14" s="49">
        <v>6</v>
      </c>
      <c r="Q14" s="51">
        <f>(P14/7)^0.5</f>
        <v>0.92582009977255142</v>
      </c>
      <c r="R14" s="51">
        <f>IF(P14=7,1,((P14+0.99)/7)^0.5)</f>
        <v>0.99928545900129484</v>
      </c>
      <c r="S14" s="52">
        <v>145350</v>
      </c>
      <c r="T14" s="53">
        <f t="shared" si="6"/>
        <v>4670</v>
      </c>
      <c r="U14" s="52">
        <v>29700</v>
      </c>
      <c r="V14" s="54">
        <f>S14/U14</f>
        <v>4.8939393939393936</v>
      </c>
      <c r="W14" s="166">
        <v>1</v>
      </c>
      <c r="X14" s="166">
        <v>6</v>
      </c>
      <c r="Y14" s="166">
        <f>14+6/10</f>
        <v>14.6</v>
      </c>
      <c r="Z14" s="166">
        <v>3</v>
      </c>
      <c r="AA14" s="166">
        <f>8+1/5</f>
        <v>8.1999999999999993</v>
      </c>
      <c r="AB14" s="166">
        <f>6+2/4</f>
        <v>6.5</v>
      </c>
      <c r="AC14" s="166">
        <v>6</v>
      </c>
      <c r="AD14" s="31">
        <v>1310</v>
      </c>
      <c r="AE14" s="55">
        <f t="shared" si="8"/>
        <v>15.948915275302863</v>
      </c>
      <c r="AF14" s="55">
        <f t="shared" si="9"/>
        <v>17.226797386685679</v>
      </c>
      <c r="AG14" s="247">
        <f t="shared" si="10"/>
        <v>3.5042744613469976</v>
      </c>
      <c r="AH14" s="247">
        <f t="shared" si="11"/>
        <v>8.1257354322247988</v>
      </c>
      <c r="AI14" s="56">
        <f>SUM(AJ14:AP14)</f>
        <v>130.5</v>
      </c>
      <c r="AJ14" s="57">
        <v>0</v>
      </c>
      <c r="AK14" s="57">
        <v>14</v>
      </c>
      <c r="AL14" s="57">
        <v>77</v>
      </c>
      <c r="AM14" s="57">
        <v>1.5</v>
      </c>
      <c r="AN14" s="57">
        <v>20</v>
      </c>
      <c r="AO14" s="57">
        <v>14</v>
      </c>
      <c r="AP14" s="57">
        <v>4</v>
      </c>
      <c r="AQ14" s="49">
        <v>1</v>
      </c>
      <c r="AR14" s="49">
        <v>1</v>
      </c>
      <c r="AS14" s="51">
        <f>IF(AQ14=4,IF(AR14=0,0.137+0.0697,0.137+0.02),IF(AQ14=3,IF(AR14=0,0.0958+0.0697,0.0958+0.02),IF(AQ14=2,IF(AR14=0,0.0415+0.0697,0.0415+0.02),IF(AQ14=1,IF(AR14=0,0.0294+0.0697,0.0294+0.02),IF(AQ14=0,IF(AR14=0,0.0063+0.0697,0.0063+0.02))))))</f>
        <v>4.9399999999999999E-2</v>
      </c>
      <c r="AT14" s="58">
        <f>AJ14+AK14*0.33+AP14</f>
        <v>8.620000000000001</v>
      </c>
      <c r="AU14" s="58">
        <f>AK14+AL14*0.25+AP14</f>
        <v>37.25</v>
      </c>
      <c r="AV14" s="58">
        <f>AK14+AM14*0.33+AP14</f>
        <v>18.494999999999997</v>
      </c>
      <c r="AW14" s="58">
        <f>AK14+AM14/1.5+AP14</f>
        <v>19</v>
      </c>
      <c r="AX14" s="58">
        <f>AL14+AK14*0.6+AN14*0.17+AP14+AO14*0.12</f>
        <v>94.480000000000018</v>
      </c>
      <c r="AY14" s="58">
        <f>AL14+AK14*0.4+AN14*0.3+AP14+AO14*0.21</f>
        <v>95.539999999999992</v>
      </c>
      <c r="AZ14" s="58">
        <f>AL14+AK14*0.16+AN14*0.5+AP14+AO14*0.31</f>
        <v>97.58</v>
      </c>
      <c r="BA14" s="58">
        <f>AM14+AL14*0.45+AK14*0.25+AN14*0.25+AP14</f>
        <v>48.65</v>
      </c>
      <c r="BB14" s="58">
        <f>AM14+AL14*0.63+AK14*0.25+AN14*0.17+AP14</f>
        <v>60.91</v>
      </c>
      <c r="BC14" s="58">
        <f>AO14*0.6+AL14*0.4+AM14*0.15+AN14*0.5+AP14</f>
        <v>53.425000000000004</v>
      </c>
      <c r="BD14" s="58">
        <f>AO14+AL14*0.25+AM14*0.22+AN14*0.35+AP14</f>
        <v>44.58</v>
      </c>
      <c r="BE14" s="59" t="s">
        <v>114</v>
      </c>
      <c r="BF14" s="52">
        <v>140680</v>
      </c>
    </row>
    <row r="15" spans="1:58" x14ac:dyDescent="0.25">
      <c r="A15" s="62" t="s">
        <v>223</v>
      </c>
      <c r="B15" s="249">
        <v>34</v>
      </c>
      <c r="C15" s="274" t="s">
        <v>23</v>
      </c>
      <c r="D15" s="363" t="s">
        <v>146</v>
      </c>
      <c r="E15" s="167">
        <v>22</v>
      </c>
      <c r="F15" s="168">
        <f ca="1">$D$1-44049-112-112-112-112-112</f>
        <v>83</v>
      </c>
      <c r="G15" s="169"/>
      <c r="H15" s="170">
        <v>3</v>
      </c>
      <c r="I15" s="171">
        <v>8</v>
      </c>
      <c r="J15" s="172">
        <f t="shared" si="0"/>
        <v>1.2723233459190999</v>
      </c>
      <c r="K15" s="173">
        <f t="shared" si="1"/>
        <v>72</v>
      </c>
      <c r="L15" s="173">
        <f t="shared" si="2"/>
        <v>128</v>
      </c>
      <c r="M15" s="213">
        <v>7.2</v>
      </c>
      <c r="N15" s="174">
        <f t="shared" si="3"/>
        <v>91</v>
      </c>
      <c r="O15" s="175">
        <v>1.5</v>
      </c>
      <c r="P15" s="174">
        <v>7</v>
      </c>
      <c r="Q15" s="176">
        <f t="shared" si="4"/>
        <v>1</v>
      </c>
      <c r="R15" s="176">
        <f t="shared" si="5"/>
        <v>1</v>
      </c>
      <c r="S15" s="216">
        <v>198010</v>
      </c>
      <c r="T15" s="178">
        <f t="shared" si="6"/>
        <v>63720</v>
      </c>
      <c r="U15" s="177">
        <v>40850</v>
      </c>
      <c r="V15" s="179">
        <f t="shared" si="7"/>
        <v>4.8472460220318236</v>
      </c>
      <c r="W15" s="166">
        <v>0</v>
      </c>
      <c r="X15" s="166">
        <v>4</v>
      </c>
      <c r="Y15" s="166">
        <f>15+8/15</f>
        <v>15.533333333333333</v>
      </c>
      <c r="Z15" s="166">
        <f>7+3/4</f>
        <v>7.75</v>
      </c>
      <c r="AA15" s="166">
        <f>8+0/5</f>
        <v>8</v>
      </c>
      <c r="AB15" s="166">
        <v>4</v>
      </c>
      <c r="AC15" s="166">
        <v>9</v>
      </c>
      <c r="AD15" s="180">
        <v>1387</v>
      </c>
      <c r="AE15" s="55">
        <f t="shared" si="8"/>
        <v>18.305656679252433</v>
      </c>
      <c r="AF15" s="55">
        <f t="shared" si="9"/>
        <v>18.305656679252433</v>
      </c>
      <c r="AG15" s="247">
        <f t="shared" si="10"/>
        <v>3.5396212547196626</v>
      </c>
      <c r="AH15" s="247">
        <f t="shared" si="11"/>
        <v>10.272323345919098</v>
      </c>
      <c r="AI15" s="181">
        <f t="shared" si="12"/>
        <v>143.5</v>
      </c>
      <c r="AJ15" s="182">
        <v>0</v>
      </c>
      <c r="AK15" s="182">
        <v>6</v>
      </c>
      <c r="AL15" s="182">
        <v>89</v>
      </c>
      <c r="AM15" s="182">
        <v>13.5</v>
      </c>
      <c r="AN15" s="182">
        <v>23</v>
      </c>
      <c r="AO15" s="182">
        <v>5</v>
      </c>
      <c r="AP15" s="182">
        <v>7</v>
      </c>
      <c r="AQ15" s="174">
        <v>1</v>
      </c>
      <c r="AR15" s="174">
        <v>3</v>
      </c>
      <c r="AS15" s="176">
        <f t="shared" si="13"/>
        <v>4.9399999999999999E-2</v>
      </c>
      <c r="AT15" s="165">
        <f t="shared" si="14"/>
        <v>8.98</v>
      </c>
      <c r="AU15" s="165">
        <f t="shared" si="15"/>
        <v>35.25</v>
      </c>
      <c r="AV15" s="165">
        <f t="shared" si="16"/>
        <v>17.454999999999998</v>
      </c>
      <c r="AW15" s="165">
        <f t="shared" si="17"/>
        <v>22</v>
      </c>
      <c r="AX15" s="165">
        <f t="shared" si="18"/>
        <v>104.10999999999999</v>
      </c>
      <c r="AY15" s="165">
        <f t="shared" si="19"/>
        <v>106.35000000000001</v>
      </c>
      <c r="AZ15" s="165">
        <f t="shared" si="20"/>
        <v>110.00999999999999</v>
      </c>
      <c r="BA15" s="165">
        <f t="shared" si="21"/>
        <v>67.800000000000011</v>
      </c>
      <c r="BB15" s="165">
        <f t="shared" si="22"/>
        <v>81.97999999999999</v>
      </c>
      <c r="BC15" s="165">
        <f t="shared" si="23"/>
        <v>59.125</v>
      </c>
      <c r="BD15" s="165">
        <f t="shared" si="24"/>
        <v>45.269999999999996</v>
      </c>
      <c r="BE15" s="183">
        <v>44054</v>
      </c>
      <c r="BF15" s="216">
        <v>134290</v>
      </c>
    </row>
    <row r="16" spans="1:58" x14ac:dyDescent="0.25">
      <c r="A16" s="40" t="s">
        <v>120</v>
      </c>
      <c r="B16" s="249">
        <v>33</v>
      </c>
      <c r="C16" s="273" t="s">
        <v>23</v>
      </c>
      <c r="D16" s="363" t="s">
        <v>121</v>
      </c>
      <c r="E16" s="42">
        <v>23</v>
      </c>
      <c r="F16" s="43">
        <f ca="1">$D$1-43976-112-112-112-112-112-112</f>
        <v>44</v>
      </c>
      <c r="G16" s="44"/>
      <c r="H16" s="45">
        <v>2</v>
      </c>
      <c r="I16" s="46">
        <v>5</v>
      </c>
      <c r="J16" s="47">
        <f t="shared" si="0"/>
        <v>1.0375350005115249</v>
      </c>
      <c r="K16" s="48">
        <f t="shared" si="1"/>
        <v>20</v>
      </c>
      <c r="L16" s="48">
        <f t="shared" si="2"/>
        <v>45</v>
      </c>
      <c r="M16" s="212">
        <v>7.1</v>
      </c>
      <c r="N16" s="49">
        <f t="shared" si="3"/>
        <v>90</v>
      </c>
      <c r="O16" s="50">
        <v>1.5</v>
      </c>
      <c r="P16" s="49">
        <v>6</v>
      </c>
      <c r="Q16" s="51">
        <f t="shared" si="4"/>
        <v>0.92582009977255142</v>
      </c>
      <c r="R16" s="51">
        <f t="shared" si="5"/>
        <v>0.99928545900129484</v>
      </c>
      <c r="S16" s="200">
        <v>168840</v>
      </c>
      <c r="T16" s="53">
        <f t="shared" si="6"/>
        <v>11700</v>
      </c>
      <c r="U16" s="52">
        <v>43450</v>
      </c>
      <c r="V16" s="54">
        <f t="shared" si="7"/>
        <v>3.8858457997698506</v>
      </c>
      <c r="W16" s="166">
        <v>0</v>
      </c>
      <c r="X16" s="166">
        <v>4</v>
      </c>
      <c r="Y16" s="166">
        <f>15+9/13</f>
        <v>15.692307692307692</v>
      </c>
      <c r="Z16" s="166">
        <v>2</v>
      </c>
      <c r="AA16" s="166">
        <f>8+1/5</f>
        <v>8.1999999999999993</v>
      </c>
      <c r="AB16" s="166">
        <f>3+1/3</f>
        <v>3.3333333333333335</v>
      </c>
      <c r="AC16" s="166">
        <v>7</v>
      </c>
      <c r="AD16" s="31">
        <v>1242</v>
      </c>
      <c r="AE16" s="55">
        <f t="shared" si="8"/>
        <v>16.877554780703807</v>
      </c>
      <c r="AF16" s="55">
        <f t="shared" si="9"/>
        <v>18.229842692819219</v>
      </c>
      <c r="AG16" s="247">
        <f t="shared" si="10"/>
        <v>3.2418290946762265</v>
      </c>
      <c r="AH16" s="247">
        <f t="shared" si="11"/>
        <v>7.8116394960079738</v>
      </c>
      <c r="AI16" s="56">
        <f t="shared" si="12"/>
        <v>126</v>
      </c>
      <c r="AJ16" s="57">
        <v>0</v>
      </c>
      <c r="AK16" s="57">
        <v>6</v>
      </c>
      <c r="AL16" s="57">
        <v>92</v>
      </c>
      <c r="AM16" s="57">
        <v>0</v>
      </c>
      <c r="AN16" s="57">
        <v>20</v>
      </c>
      <c r="AO16" s="57">
        <v>4</v>
      </c>
      <c r="AP16" s="57">
        <v>4</v>
      </c>
      <c r="AQ16" s="49">
        <v>3</v>
      </c>
      <c r="AR16" s="49">
        <v>1</v>
      </c>
      <c r="AS16" s="51">
        <f t="shared" si="13"/>
        <v>0.1158</v>
      </c>
      <c r="AT16" s="58">
        <f t="shared" si="14"/>
        <v>5.98</v>
      </c>
      <c r="AU16" s="58">
        <f t="shared" si="15"/>
        <v>33</v>
      </c>
      <c r="AV16" s="58">
        <f t="shared" si="16"/>
        <v>10</v>
      </c>
      <c r="AW16" s="58">
        <f t="shared" si="17"/>
        <v>10</v>
      </c>
      <c r="AX16" s="58">
        <f t="shared" si="18"/>
        <v>103.48</v>
      </c>
      <c r="AY16" s="58">
        <f t="shared" si="19"/>
        <v>105.24000000000001</v>
      </c>
      <c r="AZ16" s="58">
        <f t="shared" si="20"/>
        <v>108.19999999999999</v>
      </c>
      <c r="BA16" s="58">
        <f t="shared" si="21"/>
        <v>51.9</v>
      </c>
      <c r="BB16" s="58">
        <f t="shared" si="22"/>
        <v>66.86</v>
      </c>
      <c r="BC16" s="58">
        <f t="shared" si="23"/>
        <v>53.2</v>
      </c>
      <c r="BD16" s="58">
        <f t="shared" si="24"/>
        <v>38</v>
      </c>
      <c r="BE16" s="59">
        <v>44024</v>
      </c>
      <c r="BF16" s="200">
        <v>157140</v>
      </c>
    </row>
    <row r="17" spans="1:58" x14ac:dyDescent="0.25">
      <c r="A17" s="62" t="s">
        <v>123</v>
      </c>
      <c r="B17" s="249">
        <v>32</v>
      </c>
      <c r="C17" s="273" t="s">
        <v>18</v>
      </c>
      <c r="D17" s="269" t="s">
        <v>115</v>
      </c>
      <c r="E17" s="42">
        <v>24</v>
      </c>
      <c r="F17" s="43">
        <f ca="1">$D$1-43974-112-112-112-112-112-112</f>
        <v>46</v>
      </c>
      <c r="G17" s="44" t="s">
        <v>116</v>
      </c>
      <c r="H17" s="63">
        <v>1</v>
      </c>
      <c r="I17" s="46">
        <v>5</v>
      </c>
      <c r="J17" s="47">
        <f>LOG(I17+1)*4/3</f>
        <v>1.0375350005115249</v>
      </c>
      <c r="K17" s="48">
        <f>(H17)*(H17)*(I17)</f>
        <v>5</v>
      </c>
      <c r="L17" s="48">
        <f>(H17+1)*(H17+1)*I17</f>
        <v>20</v>
      </c>
      <c r="M17" s="212">
        <v>7.4</v>
      </c>
      <c r="N17" s="49">
        <f>M17*10+19</f>
        <v>93</v>
      </c>
      <c r="O17" s="50">
        <v>1.5</v>
      </c>
      <c r="P17" s="49">
        <v>7</v>
      </c>
      <c r="Q17" s="51">
        <f>(P17/7)^0.5</f>
        <v>1</v>
      </c>
      <c r="R17" s="51">
        <f>IF(P17=7,1,((P17+0.99)/7)^0.5)</f>
        <v>1</v>
      </c>
      <c r="S17" s="200">
        <v>135510</v>
      </c>
      <c r="T17" s="53">
        <f t="shared" si="6"/>
        <v>7010</v>
      </c>
      <c r="U17" s="52">
        <v>24660</v>
      </c>
      <c r="V17" s="54">
        <f>S17/U17</f>
        <v>5.495133819951338</v>
      </c>
      <c r="W17" s="166">
        <v>0</v>
      </c>
      <c r="X17" s="166">
        <v>4</v>
      </c>
      <c r="Y17" s="166">
        <f>14+2/12</f>
        <v>14.166666666666666</v>
      </c>
      <c r="Z17" s="166">
        <f>8+1/5</f>
        <v>8.1999999999999993</v>
      </c>
      <c r="AA17" s="166">
        <v>8</v>
      </c>
      <c r="AB17" s="166">
        <f>6+0/3</f>
        <v>6</v>
      </c>
      <c r="AC17" s="166">
        <v>6</v>
      </c>
      <c r="AD17" s="31">
        <v>1343</v>
      </c>
      <c r="AE17" s="55">
        <f t="shared" si="8"/>
        <v>16.704201667178189</v>
      </c>
      <c r="AF17" s="55">
        <f t="shared" si="9"/>
        <v>16.704201667178189</v>
      </c>
      <c r="AG17" s="247">
        <f t="shared" si="10"/>
        <v>3.4515756251918219</v>
      </c>
      <c r="AH17" s="247">
        <f t="shared" si="11"/>
        <v>8.5375350005115251</v>
      </c>
      <c r="AI17" s="56">
        <f>SUM(AJ17:AP17)</f>
        <v>130.5</v>
      </c>
      <c r="AJ17" s="57">
        <v>0</v>
      </c>
      <c r="AK17" s="57">
        <v>6</v>
      </c>
      <c r="AL17" s="57">
        <v>70</v>
      </c>
      <c r="AM17" s="57">
        <v>15.5</v>
      </c>
      <c r="AN17" s="57">
        <v>23</v>
      </c>
      <c r="AO17" s="57">
        <v>12</v>
      </c>
      <c r="AP17" s="57">
        <v>4</v>
      </c>
      <c r="AQ17" s="49">
        <v>2</v>
      </c>
      <c r="AR17" s="49">
        <v>2</v>
      </c>
      <c r="AS17" s="51">
        <f>IF(AQ17=4,IF(AR17=0,0.137+0.0697,0.137+0.02),IF(AQ17=3,IF(AR17=0,0.0958+0.0697,0.0958+0.02),IF(AQ17=2,IF(AR17=0,0.0415+0.0697,0.0415+0.02),IF(AQ17=1,IF(AR17=0,0.0294+0.0697,0.0294+0.02),IF(AQ17=0,IF(AR17=0,0.0063+0.0697,0.0063+0.02))))))</f>
        <v>6.1499999999999999E-2</v>
      </c>
      <c r="AT17" s="58">
        <f>AJ17+AK17*0.33+AP17</f>
        <v>5.98</v>
      </c>
      <c r="AU17" s="58">
        <f>AK17+AL17*0.25+AP17</f>
        <v>27.5</v>
      </c>
      <c r="AV17" s="58">
        <f>AK17+AM17*0.33+AP17</f>
        <v>15.115</v>
      </c>
      <c r="AW17" s="58">
        <f>AK17+AM17/1.5+AP17</f>
        <v>20.333333333333336</v>
      </c>
      <c r="AX17" s="58">
        <f>AL17+AK17*0.6+AN17*0.17+AP17+AO17*0.12</f>
        <v>82.949999999999989</v>
      </c>
      <c r="AY17" s="58">
        <f>AL17+AK17*0.4+AN17*0.3+AP17+AO17*0.21</f>
        <v>85.820000000000007</v>
      </c>
      <c r="AZ17" s="58">
        <f>AL17+AK17*0.16+AN17*0.5+AP17+AO17*0.31</f>
        <v>90.179999999999993</v>
      </c>
      <c r="BA17" s="58">
        <f>AM17+AL17*0.45+AK17*0.25+AN17*0.25+AP17</f>
        <v>58.25</v>
      </c>
      <c r="BB17" s="58">
        <f>AM17+AL17*0.63+AK17*0.25+AN17*0.17+AP17</f>
        <v>69.010000000000005</v>
      </c>
      <c r="BC17" s="58">
        <f>AO17*0.6+AL17*0.4+AM17*0.15+AN17*0.5+AP17</f>
        <v>53.025000000000006</v>
      </c>
      <c r="BD17" s="58">
        <f>AO17+AL17*0.25+AM17*0.22+AN17*0.35+AP17</f>
        <v>44.959999999999994</v>
      </c>
      <c r="BE17" s="59" t="s">
        <v>117</v>
      </c>
      <c r="BF17" s="200">
        <v>128500</v>
      </c>
    </row>
    <row r="18" spans="1:58" x14ac:dyDescent="0.25">
      <c r="A18" s="40" t="s">
        <v>118</v>
      </c>
      <c r="B18" s="249">
        <f ca="1">VLOOKUP(D18,Generaciones!$A$1:$E$34,5)</f>
        <v>33</v>
      </c>
      <c r="C18" s="273" t="s">
        <v>18</v>
      </c>
      <c r="D18" s="269" t="s">
        <v>119</v>
      </c>
      <c r="E18" s="42">
        <v>23</v>
      </c>
      <c r="F18" s="43">
        <f ca="1">$D$1-43955-112-112-112-112-112-112</f>
        <v>65</v>
      </c>
      <c r="G18" s="44" t="s">
        <v>116</v>
      </c>
      <c r="H18" s="45">
        <v>2</v>
      </c>
      <c r="I18" s="46">
        <v>4</v>
      </c>
      <c r="J18" s="47">
        <f>LOG(I18+1)*4/3</f>
        <v>0.93196000578135851</v>
      </c>
      <c r="K18" s="48">
        <f>(H18)*(H18)*(I18)</f>
        <v>16</v>
      </c>
      <c r="L18" s="48">
        <f>(H18+1)*(H18+1)*I18</f>
        <v>36</v>
      </c>
      <c r="M18" s="212">
        <v>7.2</v>
      </c>
      <c r="N18" s="49">
        <f>M18*10+19</f>
        <v>91</v>
      </c>
      <c r="O18" s="50">
        <v>1.5</v>
      </c>
      <c r="P18" s="49">
        <v>7</v>
      </c>
      <c r="Q18" s="51">
        <f>(P18/7)^0.5</f>
        <v>1</v>
      </c>
      <c r="R18" s="51">
        <f>IF(P18=7,1,((P18+0.99)/7)^0.5)</f>
        <v>1</v>
      </c>
      <c r="S18" s="362">
        <v>90720</v>
      </c>
      <c r="T18" s="53">
        <f t="shared" si="6"/>
        <v>-15840</v>
      </c>
      <c r="U18" s="52">
        <v>22560</v>
      </c>
      <c r="V18" s="54">
        <f>S18/U18</f>
        <v>4.0212765957446805</v>
      </c>
      <c r="W18" s="166">
        <v>0</v>
      </c>
      <c r="X18" s="166">
        <v>4</v>
      </c>
      <c r="Y18" s="166">
        <f>13+9.5/10</f>
        <v>13.95</v>
      </c>
      <c r="Z18" s="166">
        <f>8+3/5</f>
        <v>8.6</v>
      </c>
      <c r="AA18" s="166">
        <f>6+1/4</f>
        <v>6.25</v>
      </c>
      <c r="AB18" s="166">
        <f>5+0/3</f>
        <v>5</v>
      </c>
      <c r="AC18" s="166">
        <v>4</v>
      </c>
      <c r="AD18" s="31">
        <v>1126</v>
      </c>
      <c r="AE18" s="55">
        <f t="shared" si="8"/>
        <v>16.381960005781359</v>
      </c>
      <c r="AF18" s="55">
        <f t="shared" si="9"/>
        <v>16.381960005781359</v>
      </c>
      <c r="AG18" s="247">
        <f t="shared" si="10"/>
        <v>2.9744850021680094</v>
      </c>
      <c r="AH18" s="247">
        <f t="shared" si="11"/>
        <v>6.7319600057813584</v>
      </c>
      <c r="AI18" s="56">
        <f>SUM(AJ18:AP18)</f>
        <v>114.5</v>
      </c>
      <c r="AJ18" s="57">
        <v>0</v>
      </c>
      <c r="AK18" s="57">
        <v>6</v>
      </c>
      <c r="AL18" s="57">
        <v>69</v>
      </c>
      <c r="AM18" s="57">
        <v>17.5</v>
      </c>
      <c r="AN18" s="57">
        <v>12</v>
      </c>
      <c r="AO18" s="57">
        <v>8</v>
      </c>
      <c r="AP18" s="57">
        <v>2</v>
      </c>
      <c r="AQ18" s="49">
        <v>2</v>
      </c>
      <c r="AR18" s="49">
        <v>1</v>
      </c>
      <c r="AS18" s="51">
        <f>IF(AQ18=4,IF(AR18=0,0.137+0.0697,0.137+0.02),IF(AQ18=3,IF(AR18=0,0.0958+0.0697,0.0958+0.02),IF(AQ18=2,IF(AR18=0,0.0415+0.0697,0.0415+0.02),IF(AQ18=1,IF(AR18=0,0.0294+0.0697,0.0294+0.02),IF(AQ18=0,IF(AR18=0,0.0063+0.0697,0.0063+0.02))))))</f>
        <v>6.1499999999999999E-2</v>
      </c>
      <c r="AT18" s="58">
        <f>AJ18+AK18*0.33+AP18</f>
        <v>3.98</v>
      </c>
      <c r="AU18" s="58">
        <f>AK18+AL18*0.25+AP18</f>
        <v>25.25</v>
      </c>
      <c r="AV18" s="58">
        <f>AK18+AM18*0.33+AP18</f>
        <v>13.775</v>
      </c>
      <c r="AW18" s="58">
        <f>AK18+AM18/1.5+AP18</f>
        <v>19.666666666666664</v>
      </c>
      <c r="AX18" s="58">
        <f>AL18+AK18*0.6+AN18*0.17+AP18+AO18*0.12</f>
        <v>77.599999999999994</v>
      </c>
      <c r="AY18" s="58">
        <f>AL18+AK18*0.4+AN18*0.3+AP18+AO18*0.21</f>
        <v>78.680000000000007</v>
      </c>
      <c r="AZ18" s="58">
        <f>AL18+AK18*0.16+AN18*0.5+AP18+AO18*0.31</f>
        <v>80.44</v>
      </c>
      <c r="BA18" s="58">
        <f>AM18+AL18*0.45+AK18*0.25+AN18*0.25+AP18</f>
        <v>55.05</v>
      </c>
      <c r="BB18" s="58">
        <f>AM18+AL18*0.63+AK18*0.25+AN18*0.17+AP18</f>
        <v>66.510000000000005</v>
      </c>
      <c r="BC18" s="58">
        <f>AO18*0.6+AL18*0.4+AM18*0.15+AN18*0.5+AP18</f>
        <v>43.024999999999999</v>
      </c>
      <c r="BD18" s="58">
        <f>AO18+AL18*0.25+AM18*0.22+AN18*0.35+AP18</f>
        <v>35.299999999999997</v>
      </c>
      <c r="BE18" s="59">
        <v>43867</v>
      </c>
      <c r="BF18" s="52">
        <v>106560</v>
      </c>
    </row>
    <row r="19" spans="1:58" x14ac:dyDescent="0.25">
      <c r="A19" s="40" t="s">
        <v>126</v>
      </c>
      <c r="B19" s="249">
        <f ca="1">VLOOKUP(D19,Generaciones!$A$1:$E$34,5)</f>
        <v>33</v>
      </c>
      <c r="C19" s="273" t="s">
        <v>18</v>
      </c>
      <c r="D19" s="269" t="s">
        <v>104</v>
      </c>
      <c r="E19" s="42">
        <v>24</v>
      </c>
      <c r="F19" s="43">
        <f ca="1">$D$1-43885-112-112-112-112-112-112-112</f>
        <v>23</v>
      </c>
      <c r="G19" s="44"/>
      <c r="H19" s="61">
        <v>5</v>
      </c>
      <c r="I19" s="46">
        <v>5</v>
      </c>
      <c r="J19" s="47">
        <f>LOG(I19+1)*4/3</f>
        <v>1.0375350005115249</v>
      </c>
      <c r="K19" s="48">
        <f>(H19)*(H19)*(I19)</f>
        <v>125</v>
      </c>
      <c r="L19" s="48">
        <f>(H19+1)*(H19+1)*I19</f>
        <v>180</v>
      </c>
      <c r="M19" s="212">
        <v>7</v>
      </c>
      <c r="N19" s="49">
        <f>M19*10+19</f>
        <v>89</v>
      </c>
      <c r="O19" s="50">
        <v>1.5</v>
      </c>
      <c r="P19" s="49">
        <v>5</v>
      </c>
      <c r="Q19" s="51">
        <f>(P19/7)^0.5</f>
        <v>0.84515425472851657</v>
      </c>
      <c r="R19" s="51">
        <f>IF(P19=7,1,((P19+0.99)/7)^0.5)</f>
        <v>0.92504826128926143</v>
      </c>
      <c r="S19" s="200">
        <v>17200</v>
      </c>
      <c r="T19" s="53">
        <f>S19-BF19</f>
        <v>920</v>
      </c>
      <c r="U19" s="52">
        <v>1750</v>
      </c>
      <c r="V19" s="54">
        <f>S19/U19</f>
        <v>9.8285714285714292</v>
      </c>
      <c r="W19" s="166">
        <v>1</v>
      </c>
      <c r="X19" s="166">
        <v>5</v>
      </c>
      <c r="Y19" s="166">
        <f>9+0/7</f>
        <v>9</v>
      </c>
      <c r="Z19" s="166">
        <v>6</v>
      </c>
      <c r="AA19" s="166">
        <f>6+2/4</f>
        <v>6.5</v>
      </c>
      <c r="AB19" s="166">
        <f>6+1/4</f>
        <v>6.25</v>
      </c>
      <c r="AC19" s="166">
        <v>5</v>
      </c>
      <c r="AD19" s="31">
        <v>836</v>
      </c>
      <c r="AE19" s="55">
        <f>(Y19+O19+J19)*(P19/7)^0.5</f>
        <v>9.7509967947614928</v>
      </c>
      <c r="AF19" s="55">
        <f>(Y19+O19+J19)*(IF(P19=7,(P19/7)^0.5,((P19+1)/7)^0.5))</f>
        <v>10.681681805302885</v>
      </c>
      <c r="AG19" s="247">
        <f>(((X19+O19+J19)+(AA19+O19+J19)*2)/8)*(P19/7)^0.5</f>
        <v>2.7058252614659786</v>
      </c>
      <c r="AH19" s="247">
        <f>((AC19+J19+O19)*0.7+(AB19+J19+O19)*0.3)*(P19/7)^0.5</f>
        <v>6.6873126213706202</v>
      </c>
      <c r="AI19" s="56">
        <f>SUM(AJ19:AP19)</f>
        <v>73.5</v>
      </c>
      <c r="AJ19" s="57">
        <v>0</v>
      </c>
      <c r="AK19" s="57">
        <v>11</v>
      </c>
      <c r="AL19" s="57">
        <v>26</v>
      </c>
      <c r="AM19" s="57">
        <v>8.5</v>
      </c>
      <c r="AN19" s="57">
        <v>12</v>
      </c>
      <c r="AO19" s="57">
        <v>13</v>
      </c>
      <c r="AP19" s="57">
        <v>3</v>
      </c>
      <c r="AQ19" s="49">
        <v>4</v>
      </c>
      <c r="AR19" s="49">
        <v>3</v>
      </c>
      <c r="AS19" s="51">
        <f>IF(AQ19=4,IF(AR19=0,0.137+0.0697,0.137+0.02),IF(AQ19=3,IF(AR19=0,0.0958+0.0697,0.0958+0.02),IF(AQ19=2,IF(AR19=0,0.0415+0.0697,0.0415+0.02),IF(AQ19=1,IF(AR19=0,0.0294+0.0697,0.0294+0.02),IF(AQ19=0,IF(AR19=0,0.0063+0.0697,0.0063+0.02))))))</f>
        <v>0.157</v>
      </c>
      <c r="AT19" s="58">
        <f>AJ19+AK19*0.33+AP19</f>
        <v>6.6300000000000008</v>
      </c>
      <c r="AU19" s="58">
        <f>AK19+AL19*0.25+AP19</f>
        <v>20.5</v>
      </c>
      <c r="AV19" s="58">
        <f>AK19+AM19*0.33+AP19</f>
        <v>16.805</v>
      </c>
      <c r="AW19" s="58">
        <f>AK19+AM19/1.5+AP19</f>
        <v>19.666666666666668</v>
      </c>
      <c r="AX19" s="58">
        <f>AL19+AK19*0.6+AN19*0.17+AP19+AO19*0.12</f>
        <v>39.200000000000003</v>
      </c>
      <c r="AY19" s="58">
        <f>AL19+AK19*0.4+AN19*0.3+AP19+AO19*0.21</f>
        <v>39.729999999999997</v>
      </c>
      <c r="AZ19" s="58">
        <f>AL19+AK19*0.16+AN19*0.5+AP19+AO19*0.31</f>
        <v>40.790000000000006</v>
      </c>
      <c r="BA19" s="58">
        <f>AM19+AL19*0.45+AK19*0.25+AN19*0.25+AP19</f>
        <v>28.950000000000003</v>
      </c>
      <c r="BB19" s="58">
        <f>AM19+AL19*0.63+AK19*0.25+AN19*0.17+AP19</f>
        <v>32.67</v>
      </c>
      <c r="BC19" s="58">
        <f>AO19*0.6+AL19*0.4+AM19*0.15+AN19*0.5+AP19</f>
        <v>28.474999999999998</v>
      </c>
      <c r="BD19" s="58">
        <f>AO19+AL19*0.25+AM19*0.22+AN19*0.35+AP19</f>
        <v>28.57</v>
      </c>
      <c r="BE19" s="59" t="s">
        <v>105</v>
      </c>
      <c r="BF19" s="200">
        <v>16280</v>
      </c>
    </row>
    <row r="20" spans="1:58" x14ac:dyDescent="0.25">
      <c r="A20" s="40" t="s">
        <v>259</v>
      </c>
      <c r="B20" s="249">
        <f ca="1">VLOOKUP(D20,Generaciones!$A$1:$E$34,5)</f>
        <v>33</v>
      </c>
      <c r="C20" s="274" t="s">
        <v>12</v>
      </c>
      <c r="D20" s="363" t="s">
        <v>269</v>
      </c>
      <c r="E20" s="167">
        <v>18</v>
      </c>
      <c r="F20" s="168">
        <f ca="1">$D$1-44482-112</f>
        <v>98</v>
      </c>
      <c r="G20" s="169" t="s">
        <v>367</v>
      </c>
      <c r="H20" s="241">
        <v>5</v>
      </c>
      <c r="I20" s="171">
        <v>1.1000000000000001</v>
      </c>
      <c r="J20" s="47">
        <f t="shared" ref="J20" si="56">LOG(I20+1)*4/3</f>
        <v>0.42962572631189239</v>
      </c>
      <c r="K20" s="173">
        <f t="shared" si="1"/>
        <v>27.500000000000004</v>
      </c>
      <c r="L20" s="173">
        <f t="shared" si="2"/>
        <v>39.6</v>
      </c>
      <c r="M20" s="213">
        <v>6</v>
      </c>
      <c r="N20" s="174">
        <f t="shared" si="3"/>
        <v>79</v>
      </c>
      <c r="O20" s="175">
        <v>1.5</v>
      </c>
      <c r="P20" s="174">
        <v>7</v>
      </c>
      <c r="Q20" s="176">
        <f t="shared" si="4"/>
        <v>1</v>
      </c>
      <c r="R20" s="176">
        <f t="shared" si="5"/>
        <v>1</v>
      </c>
      <c r="S20" s="216">
        <v>6680</v>
      </c>
      <c r="T20" s="178">
        <f t="shared" si="6"/>
        <v>370</v>
      </c>
      <c r="U20" s="177">
        <v>470</v>
      </c>
      <c r="V20" s="179">
        <f t="shared" si="7"/>
        <v>14.212765957446809</v>
      </c>
      <c r="W20" s="166">
        <v>0</v>
      </c>
      <c r="X20" s="166">
        <v>4</v>
      </c>
      <c r="Y20" s="166">
        <v>6</v>
      </c>
      <c r="Z20" s="166">
        <v>3</v>
      </c>
      <c r="AA20" s="166">
        <v>7</v>
      </c>
      <c r="AB20" s="166">
        <v>5</v>
      </c>
      <c r="AC20" s="166">
        <v>4</v>
      </c>
      <c r="AD20" s="180">
        <v>617</v>
      </c>
      <c r="AE20" s="55">
        <f t="shared" si="8"/>
        <v>7.9296257263118921</v>
      </c>
      <c r="AF20" s="55">
        <f t="shared" si="9"/>
        <v>7.9296257263118921</v>
      </c>
      <c r="AG20" s="248">
        <f t="shared" si="10"/>
        <v>2.9736096473669598</v>
      </c>
      <c r="AH20" s="248">
        <f t="shared" si="11"/>
        <v>6.2296257263118919</v>
      </c>
      <c r="AI20" s="181">
        <f t="shared" si="12"/>
        <v>44.5</v>
      </c>
      <c r="AJ20" s="182">
        <v>0</v>
      </c>
      <c r="AK20" s="182">
        <v>6</v>
      </c>
      <c r="AL20" s="182">
        <v>12</v>
      </c>
      <c r="AM20" s="182">
        <v>1.5</v>
      </c>
      <c r="AN20" s="182">
        <v>15</v>
      </c>
      <c r="AO20" s="182">
        <v>8</v>
      </c>
      <c r="AP20" s="182">
        <v>2</v>
      </c>
      <c r="AQ20" s="174">
        <v>1</v>
      </c>
      <c r="AR20" s="174">
        <v>2</v>
      </c>
      <c r="AS20" s="176">
        <f t="shared" si="13"/>
        <v>4.9399999999999999E-2</v>
      </c>
      <c r="AT20" s="165">
        <f t="shared" si="14"/>
        <v>3.98</v>
      </c>
      <c r="AU20" s="165">
        <f t="shared" si="15"/>
        <v>11</v>
      </c>
      <c r="AV20" s="165">
        <f t="shared" si="16"/>
        <v>8.495000000000001</v>
      </c>
      <c r="AW20" s="165">
        <f t="shared" si="17"/>
        <v>9</v>
      </c>
      <c r="AX20" s="165">
        <f t="shared" si="18"/>
        <v>21.11</v>
      </c>
      <c r="AY20" s="165">
        <f t="shared" si="19"/>
        <v>22.58</v>
      </c>
      <c r="AZ20" s="165">
        <f t="shared" si="20"/>
        <v>24.94</v>
      </c>
      <c r="BA20" s="165">
        <f t="shared" si="21"/>
        <v>14.15</v>
      </c>
      <c r="BB20" s="165">
        <f t="shared" si="22"/>
        <v>15.110000000000001</v>
      </c>
      <c r="BC20" s="165">
        <f t="shared" si="23"/>
        <v>19.325000000000003</v>
      </c>
      <c r="BD20" s="165">
        <f t="shared" si="24"/>
        <v>18.579999999999998</v>
      </c>
      <c r="BE20" s="183">
        <v>44283</v>
      </c>
      <c r="BF20" s="216">
        <v>6310</v>
      </c>
    </row>
    <row r="21" spans="1:58" x14ac:dyDescent="0.25">
      <c r="A21" s="40" t="s">
        <v>110</v>
      </c>
      <c r="B21" s="249">
        <v>33</v>
      </c>
      <c r="C21" s="273" t="s">
        <v>12</v>
      </c>
      <c r="D21" s="363" t="s">
        <v>124</v>
      </c>
      <c r="E21" s="42">
        <v>24</v>
      </c>
      <c r="F21" s="43">
        <f ca="1">$D$1-43890-112-112-112-112-112-112-112</f>
        <v>18</v>
      </c>
      <c r="G21" s="44" t="s">
        <v>100</v>
      </c>
      <c r="H21" s="45">
        <v>2</v>
      </c>
      <c r="I21" s="46">
        <v>6</v>
      </c>
      <c r="J21" s="47">
        <f>LOG(I21+1)*4/3</f>
        <v>1.1267973866856758</v>
      </c>
      <c r="K21" s="48">
        <f>(H21)*(H21)*(I21)</f>
        <v>24</v>
      </c>
      <c r="L21" s="48">
        <f>(H21+1)*(H21+1)*I21</f>
        <v>54</v>
      </c>
      <c r="M21" s="212">
        <v>7.3</v>
      </c>
      <c r="N21" s="49">
        <f>M21*10+19</f>
        <v>92</v>
      </c>
      <c r="O21" s="50">
        <v>1.5</v>
      </c>
      <c r="P21" s="49">
        <v>5</v>
      </c>
      <c r="Q21" s="51">
        <f>(P21/7)^0.5</f>
        <v>0.84515425472851657</v>
      </c>
      <c r="R21" s="51">
        <f>IF(P21=7,1,((P21+0.99)/7)^0.5)</f>
        <v>0.92504826128926143</v>
      </c>
      <c r="S21" s="200">
        <v>188830</v>
      </c>
      <c r="T21" s="53">
        <f t="shared" si="6"/>
        <v>270</v>
      </c>
      <c r="U21" s="52">
        <v>30530</v>
      </c>
      <c r="V21" s="54">
        <f>S21/U21</f>
        <v>6.1850638716017032</v>
      </c>
      <c r="W21" s="166">
        <v>0</v>
      </c>
      <c r="X21" s="166">
        <v>4</v>
      </c>
      <c r="Y21" s="166">
        <f>14+9/13</f>
        <v>14.692307692307692</v>
      </c>
      <c r="Z21" s="166">
        <f>8+3/5</f>
        <v>8.6</v>
      </c>
      <c r="AA21" s="166">
        <f>8+2/5</f>
        <v>8.4</v>
      </c>
      <c r="AB21" s="166">
        <f>9+1/6</f>
        <v>9.1666666666666661</v>
      </c>
      <c r="AC21" s="166">
        <v>7</v>
      </c>
      <c r="AD21" s="31">
        <v>1487</v>
      </c>
      <c r="AE21" s="55">
        <f t="shared" si="8"/>
        <v>14.637315345601507</v>
      </c>
      <c r="AF21" s="55">
        <f t="shared" si="9"/>
        <v>16.034375592204945</v>
      </c>
      <c r="AG21" s="247">
        <f t="shared" si="10"/>
        <v>3.0299194326693231</v>
      </c>
      <c r="AH21" s="247">
        <f t="shared" si="11"/>
        <v>8.6854790363402969</v>
      </c>
      <c r="AI21" s="56">
        <f>SUM(AJ21:AP21)</f>
        <v>155.5</v>
      </c>
      <c r="AJ21" s="57">
        <v>0</v>
      </c>
      <c r="AK21" s="57">
        <v>6</v>
      </c>
      <c r="AL21" s="57">
        <v>78</v>
      </c>
      <c r="AM21" s="57">
        <v>17.5</v>
      </c>
      <c r="AN21" s="57">
        <v>21</v>
      </c>
      <c r="AO21" s="57">
        <v>28</v>
      </c>
      <c r="AP21" s="57">
        <v>5</v>
      </c>
      <c r="AQ21" s="49">
        <v>1</v>
      </c>
      <c r="AR21" s="49">
        <v>1</v>
      </c>
      <c r="AS21" s="51">
        <f>IF(AQ21=4,IF(AR21=0,0.137+0.0697,0.137+0.02),IF(AQ21=3,IF(AR21=0,0.0958+0.0697,0.0958+0.02),IF(AQ21=2,IF(AR21=0,0.0415+0.0697,0.0415+0.02),IF(AQ21=1,IF(AR21=0,0.0294+0.0697,0.0294+0.02),IF(AQ21=0,IF(AR21=0,0.0063+0.0697,0.0063+0.02))))))</f>
        <v>4.9399999999999999E-2</v>
      </c>
      <c r="AT21" s="58">
        <f>AJ21+AK21*0.33+AP21</f>
        <v>6.98</v>
      </c>
      <c r="AU21" s="58">
        <f>AK21+AL21*0.25+AP21</f>
        <v>30.5</v>
      </c>
      <c r="AV21" s="58">
        <f>AK21+AM21*0.33+AP21</f>
        <v>16.774999999999999</v>
      </c>
      <c r="AW21" s="58">
        <f>AK21+AM21/1.5+AP21</f>
        <v>22.666666666666664</v>
      </c>
      <c r="AX21" s="58">
        <f>AL21+AK21*0.6+AN21*0.17+AP21+AO21*0.12</f>
        <v>93.529999999999987</v>
      </c>
      <c r="AY21" s="58">
        <f>AL21+AK21*0.4+AN21*0.3+AP21+AO21*0.21</f>
        <v>97.58</v>
      </c>
      <c r="AZ21" s="58">
        <f>AL21+AK21*0.16+AN21*0.5+AP21+AO21*0.31</f>
        <v>103.13999999999999</v>
      </c>
      <c r="BA21" s="58">
        <f>AM21+AL21*0.45+AK21*0.25+AN21*0.25+AP21</f>
        <v>64.349999999999994</v>
      </c>
      <c r="BB21" s="58">
        <f>AM21+AL21*0.63+AK21*0.25+AN21*0.17+AP21</f>
        <v>76.710000000000008</v>
      </c>
      <c r="BC21" s="58">
        <f>AO21*0.6+AL21*0.4+AM21*0.15+AN21*0.5+AP21</f>
        <v>66.125</v>
      </c>
      <c r="BD21" s="58">
        <f>AO21+AL21*0.25+AM21*0.22+AN21*0.35+AP21</f>
        <v>63.7</v>
      </c>
      <c r="BE21" s="59">
        <v>44077</v>
      </c>
      <c r="BF21" s="200">
        <v>188560</v>
      </c>
    </row>
    <row r="22" spans="1:58" x14ac:dyDescent="0.25">
      <c r="A22" s="40" t="s">
        <v>260</v>
      </c>
      <c r="B22" s="249">
        <f ca="1">VLOOKUP(D22,Generaciones!$A$1:$E$34,5)</f>
        <v>33</v>
      </c>
      <c r="C22" s="273" t="s">
        <v>12</v>
      </c>
      <c r="D22" s="363" t="s">
        <v>127</v>
      </c>
      <c r="E22" s="42">
        <v>24</v>
      </c>
      <c r="F22" s="43">
        <f ca="1">$D$1-43569-112-112-112-112-112-112-112-112-112-112</f>
        <v>3</v>
      </c>
      <c r="G22" s="44" t="s">
        <v>112</v>
      </c>
      <c r="H22" s="45">
        <v>4</v>
      </c>
      <c r="I22" s="46">
        <v>6</v>
      </c>
      <c r="J22" s="47">
        <f t="shared" si="0"/>
        <v>1.1267973866856758</v>
      </c>
      <c r="K22" s="48">
        <f t="shared" si="1"/>
        <v>96</v>
      </c>
      <c r="L22" s="48">
        <f t="shared" si="2"/>
        <v>150</v>
      </c>
      <c r="M22" s="212">
        <v>7.1</v>
      </c>
      <c r="N22" s="49">
        <f t="shared" si="3"/>
        <v>90</v>
      </c>
      <c r="O22" s="50">
        <v>1.5</v>
      </c>
      <c r="P22" s="49">
        <v>6</v>
      </c>
      <c r="Q22" s="51">
        <f t="shared" si="4"/>
        <v>0.92582009977255142</v>
      </c>
      <c r="R22" s="51">
        <f t="shared" si="5"/>
        <v>0.99928545900129484</v>
      </c>
      <c r="S22" s="52">
        <v>72580</v>
      </c>
      <c r="T22" s="53">
        <f t="shared" si="6"/>
        <v>700</v>
      </c>
      <c r="U22" s="52">
        <v>7410</v>
      </c>
      <c r="V22" s="54">
        <f t="shared" si="7"/>
        <v>9.7948717948717956</v>
      </c>
      <c r="W22" s="166">
        <v>0</v>
      </c>
      <c r="X22" s="166">
        <v>5</v>
      </c>
      <c r="Y22" s="166">
        <f>11+3/8</f>
        <v>11.375</v>
      </c>
      <c r="Z22" s="166">
        <v>6.5</v>
      </c>
      <c r="AA22" s="166">
        <v>8</v>
      </c>
      <c r="AB22" s="166">
        <f>9+0/6</f>
        <v>9</v>
      </c>
      <c r="AC22" s="166">
        <v>5</v>
      </c>
      <c r="AD22" s="31">
        <v>1178</v>
      </c>
      <c r="AE22" s="55">
        <f t="shared" si="8"/>
        <v>12.963145453536381</v>
      </c>
      <c r="AF22" s="55">
        <f t="shared" si="9"/>
        <v>14.001797386685675</v>
      </c>
      <c r="AG22" s="247">
        <f t="shared" si="10"/>
        <v>3.3422559438868014</v>
      </c>
      <c r="AH22" s="247">
        <f t="shared" si="11"/>
        <v>8.172026437213427</v>
      </c>
      <c r="AI22" s="56">
        <f t="shared" si="12"/>
        <v>115.5</v>
      </c>
      <c r="AJ22" s="57">
        <v>0</v>
      </c>
      <c r="AK22" s="57">
        <v>10</v>
      </c>
      <c r="AL22" s="57">
        <v>43</v>
      </c>
      <c r="AM22" s="57">
        <v>9.5</v>
      </c>
      <c r="AN22" s="57">
        <v>23</v>
      </c>
      <c r="AO22" s="57">
        <v>27</v>
      </c>
      <c r="AP22" s="57">
        <v>3</v>
      </c>
      <c r="AQ22" s="49">
        <v>1</v>
      </c>
      <c r="AR22" s="49">
        <v>3</v>
      </c>
      <c r="AS22" s="51">
        <f t="shared" si="13"/>
        <v>4.9399999999999999E-2</v>
      </c>
      <c r="AT22" s="58">
        <f t="shared" si="14"/>
        <v>6.3000000000000007</v>
      </c>
      <c r="AU22" s="58">
        <f t="shared" si="15"/>
        <v>23.75</v>
      </c>
      <c r="AV22" s="58">
        <f t="shared" si="16"/>
        <v>16.134999999999998</v>
      </c>
      <c r="AW22" s="58">
        <f t="shared" si="17"/>
        <v>19.333333333333332</v>
      </c>
      <c r="AX22" s="58">
        <f t="shared" si="18"/>
        <v>59.15</v>
      </c>
      <c r="AY22" s="58">
        <f t="shared" si="19"/>
        <v>62.57</v>
      </c>
      <c r="AZ22" s="58">
        <f t="shared" si="20"/>
        <v>67.47</v>
      </c>
      <c r="BA22" s="58">
        <f t="shared" si="21"/>
        <v>40.1</v>
      </c>
      <c r="BB22" s="58">
        <f t="shared" si="22"/>
        <v>46</v>
      </c>
      <c r="BC22" s="58">
        <f t="shared" si="23"/>
        <v>49.324999999999996</v>
      </c>
      <c r="BD22" s="58">
        <f t="shared" si="24"/>
        <v>50.89</v>
      </c>
      <c r="BE22" s="59">
        <v>43892</v>
      </c>
      <c r="BF22" s="52">
        <v>71880</v>
      </c>
    </row>
    <row r="23" spans="1:58" x14ac:dyDescent="0.25">
      <c r="A23" s="40" t="s">
        <v>261</v>
      </c>
      <c r="B23" s="249">
        <f ca="1">VLOOKUP(D23,Generaciones!$A$1:$E$34,5)</f>
        <v>33</v>
      </c>
      <c r="C23" s="273" t="s">
        <v>12</v>
      </c>
      <c r="D23" s="363" t="s">
        <v>147</v>
      </c>
      <c r="E23" s="42">
        <v>22</v>
      </c>
      <c r="F23" s="43">
        <f ca="1">$D$1-43632-112-112-112-112-112-112-112-112-112</f>
        <v>52</v>
      </c>
      <c r="G23" s="44"/>
      <c r="H23" s="45">
        <v>2</v>
      </c>
      <c r="I23" s="46">
        <v>1.4</v>
      </c>
      <c r="J23" s="47">
        <f t="shared" si="0"/>
        <v>0.50694832228214137</v>
      </c>
      <c r="K23" s="48">
        <f t="shared" si="1"/>
        <v>5.6</v>
      </c>
      <c r="L23" s="48">
        <f t="shared" si="2"/>
        <v>12.6</v>
      </c>
      <c r="M23" s="212">
        <v>7</v>
      </c>
      <c r="N23" s="49">
        <f t="shared" si="3"/>
        <v>89</v>
      </c>
      <c r="O23" s="50">
        <v>1.5</v>
      </c>
      <c r="P23" s="49">
        <v>3</v>
      </c>
      <c r="Q23" s="51">
        <f t="shared" si="4"/>
        <v>0.65465367070797709</v>
      </c>
      <c r="R23" s="51">
        <f t="shared" si="5"/>
        <v>0.75498344352707503</v>
      </c>
      <c r="S23" s="52">
        <v>14050</v>
      </c>
      <c r="T23" s="53">
        <f t="shared" si="6"/>
        <v>-3640</v>
      </c>
      <c r="U23" s="52">
        <v>1450</v>
      </c>
      <c r="V23" s="54">
        <f t="shared" si="7"/>
        <v>9.6896551724137936</v>
      </c>
      <c r="W23" s="166">
        <v>0</v>
      </c>
      <c r="X23" s="166">
        <v>2</v>
      </c>
      <c r="Y23" s="166">
        <f>7+5/6</f>
        <v>7.833333333333333</v>
      </c>
      <c r="Z23" s="166">
        <v>3</v>
      </c>
      <c r="AA23" s="166">
        <f>9+0/5</f>
        <v>9</v>
      </c>
      <c r="AB23" s="166">
        <v>6</v>
      </c>
      <c r="AC23" s="166">
        <v>4</v>
      </c>
      <c r="AD23" s="31">
        <v>702</v>
      </c>
      <c r="AE23" s="55">
        <f t="shared" si="8"/>
        <v>6.4419765066490404</v>
      </c>
      <c r="AF23" s="55">
        <f t="shared" si="9"/>
        <v>7.4385537404541369</v>
      </c>
      <c r="AG23" s="247">
        <f t="shared" si="10"/>
        <v>2.1293302090586503</v>
      </c>
      <c r="AH23" s="247">
        <f t="shared" si="11"/>
        <v>4.3252629713599147</v>
      </c>
      <c r="AI23" s="56">
        <f t="shared" si="12"/>
        <v>65.3</v>
      </c>
      <c r="AJ23" s="57">
        <v>0</v>
      </c>
      <c r="AK23" s="57">
        <v>0</v>
      </c>
      <c r="AL23" s="57">
        <v>18.8</v>
      </c>
      <c r="AM23" s="57">
        <v>1.5</v>
      </c>
      <c r="AN23" s="57">
        <v>23</v>
      </c>
      <c r="AO23" s="57">
        <v>20</v>
      </c>
      <c r="AP23" s="57">
        <v>2</v>
      </c>
      <c r="AQ23" s="49">
        <v>1</v>
      </c>
      <c r="AR23" s="49">
        <v>2</v>
      </c>
      <c r="AS23" s="51">
        <f t="shared" si="13"/>
        <v>4.9399999999999999E-2</v>
      </c>
      <c r="AT23" s="58">
        <f t="shared" si="14"/>
        <v>2</v>
      </c>
      <c r="AU23" s="58">
        <f t="shared" si="15"/>
        <v>6.7</v>
      </c>
      <c r="AV23" s="58">
        <f t="shared" si="16"/>
        <v>2.4950000000000001</v>
      </c>
      <c r="AW23" s="58">
        <f t="shared" si="17"/>
        <v>3</v>
      </c>
      <c r="AX23" s="58">
        <f t="shared" si="18"/>
        <v>27.11</v>
      </c>
      <c r="AY23" s="58">
        <f t="shared" si="19"/>
        <v>31.9</v>
      </c>
      <c r="AZ23" s="58">
        <f t="shared" si="20"/>
        <v>38.5</v>
      </c>
      <c r="BA23" s="58">
        <f t="shared" si="21"/>
        <v>17.71</v>
      </c>
      <c r="BB23" s="58">
        <f t="shared" si="22"/>
        <v>19.254000000000001</v>
      </c>
      <c r="BC23" s="58">
        <f t="shared" si="23"/>
        <v>33.245000000000005</v>
      </c>
      <c r="BD23" s="58">
        <f t="shared" si="24"/>
        <v>35.08</v>
      </c>
      <c r="BE23" s="59">
        <v>43637</v>
      </c>
      <c r="BF23" s="52">
        <v>17690</v>
      </c>
    </row>
    <row r="24" spans="1:58" x14ac:dyDescent="0.25">
      <c r="A24" s="40" t="s">
        <v>122</v>
      </c>
      <c r="B24" s="249">
        <f ca="1">VLOOKUP(D24,Generaciones!$A$1:$E$34,5)</f>
        <v>33</v>
      </c>
      <c r="C24" s="273" t="s">
        <v>12</v>
      </c>
      <c r="D24" s="363" t="s">
        <v>129</v>
      </c>
      <c r="E24" s="42">
        <v>25</v>
      </c>
      <c r="F24" s="43">
        <f ca="1">$D$1-43579-112-112-112-112-112-112-112-112-112</f>
        <v>105</v>
      </c>
      <c r="G24" s="44" t="s">
        <v>100</v>
      </c>
      <c r="H24" s="61">
        <v>5</v>
      </c>
      <c r="I24" s="46">
        <v>6</v>
      </c>
      <c r="J24" s="47">
        <f t="shared" si="0"/>
        <v>1.1267973866856758</v>
      </c>
      <c r="K24" s="48">
        <f t="shared" si="1"/>
        <v>150</v>
      </c>
      <c r="L24" s="48">
        <f t="shared" si="2"/>
        <v>216</v>
      </c>
      <c r="M24" s="212">
        <v>7</v>
      </c>
      <c r="N24" s="49">
        <f t="shared" si="3"/>
        <v>89</v>
      </c>
      <c r="O24" s="50">
        <v>1.5</v>
      </c>
      <c r="P24" s="49">
        <v>5</v>
      </c>
      <c r="Q24" s="51">
        <f t="shared" si="4"/>
        <v>0.84515425472851657</v>
      </c>
      <c r="R24" s="51">
        <f t="shared" si="5"/>
        <v>0.92504826128926143</v>
      </c>
      <c r="S24" s="52">
        <v>62260</v>
      </c>
      <c r="T24" s="53">
        <f t="shared" si="6"/>
        <v>880</v>
      </c>
      <c r="U24" s="52">
        <v>8310</v>
      </c>
      <c r="V24" s="54">
        <f t="shared" si="7"/>
        <v>7.4921780986762938</v>
      </c>
      <c r="W24" s="166">
        <v>0</v>
      </c>
      <c r="X24" s="166">
        <v>4</v>
      </c>
      <c r="Y24" s="166">
        <f>11+5/8</f>
        <v>11.625</v>
      </c>
      <c r="Z24" s="166">
        <v>4</v>
      </c>
      <c r="AA24" s="166">
        <f>7+2/4</f>
        <v>7.5</v>
      </c>
      <c r="AB24" s="166">
        <f>9+0/6</f>
        <v>9</v>
      </c>
      <c r="AC24" s="166">
        <v>5</v>
      </c>
      <c r="AD24" s="31">
        <v>1078</v>
      </c>
      <c r="AE24" s="55">
        <f t="shared" si="8"/>
        <v>12.044967198886152</v>
      </c>
      <c r="AF24" s="55">
        <f t="shared" si="9"/>
        <v>13.19460047847952</v>
      </c>
      <c r="AG24" s="247">
        <f t="shared" si="10"/>
        <v>2.8397597253554072</v>
      </c>
      <c r="AH24" s="247">
        <f t="shared" si="11"/>
        <v>7.4600053669839488</v>
      </c>
      <c r="AI24" s="56">
        <f t="shared" si="12"/>
        <v>101.5</v>
      </c>
      <c r="AJ24" s="57">
        <v>0</v>
      </c>
      <c r="AK24" s="57">
        <v>6</v>
      </c>
      <c r="AL24" s="57">
        <v>45</v>
      </c>
      <c r="AM24" s="57">
        <v>3.5</v>
      </c>
      <c r="AN24" s="57">
        <v>17</v>
      </c>
      <c r="AO24" s="57">
        <v>27</v>
      </c>
      <c r="AP24" s="57">
        <v>3</v>
      </c>
      <c r="AQ24" s="49">
        <v>1</v>
      </c>
      <c r="AR24" s="49">
        <v>2</v>
      </c>
      <c r="AS24" s="51">
        <f t="shared" si="13"/>
        <v>4.9399999999999999E-2</v>
      </c>
      <c r="AT24" s="58">
        <f t="shared" si="14"/>
        <v>4.9800000000000004</v>
      </c>
      <c r="AU24" s="58">
        <f t="shared" si="15"/>
        <v>20.25</v>
      </c>
      <c r="AV24" s="58">
        <f t="shared" si="16"/>
        <v>10.155000000000001</v>
      </c>
      <c r="AW24" s="58">
        <f t="shared" si="17"/>
        <v>11.333333333333334</v>
      </c>
      <c r="AX24" s="58">
        <f t="shared" si="18"/>
        <v>57.730000000000004</v>
      </c>
      <c r="AY24" s="58">
        <f t="shared" si="19"/>
        <v>61.17</v>
      </c>
      <c r="AZ24" s="58">
        <f t="shared" si="20"/>
        <v>65.83</v>
      </c>
      <c r="BA24" s="58">
        <f t="shared" si="21"/>
        <v>32.5</v>
      </c>
      <c r="BB24" s="58">
        <f t="shared" si="22"/>
        <v>39.24</v>
      </c>
      <c r="BC24" s="58">
        <f t="shared" si="23"/>
        <v>46.225000000000001</v>
      </c>
      <c r="BD24" s="58">
        <f t="shared" si="24"/>
        <v>47.97</v>
      </c>
      <c r="BE24" s="59" t="s">
        <v>130</v>
      </c>
      <c r="BF24" s="52">
        <v>61380</v>
      </c>
    </row>
    <row r="25" spans="1:58" x14ac:dyDescent="0.25">
      <c r="D25" s="64"/>
      <c r="G25" s="9"/>
      <c r="I25" s="2"/>
      <c r="J25" s="2"/>
      <c r="M25" s="2"/>
      <c r="N25" s="2"/>
      <c r="O25" s="2"/>
      <c r="P25" s="2"/>
      <c r="Q25" s="2"/>
      <c r="R25" s="2"/>
      <c r="S25" s="65">
        <f>SUM(S4:S24)</f>
        <v>1422790</v>
      </c>
      <c r="T25" s="65">
        <f>SUM(T4:T24)</f>
        <v>79780</v>
      </c>
      <c r="U25" s="65">
        <f>SUM(U4:U24)</f>
        <v>280470</v>
      </c>
      <c r="V25" s="66">
        <f t="shared" si="7"/>
        <v>5.072877669625985</v>
      </c>
      <c r="AC25" s="2"/>
      <c r="AD25" s="65"/>
      <c r="AG25" s="65"/>
      <c r="AH25" s="65"/>
      <c r="BE25" s="2"/>
    </row>
    <row r="26" spans="1:58" x14ac:dyDescent="0.25">
      <c r="D26" s="64" t="s">
        <v>150</v>
      </c>
      <c r="G26" s="2"/>
      <c r="H26" s="18"/>
      <c r="K26" s="2"/>
      <c r="M26" s="2"/>
      <c r="N26" s="2"/>
      <c r="O26" s="2"/>
      <c r="P26" s="2"/>
      <c r="Q26" s="2"/>
      <c r="R26" s="2"/>
      <c r="S26" s="67"/>
      <c r="T26" s="67"/>
      <c r="U26" s="67"/>
      <c r="V26" s="30"/>
      <c r="W26" s="68"/>
      <c r="AD26" s="30"/>
      <c r="AG26" s="30"/>
      <c r="AH26" s="30"/>
      <c r="BE26" s="2"/>
    </row>
    <row r="27" spans="1:58" x14ac:dyDescent="0.25">
      <c r="B27" s="355" t="s">
        <v>264</v>
      </c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2"/>
      <c r="U27" s="74"/>
      <c r="V27" s="68"/>
      <c r="W27" s="68"/>
      <c r="X27" s="70"/>
      <c r="AD27" s="68"/>
      <c r="AG27" s="68"/>
      <c r="BE27" s="2"/>
    </row>
    <row r="28" spans="1:58" x14ac:dyDescent="0.25">
      <c r="D28" s="71"/>
      <c r="G28" s="2"/>
      <c r="H28" s="18"/>
      <c r="I28" s="69"/>
      <c r="K28" s="2"/>
      <c r="M28" s="2"/>
      <c r="N28" s="2"/>
      <c r="O28" s="72"/>
      <c r="P28" s="2"/>
      <c r="Q28" s="2"/>
      <c r="R28" s="2"/>
      <c r="U28" s="68"/>
      <c r="V28" s="68"/>
      <c r="W28" s="68"/>
      <c r="X28" s="70"/>
      <c r="AD28" s="73"/>
      <c r="AG28" s="68"/>
      <c r="BE28" s="2"/>
    </row>
    <row r="29" spans="1:58" x14ac:dyDescent="0.25">
      <c r="D29" s="71"/>
      <c r="G29" s="2"/>
      <c r="H29" s="18"/>
      <c r="I29" s="69"/>
      <c r="K29" s="2"/>
      <c r="M29" s="2"/>
      <c r="N29" s="2"/>
      <c r="O29" s="72"/>
      <c r="P29" s="2"/>
      <c r="Q29" s="2"/>
      <c r="R29" s="2"/>
      <c r="U29" s="74"/>
      <c r="V29" s="68"/>
      <c r="W29" s="68"/>
      <c r="X29" s="70"/>
      <c r="AD29" s="68"/>
      <c r="AG29" s="68"/>
      <c r="BE29" s="2"/>
    </row>
    <row r="30" spans="1:58" x14ac:dyDescent="0.25">
      <c r="D30" s="2"/>
      <c r="G30" s="2"/>
      <c r="H30" s="18"/>
      <c r="I30" s="69"/>
      <c r="K30" s="2"/>
      <c r="M30" s="2"/>
      <c r="N30" s="2"/>
      <c r="O30" s="2"/>
      <c r="P30" s="2"/>
      <c r="Q30" s="2"/>
      <c r="R30" s="2"/>
      <c r="U30" s="74"/>
      <c r="V30" s="68"/>
      <c r="W30" s="68"/>
      <c r="X30" s="70"/>
      <c r="AD30" s="68"/>
      <c r="AG30" s="68"/>
      <c r="BE30" s="2"/>
    </row>
    <row r="31" spans="1:58" x14ac:dyDescent="0.25">
      <c r="D31" s="64"/>
      <c r="G31" s="2"/>
      <c r="H31" s="18"/>
      <c r="I31" s="69"/>
      <c r="K31" s="2"/>
      <c r="M31" s="2"/>
      <c r="N31" s="2"/>
      <c r="O31" s="2"/>
      <c r="P31" s="2"/>
      <c r="Q31" s="2"/>
      <c r="R31" s="2"/>
      <c r="U31" s="68"/>
      <c r="V31" s="68"/>
      <c r="W31" s="68"/>
      <c r="X31" s="70"/>
      <c r="AD31" s="68"/>
      <c r="AG31" s="68"/>
      <c r="BE31" s="2"/>
    </row>
    <row r="32" spans="1:58" x14ac:dyDescent="0.25">
      <c r="D32" s="64"/>
      <c r="G32" s="2"/>
      <c r="H32" s="18"/>
      <c r="I32" s="69"/>
      <c r="K32" s="2"/>
      <c r="M32" s="2"/>
      <c r="N32" s="2"/>
      <c r="O32" s="2"/>
      <c r="P32" s="2"/>
      <c r="Q32" s="2"/>
      <c r="R32" s="2"/>
      <c r="U32" s="74"/>
      <c r="V32" s="68"/>
      <c r="W32" s="68"/>
      <c r="X32" s="70"/>
      <c r="AD32" s="68"/>
      <c r="AG32" s="68"/>
      <c r="BE32" s="2"/>
    </row>
    <row r="33" spans="4:57" x14ac:dyDescent="0.25">
      <c r="D33" s="64"/>
      <c r="G33" s="2"/>
      <c r="H33" s="18"/>
      <c r="I33" s="69"/>
      <c r="K33" s="2"/>
      <c r="M33" s="2"/>
      <c r="N33" s="2"/>
      <c r="O33" s="2"/>
      <c r="P33" s="2"/>
      <c r="Q33" s="2"/>
      <c r="R33" s="2"/>
      <c r="U33" s="68"/>
      <c r="V33" s="68"/>
      <c r="W33" s="68"/>
      <c r="X33" s="70"/>
      <c r="AD33" s="68"/>
      <c r="AG33" s="68"/>
      <c r="BE33" s="2"/>
    </row>
  </sheetData>
  <autoFilter ref="A1:BF25" xr:uid="{CA633510-BFAE-421C-B4B5-C6A14AA4D1B9}">
    <filterColumn colId="4" showButton="0"/>
    <filterColumn colId="5" showButton="0"/>
  </autoFilter>
  <mergeCells count="2">
    <mergeCell ref="E1:G1"/>
    <mergeCell ref="B27:Q27"/>
  </mergeCells>
  <conditionalFormatting sqref="N4:N24">
    <cfRule type="cellIs" dxfId="11" priority="67" operator="lessThan">
      <formula>70</formula>
    </cfRule>
  </conditionalFormatting>
  <conditionalFormatting sqref="N4:N24">
    <cfRule type="cellIs" dxfId="10" priority="68" operator="between">
      <formula>70</formula>
      <formula>80</formula>
    </cfRule>
  </conditionalFormatting>
  <conditionalFormatting sqref="N4:N24">
    <cfRule type="cellIs" dxfId="9" priority="69" operator="greaterThan">
      <formula>80</formula>
    </cfRule>
  </conditionalFormatting>
  <conditionalFormatting sqref="AS4:AS24">
    <cfRule type="cellIs" dxfId="8" priority="70" operator="lessThan">
      <formula>0.07</formula>
    </cfRule>
  </conditionalFormatting>
  <conditionalFormatting sqref="AS4:AS24">
    <cfRule type="cellIs" dxfId="7" priority="71" operator="greaterThan">
      <formula>0.1</formula>
    </cfRule>
  </conditionalFormatting>
  <conditionalFormatting sqref="Q4:R24">
    <cfRule type="cellIs" dxfId="6" priority="39" operator="greaterThan">
      <formula>0.95</formula>
    </cfRule>
    <cfRule type="cellIs" dxfId="5" priority="40" operator="between">
      <formula>0.85</formula>
      <formula>0.95</formula>
    </cfRule>
    <cfRule type="cellIs" dxfId="4" priority="41" operator="lessThan">
      <formula>0.85</formula>
    </cfRule>
  </conditionalFormatting>
  <conditionalFormatting sqref="V4:V24">
    <cfRule type="dataBar" priority="20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T4:BD2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4">
    <cfRule type="dataBar" priority="2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AJ4:AP24">
    <cfRule type="colorScale" priority="2230">
      <colorScale>
        <cfvo type="min"/>
        <cfvo type="max"/>
        <color rgb="FFFCFCFF"/>
        <color rgb="FFF8696B"/>
      </colorScale>
    </cfRule>
  </conditionalFormatting>
  <conditionalFormatting sqref="T4:T24">
    <cfRule type="dataBar" priority="2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4 AD2">
    <cfRule type="dataBar" priority="2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S4:S24">
    <cfRule type="dataBar" priority="2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K4:L24">
    <cfRule type="colorScale" priority="2239">
      <colorScale>
        <cfvo type="min"/>
        <cfvo type="max"/>
        <color rgb="FFFCFCFF"/>
        <color rgb="FFF8696B"/>
      </colorScale>
    </cfRule>
  </conditionalFormatting>
  <conditionalFormatting sqref="J4:J24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AC24">
    <cfRule type="colorScale" priority="2243">
      <colorScale>
        <cfvo type="min"/>
        <cfvo type="max"/>
        <color rgb="FFFCFCFF"/>
        <color rgb="FFF8696B"/>
      </colorScale>
    </cfRule>
  </conditionalFormatting>
  <conditionalFormatting sqref="AE4:AF24">
    <cfRule type="colorScale" priority="2245">
      <colorScale>
        <cfvo type="min"/>
        <cfvo type="max"/>
        <color rgb="FFFFEF9C"/>
        <color rgb="FF63BE7B"/>
      </colorScale>
    </cfRule>
  </conditionalFormatting>
  <conditionalFormatting sqref="AG4:AG24">
    <cfRule type="colorScale" priority="2247">
      <colorScale>
        <cfvo type="min"/>
        <cfvo type="max"/>
        <color rgb="FFFCFCFF"/>
        <color rgb="FFF8696B"/>
      </colorScale>
    </cfRule>
  </conditionalFormatting>
  <conditionalFormatting sqref="AH4:AH24">
    <cfRule type="colorScale" priority="2249">
      <colorScale>
        <cfvo type="min"/>
        <cfvo type="max"/>
        <color rgb="FFFFEF9C"/>
        <color rgb="FF63BE7B"/>
      </colorScale>
    </cfRule>
  </conditionalFormatting>
  <conditionalFormatting sqref="AI4:AI24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{C5C09014-4CE6-4431-BCAC-7877EB3201AF}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C5C09014-4CE6-4431-BCAC-7877EB3201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BF4:BF24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P28"/>
  <sheetViews>
    <sheetView workbookViewId="0">
      <pane xSplit="5" ySplit="2" topLeftCell="F3" activePane="bottomRight" state="frozen"/>
      <selection pane="topRight"/>
      <selection pane="bottomLeft"/>
      <selection pane="bottomRight" activeCell="L11" sqref="L11"/>
    </sheetView>
  </sheetViews>
  <sheetFormatPr baseColWidth="10" defaultColWidth="10.7109375" defaultRowHeight="18.75" x14ac:dyDescent="0.3"/>
  <cols>
    <col min="1" max="1" width="3.28515625" style="18" customWidth="1"/>
    <col min="2" max="2" width="15.140625" bestFit="1" customWidth="1"/>
    <col min="3" max="3" width="5.28515625" customWidth="1"/>
    <col min="4" max="4" width="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5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" bestFit="1" customWidth="1"/>
    <col min="35" max="36" width="3.5703125" bestFit="1" customWidth="1"/>
    <col min="37" max="37" width="4.140625" bestFit="1" customWidth="1"/>
    <col min="38" max="38" width="4.5703125" customWidth="1"/>
    <col min="39" max="39" width="4.85546875" bestFit="1" customWidth="1"/>
    <col min="40" max="40" width="4.5703125" style="2" customWidth="1"/>
    <col min="41" max="41" width="4.28515625" customWidth="1"/>
    <col min="42" max="42" width="25" bestFit="1" customWidth="1"/>
  </cols>
  <sheetData>
    <row r="1" spans="1:42" ht="19.5" thickBot="1" x14ac:dyDescent="0.35">
      <c r="B1" s="76" t="s">
        <v>131</v>
      </c>
      <c r="C1" s="76"/>
      <c r="D1" s="76"/>
      <c r="E1" s="76"/>
      <c r="F1" s="76"/>
      <c r="G1" s="77"/>
      <c r="H1" s="77"/>
      <c r="I1" s="77"/>
      <c r="J1" s="77"/>
      <c r="K1" s="78"/>
      <c r="L1" s="76" t="s">
        <v>132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9"/>
      <c r="AA1" s="77"/>
      <c r="AB1" s="77"/>
      <c r="AC1" s="77"/>
      <c r="AD1" s="77"/>
      <c r="AE1" s="77"/>
      <c r="AF1" s="77"/>
      <c r="AG1" s="77"/>
      <c r="AH1" s="80"/>
      <c r="AI1" s="80"/>
      <c r="AJ1" s="80"/>
      <c r="AK1" s="80"/>
      <c r="AL1" s="80"/>
      <c r="AM1" s="80"/>
      <c r="AN1" s="77"/>
      <c r="AO1" s="77"/>
    </row>
    <row r="2" spans="1:42" s="404" customFormat="1" ht="19.5" thickBot="1" x14ac:dyDescent="0.35">
      <c r="A2" s="392"/>
      <c r="B2" s="393" t="s">
        <v>46</v>
      </c>
      <c r="C2" s="393" t="s">
        <v>133</v>
      </c>
      <c r="D2" s="393" t="s">
        <v>48</v>
      </c>
      <c r="E2" s="394" t="s">
        <v>134</v>
      </c>
      <c r="F2" s="393" t="s">
        <v>135</v>
      </c>
      <c r="G2" s="394" t="s">
        <v>136</v>
      </c>
      <c r="H2" s="394" t="s">
        <v>137</v>
      </c>
      <c r="I2" s="394" t="s">
        <v>50</v>
      </c>
      <c r="J2" s="394" t="s">
        <v>138</v>
      </c>
      <c r="K2" s="395" t="s">
        <v>139</v>
      </c>
      <c r="L2" s="396" t="s">
        <v>10</v>
      </c>
      <c r="M2" s="397" t="s">
        <v>139</v>
      </c>
      <c r="N2" s="398" t="s">
        <v>15</v>
      </c>
      <c r="O2" s="397" t="s">
        <v>139</v>
      </c>
      <c r="P2" s="398" t="s">
        <v>140</v>
      </c>
      <c r="Q2" s="397" t="s">
        <v>139</v>
      </c>
      <c r="R2" s="398" t="s">
        <v>103</v>
      </c>
      <c r="S2" s="397" t="s">
        <v>139</v>
      </c>
      <c r="T2" s="398" t="s">
        <v>141</v>
      </c>
      <c r="U2" s="397" t="s">
        <v>139</v>
      </c>
      <c r="V2" s="398" t="s">
        <v>142</v>
      </c>
      <c r="W2" s="397" t="s">
        <v>139</v>
      </c>
      <c r="X2" s="398" t="s">
        <v>143</v>
      </c>
      <c r="Y2" s="397" t="s">
        <v>139</v>
      </c>
      <c r="Z2" s="399" t="s">
        <v>144</v>
      </c>
      <c r="AA2" s="400" t="s">
        <v>10</v>
      </c>
      <c r="AB2" s="400" t="s">
        <v>15</v>
      </c>
      <c r="AC2" s="400" t="s">
        <v>140</v>
      </c>
      <c r="AD2" s="400" t="s">
        <v>103</v>
      </c>
      <c r="AE2" s="400" t="s">
        <v>141</v>
      </c>
      <c r="AF2" s="400" t="s">
        <v>142</v>
      </c>
      <c r="AG2" s="401" t="s">
        <v>143</v>
      </c>
      <c r="AH2" s="402" t="s">
        <v>10</v>
      </c>
      <c r="AI2" s="402" t="s">
        <v>87</v>
      </c>
      <c r="AJ2" s="402" t="s">
        <v>303</v>
      </c>
      <c r="AK2" s="402" t="s">
        <v>91</v>
      </c>
      <c r="AL2" s="402" t="s">
        <v>18</v>
      </c>
      <c r="AM2" s="402" t="s">
        <v>12</v>
      </c>
      <c r="AN2" s="394" t="s">
        <v>145</v>
      </c>
      <c r="AO2" s="394" t="s">
        <v>143</v>
      </c>
      <c r="AP2" s="403" t="s">
        <v>326</v>
      </c>
    </row>
    <row r="3" spans="1:42" ht="19.5" thickBot="1" x14ac:dyDescent="0.35">
      <c r="A3" s="18">
        <v>1</v>
      </c>
      <c r="B3" s="367" t="s">
        <v>406</v>
      </c>
      <c r="C3" s="1">
        <v>17</v>
      </c>
      <c r="D3" s="81">
        <f ca="1">68+$B$25-$B$27-1072</f>
        <v>51</v>
      </c>
      <c r="E3" s="19"/>
      <c r="F3" s="82">
        <f ca="1">G3-TODAY()</f>
        <v>-74</v>
      </c>
      <c r="G3" s="83">
        <v>44618</v>
      </c>
      <c r="H3" s="85"/>
      <c r="I3" s="85"/>
      <c r="J3" s="86">
        <f t="shared" ref="J3:K7" si="0">COUNT(L3,N3,P3,R3,T3,V3,X3)</f>
        <v>3</v>
      </c>
      <c r="K3" s="87">
        <f t="shared" si="0"/>
        <v>6</v>
      </c>
      <c r="L3" s="217">
        <v>3</v>
      </c>
      <c r="M3" s="185">
        <v>6</v>
      </c>
      <c r="N3" s="217">
        <v>3</v>
      </c>
      <c r="O3" s="185">
        <v>4.99</v>
      </c>
      <c r="P3" s="318">
        <v>0</v>
      </c>
      <c r="Q3" s="316">
        <v>0.99</v>
      </c>
      <c r="R3" s="186"/>
      <c r="S3" s="185">
        <v>1.99</v>
      </c>
      <c r="T3" s="318"/>
      <c r="U3" s="316">
        <v>1.99</v>
      </c>
      <c r="V3" s="186"/>
      <c r="W3" s="185"/>
      <c r="X3" s="186"/>
      <c r="Y3" s="185">
        <v>3.99</v>
      </c>
      <c r="Z3" s="88">
        <f>SUM(AA3:AG3)</f>
        <v>14.5</v>
      </c>
      <c r="AA3" s="90">
        <v>7.5</v>
      </c>
      <c r="AB3" s="90">
        <v>6</v>
      </c>
      <c r="AC3" s="90"/>
      <c r="AD3" s="90"/>
      <c r="AE3" s="90"/>
      <c r="AF3" s="90"/>
      <c r="AG3" s="91">
        <v>1</v>
      </c>
      <c r="AH3" s="93">
        <v>5</v>
      </c>
      <c r="AI3" s="69">
        <v>3</v>
      </c>
      <c r="AJ3" s="69"/>
      <c r="AK3" s="69"/>
      <c r="AL3" s="69"/>
      <c r="AM3" s="69"/>
      <c r="AN3" s="92">
        <v>0</v>
      </c>
      <c r="AO3" s="92">
        <v>0</v>
      </c>
    </row>
    <row r="4" spans="1:42" ht="19.5" thickBot="1" x14ac:dyDescent="0.35">
      <c r="A4" s="18">
        <v>5</v>
      </c>
      <c r="B4" s="367" t="s">
        <v>408</v>
      </c>
      <c r="C4" s="1">
        <v>16</v>
      </c>
      <c r="D4" s="81">
        <f ca="1">-361+$B$25-$B$27-110-150-112-302</f>
        <v>20</v>
      </c>
      <c r="E4" s="19"/>
      <c r="F4" s="82">
        <f ca="1">G4-TODAY()</f>
        <v>-102</v>
      </c>
      <c r="G4" s="83">
        <v>44590</v>
      </c>
      <c r="H4" s="94"/>
      <c r="I4" s="85"/>
      <c r="J4" s="86">
        <f t="shared" ref="J4:K4" si="1">COUNT(L4,N4,P4,R4,T4,V4,X4)</f>
        <v>3</v>
      </c>
      <c r="K4" s="98">
        <f t="shared" si="1"/>
        <v>6</v>
      </c>
      <c r="L4" s="217"/>
      <c r="M4" s="185">
        <v>1.99</v>
      </c>
      <c r="N4" s="186">
        <v>5</v>
      </c>
      <c r="O4" s="185">
        <v>5.99</v>
      </c>
      <c r="P4" s="186">
        <v>4</v>
      </c>
      <c r="Q4" s="185">
        <v>5.99</v>
      </c>
      <c r="R4" s="217"/>
      <c r="S4" s="185">
        <v>3.99</v>
      </c>
      <c r="T4" s="186">
        <v>4</v>
      </c>
      <c r="U4" s="185">
        <v>4.99</v>
      </c>
      <c r="V4" s="186"/>
      <c r="W4" s="185">
        <v>4.99</v>
      </c>
      <c r="X4" s="186"/>
      <c r="Y4" s="185"/>
      <c r="Z4" s="88">
        <f>SUM(AA4:AG4)</f>
        <v>29.5</v>
      </c>
      <c r="AA4" s="96">
        <v>0</v>
      </c>
      <c r="AB4" s="89">
        <v>10</v>
      </c>
      <c r="AC4" s="90">
        <v>9</v>
      </c>
      <c r="AD4" s="90">
        <v>1.5</v>
      </c>
      <c r="AE4" s="90">
        <v>4</v>
      </c>
      <c r="AF4" s="90">
        <v>5</v>
      </c>
      <c r="AG4" s="91"/>
      <c r="AH4" s="93"/>
      <c r="AI4" s="69">
        <v>5.5</v>
      </c>
      <c r="AJ4" s="69">
        <v>5</v>
      </c>
      <c r="AK4" s="69">
        <v>6</v>
      </c>
      <c r="AL4" s="69">
        <v>6</v>
      </c>
      <c r="AM4" s="69">
        <v>5.5</v>
      </c>
      <c r="AN4" s="92">
        <v>0</v>
      </c>
      <c r="AO4" s="92">
        <v>0</v>
      </c>
    </row>
    <row r="5" spans="1:42" ht="19.5" thickBot="1" x14ac:dyDescent="0.35">
      <c r="A5" s="18">
        <v>2</v>
      </c>
      <c r="B5" s="367" t="s">
        <v>386</v>
      </c>
      <c r="C5" s="1">
        <v>17</v>
      </c>
      <c r="D5" s="81">
        <f ca="1">$B$25-$B$27-856-112</f>
        <v>87</v>
      </c>
      <c r="E5" s="19"/>
      <c r="F5" s="82">
        <f ca="1">G5-TODAY()</f>
        <v>-158</v>
      </c>
      <c r="G5" s="83">
        <v>44534</v>
      </c>
      <c r="H5" s="85"/>
      <c r="I5" s="85"/>
      <c r="J5" s="86">
        <f t="shared" ref="J5:K5" si="2">COUNT(L5,N5,P5,R5,T5,V5,X5)</f>
        <v>4</v>
      </c>
      <c r="K5" s="98">
        <f t="shared" si="2"/>
        <v>6</v>
      </c>
      <c r="L5" s="217"/>
      <c r="M5" s="185">
        <v>1.99</v>
      </c>
      <c r="N5" s="186">
        <v>2</v>
      </c>
      <c r="O5" s="185">
        <v>2.99</v>
      </c>
      <c r="P5" s="186">
        <v>5</v>
      </c>
      <c r="Q5" s="185">
        <v>6.99</v>
      </c>
      <c r="R5" s="317"/>
      <c r="S5" s="316">
        <v>4.99</v>
      </c>
      <c r="T5" s="317">
        <v>6</v>
      </c>
      <c r="U5" s="316">
        <v>6.99</v>
      </c>
      <c r="V5" s="317">
        <v>1</v>
      </c>
      <c r="W5" s="316">
        <v>1.99</v>
      </c>
      <c r="X5" s="186"/>
      <c r="Y5" s="185"/>
      <c r="Z5" s="88">
        <f>SUM(AA5:AG5)</f>
        <v>23.5</v>
      </c>
      <c r="AA5" s="96"/>
      <c r="AB5" s="89">
        <v>0</v>
      </c>
      <c r="AC5" s="90">
        <v>12</v>
      </c>
      <c r="AD5" s="90">
        <v>3.5</v>
      </c>
      <c r="AE5" s="90">
        <v>10</v>
      </c>
      <c r="AF5" s="90">
        <v>-2</v>
      </c>
      <c r="AG5" s="91"/>
      <c r="AH5" s="93"/>
      <c r="AI5" s="69">
        <v>3</v>
      </c>
      <c r="AJ5" s="69"/>
      <c r="AK5" s="69">
        <v>6.5</v>
      </c>
      <c r="AL5" s="69"/>
      <c r="AM5" s="69"/>
      <c r="AN5" s="92">
        <v>0</v>
      </c>
      <c r="AO5" s="92">
        <v>0</v>
      </c>
    </row>
    <row r="6" spans="1:42" ht="19.5" thickBot="1" x14ac:dyDescent="0.35">
      <c r="A6" s="18">
        <v>4</v>
      </c>
      <c r="B6" s="367" t="s">
        <v>369</v>
      </c>
      <c r="C6" s="1">
        <v>17</v>
      </c>
      <c r="D6" s="81">
        <f ca="1">-49+$B$25-$B$27-683-112-112</f>
        <v>99</v>
      </c>
      <c r="E6" s="19" t="s">
        <v>116</v>
      </c>
      <c r="F6" s="82">
        <f ca="1">G6-TODAY()</f>
        <v>-99</v>
      </c>
      <c r="G6" s="83">
        <v>44593</v>
      </c>
      <c r="H6" s="94"/>
      <c r="I6" s="85"/>
      <c r="J6" s="86">
        <f>COUNT(L6,N6,P6,R6,T6,V6,X6)</f>
        <v>5</v>
      </c>
      <c r="K6" s="87">
        <f>COUNT(M6,O6,Q6,S6,U6,W6,Y6)</f>
        <v>6</v>
      </c>
      <c r="L6" s="217"/>
      <c r="M6" s="185"/>
      <c r="N6" s="317">
        <v>4</v>
      </c>
      <c r="O6" s="316">
        <v>4.99</v>
      </c>
      <c r="P6" s="317">
        <v>5</v>
      </c>
      <c r="Q6" s="316">
        <v>6.99</v>
      </c>
      <c r="R6" s="318"/>
      <c r="S6" s="316">
        <v>2.99</v>
      </c>
      <c r="T6" s="186">
        <v>3</v>
      </c>
      <c r="U6" s="185">
        <v>3.99</v>
      </c>
      <c r="V6" s="186">
        <v>3</v>
      </c>
      <c r="W6" s="185">
        <v>3.99</v>
      </c>
      <c r="X6" s="186">
        <v>3</v>
      </c>
      <c r="Y6" s="185">
        <v>3.99</v>
      </c>
      <c r="Z6" s="88">
        <f>SUM(AA6:AG6)</f>
        <v>23</v>
      </c>
      <c r="AA6" s="96"/>
      <c r="AB6" s="89">
        <v>6</v>
      </c>
      <c r="AC6" s="90">
        <v>12</v>
      </c>
      <c r="AD6" s="90">
        <v>0</v>
      </c>
      <c r="AE6" s="90">
        <v>2</v>
      </c>
      <c r="AF6" s="90">
        <v>2</v>
      </c>
      <c r="AG6" s="91">
        <v>1</v>
      </c>
      <c r="AH6" s="93">
        <v>1.5</v>
      </c>
      <c r="AI6" s="69">
        <v>4.5</v>
      </c>
      <c r="AJ6" s="69"/>
      <c r="AK6" s="69">
        <v>6.5</v>
      </c>
      <c r="AL6" s="69">
        <v>5</v>
      </c>
      <c r="AM6" s="69">
        <v>4.5</v>
      </c>
      <c r="AN6" s="92">
        <v>0</v>
      </c>
      <c r="AO6" s="92">
        <v>0</v>
      </c>
    </row>
    <row r="7" spans="1:42" ht="19.5" thickBot="1" x14ac:dyDescent="0.35">
      <c r="A7" s="18">
        <v>3</v>
      </c>
      <c r="B7" s="367" t="s">
        <v>407</v>
      </c>
      <c r="C7" s="1">
        <v>17</v>
      </c>
      <c r="D7" s="81">
        <f ca="1">84+$B$25-$B$27-1132</f>
        <v>7</v>
      </c>
      <c r="E7" s="19"/>
      <c r="F7" s="82">
        <f ca="1">G7-TODAY()</f>
        <v>-144</v>
      </c>
      <c r="G7" s="223">
        <v>44548</v>
      </c>
      <c r="H7" s="84"/>
      <c r="I7" s="97"/>
      <c r="J7" s="86">
        <f t="shared" si="0"/>
        <v>3</v>
      </c>
      <c r="K7" s="87">
        <f t="shared" si="0"/>
        <v>5</v>
      </c>
      <c r="L7" s="217"/>
      <c r="M7" s="185"/>
      <c r="N7" s="186">
        <v>2</v>
      </c>
      <c r="O7" s="185">
        <v>2.99</v>
      </c>
      <c r="P7" s="186">
        <v>5</v>
      </c>
      <c r="Q7" s="185">
        <v>6.99</v>
      </c>
      <c r="R7" s="186"/>
      <c r="S7" s="185">
        <v>4.99</v>
      </c>
      <c r="T7" s="186">
        <v>3</v>
      </c>
      <c r="U7" s="185">
        <v>3.99</v>
      </c>
      <c r="V7" s="317"/>
      <c r="W7" s="316">
        <v>4.99</v>
      </c>
      <c r="X7" s="186"/>
      <c r="Y7" s="185"/>
      <c r="Z7" s="88">
        <f>SUM(AA7:AG7)</f>
        <v>22.5</v>
      </c>
      <c r="AA7" s="96"/>
      <c r="AB7" s="89">
        <v>0</v>
      </c>
      <c r="AC7" s="90">
        <v>12</v>
      </c>
      <c r="AD7" s="90">
        <v>3.5</v>
      </c>
      <c r="AE7" s="90">
        <v>2</v>
      </c>
      <c r="AF7" s="90">
        <v>5</v>
      </c>
      <c r="AG7" s="91"/>
      <c r="AH7" s="93"/>
      <c r="AI7" s="69">
        <v>5</v>
      </c>
      <c r="AJ7" s="69">
        <v>6</v>
      </c>
      <c r="AK7" s="69">
        <v>3.5</v>
      </c>
      <c r="AL7" s="69">
        <v>5.5</v>
      </c>
      <c r="AM7" s="69">
        <v>5.5</v>
      </c>
      <c r="AN7" s="92">
        <v>0</v>
      </c>
      <c r="AO7" s="92">
        <v>0</v>
      </c>
    </row>
    <row r="8" spans="1:42" s="390" customFormat="1" ht="7.5" customHeight="1" thickBot="1" x14ac:dyDescent="0.35">
      <c r="A8" s="368"/>
      <c r="B8" s="369"/>
      <c r="C8" s="370"/>
      <c r="D8" s="371"/>
      <c r="E8" s="372"/>
      <c r="F8" s="373"/>
      <c r="G8" s="374"/>
      <c r="H8" s="375"/>
      <c r="I8" s="376"/>
      <c r="J8" s="377"/>
      <c r="K8" s="378"/>
      <c r="L8" s="379"/>
      <c r="M8" s="380"/>
      <c r="N8" s="381"/>
      <c r="O8" s="380"/>
      <c r="P8" s="381"/>
      <c r="Q8" s="380"/>
      <c r="R8" s="381"/>
      <c r="S8" s="380"/>
      <c r="T8" s="381"/>
      <c r="U8" s="380"/>
      <c r="V8" s="381"/>
      <c r="W8" s="380"/>
      <c r="X8" s="381"/>
      <c r="Y8" s="380"/>
      <c r="Z8" s="382"/>
      <c r="AA8" s="383"/>
      <c r="AB8" s="384"/>
      <c r="AC8" s="385"/>
      <c r="AD8" s="385"/>
      <c r="AE8" s="385"/>
      <c r="AF8" s="385"/>
      <c r="AG8" s="386"/>
      <c r="AH8" s="387"/>
      <c r="AI8" s="388"/>
      <c r="AJ8" s="388"/>
      <c r="AK8" s="388"/>
      <c r="AL8" s="388"/>
      <c r="AM8" s="388"/>
      <c r="AN8" s="389"/>
      <c r="AO8" s="389"/>
    </row>
    <row r="9" spans="1:42" ht="19.5" thickBot="1" x14ac:dyDescent="0.35">
      <c r="A9" s="18">
        <v>8</v>
      </c>
      <c r="B9" s="367" t="s">
        <v>409</v>
      </c>
      <c r="C9" s="1">
        <v>17</v>
      </c>
      <c r="D9" s="81">
        <f ca="1">39+$B$25-$B$27-1090</f>
        <v>4</v>
      </c>
      <c r="E9" s="19"/>
      <c r="F9" s="82">
        <f ca="1">G9-TODAY()</f>
        <v>-81</v>
      </c>
      <c r="G9" s="83">
        <v>44611</v>
      </c>
      <c r="H9" s="84"/>
      <c r="I9" s="85"/>
      <c r="J9" s="86">
        <f>COUNT(L9,N9,P9,R9,T9,V9,X9)</f>
        <v>2</v>
      </c>
      <c r="K9" s="87">
        <f>COUNT(M9,O9,Q9,S9,U9,W9,Y9)</f>
        <v>3</v>
      </c>
      <c r="L9" s="217"/>
      <c r="M9" s="185"/>
      <c r="N9" s="186">
        <v>4</v>
      </c>
      <c r="O9" s="185">
        <v>4.99</v>
      </c>
      <c r="P9" s="186"/>
      <c r="Q9" s="185"/>
      <c r="R9" s="186"/>
      <c r="S9" s="185"/>
      <c r="T9" s="186">
        <v>4</v>
      </c>
      <c r="U9" s="185">
        <v>4.99</v>
      </c>
      <c r="V9" s="186"/>
      <c r="W9" s="185">
        <v>4.99</v>
      </c>
      <c r="X9" s="186"/>
      <c r="Y9" s="185"/>
      <c r="Z9" s="88">
        <f>SUM(AA9:AG9)</f>
        <v>15</v>
      </c>
      <c r="AA9" s="89"/>
      <c r="AB9" s="89">
        <v>6</v>
      </c>
      <c r="AC9" s="90"/>
      <c r="AD9" s="90"/>
      <c r="AE9" s="90">
        <v>4</v>
      </c>
      <c r="AF9" s="90">
        <v>5</v>
      </c>
      <c r="AG9" s="91"/>
      <c r="AH9" s="93"/>
      <c r="AI9" s="69">
        <v>3.5</v>
      </c>
      <c r="AJ9" s="69">
        <v>6</v>
      </c>
      <c r="AK9" s="69"/>
      <c r="AL9" s="69"/>
      <c r="AM9" s="69">
        <v>5.5</v>
      </c>
      <c r="AN9" s="92">
        <v>0</v>
      </c>
      <c r="AO9" s="92">
        <v>1</v>
      </c>
    </row>
    <row r="10" spans="1:42" ht="19.5" thickBot="1" x14ac:dyDescent="0.35">
      <c r="A10" s="18">
        <v>64</v>
      </c>
      <c r="B10" s="367" t="s">
        <v>411</v>
      </c>
      <c r="C10" s="1">
        <v>16</v>
      </c>
      <c r="D10" s="81">
        <f ca="1">67+$B$25-$B$27-602-50-112-112-230</f>
        <v>16</v>
      </c>
      <c r="E10" s="19"/>
      <c r="F10" s="82">
        <f ca="1">G10-TODAY()</f>
        <v>96</v>
      </c>
      <c r="G10" s="83">
        <v>44788</v>
      </c>
      <c r="H10" s="94"/>
      <c r="I10" s="85"/>
      <c r="J10" s="86">
        <f t="shared" ref="J10:K10" si="3">COUNT(L10,N10,P10,R10,T10,V10,X10)</f>
        <v>2</v>
      </c>
      <c r="K10" s="87">
        <f t="shared" si="3"/>
        <v>3</v>
      </c>
      <c r="L10" s="217"/>
      <c r="M10" s="185"/>
      <c r="N10" s="186"/>
      <c r="O10" s="185">
        <v>3.99</v>
      </c>
      <c r="P10" s="317"/>
      <c r="Q10" s="316"/>
      <c r="R10" s="186">
        <v>4</v>
      </c>
      <c r="S10" s="185"/>
      <c r="T10" s="315">
        <v>3</v>
      </c>
      <c r="U10" s="316">
        <v>3.99</v>
      </c>
      <c r="V10" s="317"/>
      <c r="W10" s="316">
        <v>6.99</v>
      </c>
      <c r="X10" s="186"/>
      <c r="Y10" s="185"/>
      <c r="Z10" s="88">
        <f t="shared" ref="Z10" si="4">SUM(AA10:AG10)</f>
        <v>22.5</v>
      </c>
      <c r="AA10" s="96"/>
      <c r="AB10" s="89">
        <v>3</v>
      </c>
      <c r="AC10" s="90"/>
      <c r="AD10" s="90">
        <v>5.5</v>
      </c>
      <c r="AE10" s="90">
        <v>2</v>
      </c>
      <c r="AF10" s="90">
        <v>12</v>
      </c>
      <c r="AG10" s="91"/>
      <c r="AH10" s="93">
        <v>1.5</v>
      </c>
      <c r="AI10" s="69">
        <v>3.5</v>
      </c>
      <c r="AJ10" s="69">
        <v>3</v>
      </c>
      <c r="AK10" s="69">
        <v>4.5</v>
      </c>
      <c r="AL10" s="69">
        <v>4</v>
      </c>
      <c r="AM10" s="69">
        <v>7</v>
      </c>
      <c r="AN10" s="92">
        <v>1</v>
      </c>
      <c r="AO10" s="92">
        <v>0</v>
      </c>
    </row>
    <row r="11" spans="1:42" ht="19.5" thickBot="1" x14ac:dyDescent="0.35">
      <c r="A11" s="18">
        <v>14</v>
      </c>
      <c r="B11" s="367" t="s">
        <v>415</v>
      </c>
      <c r="C11" s="1">
        <v>16</v>
      </c>
      <c r="D11" s="81">
        <f ca="1">-27+$B$25-$B$27-112-112-112-112-50-98-112-112-99</f>
        <v>109</v>
      </c>
      <c r="E11" s="19"/>
      <c r="F11" s="82">
        <f t="shared" ref="F11" ca="1" si="5">G11-TODAY()</f>
        <v>-14</v>
      </c>
      <c r="G11" s="83">
        <v>44678</v>
      </c>
      <c r="H11" s="85"/>
      <c r="I11" s="85"/>
      <c r="J11" s="86">
        <f t="shared" ref="J11:K11" si="6">COUNT(L11,N11,P11,R11,T11,V11,X11)</f>
        <v>1</v>
      </c>
      <c r="K11" s="98">
        <f t="shared" si="6"/>
        <v>3</v>
      </c>
      <c r="L11" s="217"/>
      <c r="M11" s="185"/>
      <c r="N11" s="186"/>
      <c r="O11" s="185">
        <v>5.99</v>
      </c>
      <c r="P11" s="217"/>
      <c r="Q11" s="185"/>
      <c r="R11" s="186"/>
      <c r="S11" s="185">
        <v>2.99</v>
      </c>
      <c r="T11" s="186">
        <v>3</v>
      </c>
      <c r="U11" s="185">
        <v>4.99</v>
      </c>
      <c r="V11" s="186"/>
      <c r="W11" s="185"/>
      <c r="X11" s="186"/>
      <c r="Y11" s="185"/>
      <c r="Z11" s="88">
        <f>SUM(AA11:AG11)</f>
        <v>16</v>
      </c>
      <c r="AA11" s="96"/>
      <c r="AB11" s="89">
        <v>10</v>
      </c>
      <c r="AC11" s="90"/>
      <c r="AD11" s="90">
        <v>2</v>
      </c>
      <c r="AE11" s="90">
        <v>4</v>
      </c>
      <c r="AF11" s="90"/>
      <c r="AG11" s="91"/>
      <c r="AH11" s="93">
        <v>1.5</v>
      </c>
      <c r="AI11" s="69">
        <v>2</v>
      </c>
      <c r="AJ11" s="69">
        <v>3.5</v>
      </c>
      <c r="AK11" s="69">
        <v>3.5</v>
      </c>
      <c r="AL11" s="69">
        <v>4.5</v>
      </c>
      <c r="AM11" s="69">
        <v>3</v>
      </c>
      <c r="AN11" s="92">
        <v>0</v>
      </c>
      <c r="AO11" s="92">
        <v>0</v>
      </c>
    </row>
    <row r="12" spans="1:42" s="390" customFormat="1" ht="7.5" customHeight="1" thickBot="1" x14ac:dyDescent="0.35">
      <c r="A12" s="368"/>
      <c r="B12" s="391"/>
      <c r="C12" s="370"/>
      <c r="D12" s="371"/>
      <c r="E12" s="372"/>
      <c r="F12" s="373"/>
      <c r="G12" s="374"/>
      <c r="H12" s="375"/>
      <c r="I12" s="376"/>
      <c r="J12" s="377"/>
      <c r="K12" s="378"/>
      <c r="L12" s="379"/>
      <c r="M12" s="380"/>
      <c r="N12" s="381"/>
      <c r="O12" s="380"/>
      <c r="P12" s="381"/>
      <c r="Q12" s="380"/>
      <c r="R12" s="381"/>
      <c r="S12" s="380"/>
      <c r="T12" s="381"/>
      <c r="U12" s="380"/>
      <c r="V12" s="381"/>
      <c r="W12" s="380"/>
      <c r="X12" s="381"/>
      <c r="Y12" s="380"/>
      <c r="Z12" s="382"/>
      <c r="AA12" s="383"/>
      <c r="AB12" s="384"/>
      <c r="AC12" s="385"/>
      <c r="AD12" s="385"/>
      <c r="AE12" s="385"/>
      <c r="AF12" s="385"/>
      <c r="AG12" s="386"/>
      <c r="AH12" s="387"/>
      <c r="AI12" s="388"/>
      <c r="AJ12" s="388"/>
      <c r="AK12" s="388"/>
      <c r="AL12" s="388"/>
      <c r="AM12" s="388"/>
      <c r="AN12" s="389"/>
      <c r="AO12" s="389"/>
    </row>
    <row r="13" spans="1:42" ht="19.5" thickBot="1" x14ac:dyDescent="0.35">
      <c r="A13" s="18">
        <v>14</v>
      </c>
      <c r="B13" s="367" t="s">
        <v>325</v>
      </c>
      <c r="C13" s="1">
        <v>17</v>
      </c>
      <c r="D13" s="81">
        <f ca="1">2+$B$25-$B$27-742-112-112</f>
        <v>91</v>
      </c>
      <c r="E13" s="19"/>
      <c r="F13" s="82">
        <f ca="1">G13-TODAY()</f>
        <v>-91</v>
      </c>
      <c r="G13" s="83">
        <v>44601</v>
      </c>
      <c r="H13" s="85"/>
      <c r="I13" s="85"/>
      <c r="J13" s="86">
        <f t="shared" ref="J13:K13" si="7">COUNT(L13,N13,P13,R13,T13,V13,X13)</f>
        <v>4</v>
      </c>
      <c r="K13" s="87">
        <f t="shared" si="7"/>
        <v>7</v>
      </c>
      <c r="L13" s="217"/>
      <c r="M13" s="185">
        <v>1.99</v>
      </c>
      <c r="N13" s="186">
        <v>3</v>
      </c>
      <c r="O13" s="185">
        <v>3.99</v>
      </c>
      <c r="P13" s="186">
        <v>4</v>
      </c>
      <c r="Q13" s="185">
        <v>4.99</v>
      </c>
      <c r="R13" s="186"/>
      <c r="S13" s="185">
        <v>3.99</v>
      </c>
      <c r="T13" s="315">
        <v>4</v>
      </c>
      <c r="U13" s="316">
        <v>4.99</v>
      </c>
      <c r="V13" s="317">
        <v>3</v>
      </c>
      <c r="W13" s="316">
        <v>4.99</v>
      </c>
      <c r="X13" s="186"/>
      <c r="Y13" s="185">
        <v>5</v>
      </c>
      <c r="Z13" s="88">
        <f t="shared" ref="Z13" si="8">SUM(AA13:AG13)</f>
        <v>22.5</v>
      </c>
      <c r="AA13" s="96"/>
      <c r="AB13" s="89">
        <v>3</v>
      </c>
      <c r="AC13" s="90">
        <v>6</v>
      </c>
      <c r="AD13" s="90">
        <v>1.5</v>
      </c>
      <c r="AE13" s="90">
        <v>4</v>
      </c>
      <c r="AF13" s="90">
        <v>5</v>
      </c>
      <c r="AG13" s="91">
        <v>3</v>
      </c>
      <c r="AH13" s="93">
        <v>2</v>
      </c>
      <c r="AI13" s="69">
        <v>3.5</v>
      </c>
      <c r="AJ13" s="69">
        <v>4</v>
      </c>
      <c r="AK13" s="69">
        <v>4.5</v>
      </c>
      <c r="AL13" s="69">
        <v>5</v>
      </c>
      <c r="AM13" s="69">
        <v>6.5</v>
      </c>
      <c r="AN13" s="92">
        <v>0</v>
      </c>
      <c r="AO13" s="92">
        <v>0</v>
      </c>
    </row>
    <row r="14" spans="1:42" ht="19.5" thickBot="1" x14ac:dyDescent="0.35">
      <c r="A14" s="18">
        <v>40</v>
      </c>
      <c r="B14" s="367" t="s">
        <v>410</v>
      </c>
      <c r="C14" s="1">
        <v>16</v>
      </c>
      <c r="D14" s="81">
        <f ca="1">$B$25-$B$27-652-112-112-116</f>
        <v>63</v>
      </c>
      <c r="E14" s="19" t="s">
        <v>112</v>
      </c>
      <c r="F14" s="82">
        <f ca="1">G14-TODAY()</f>
        <v>-32</v>
      </c>
      <c r="G14" s="83">
        <v>44660</v>
      </c>
      <c r="H14" s="94"/>
      <c r="I14" s="85"/>
      <c r="J14" s="86">
        <f>COUNT(L14,N14,P14,R14,T14,V14,X14)</f>
        <v>2</v>
      </c>
      <c r="K14" s="98">
        <f>COUNT(M14,O14,Q14,S14,U14,W14,Y14)</f>
        <v>3</v>
      </c>
      <c r="L14" s="217"/>
      <c r="M14" s="185"/>
      <c r="N14" s="186"/>
      <c r="O14" s="185">
        <v>4.99</v>
      </c>
      <c r="P14" s="186"/>
      <c r="Q14" s="219"/>
      <c r="R14" s="186"/>
      <c r="S14" s="185">
        <v>1.99</v>
      </c>
      <c r="T14" s="186">
        <v>5</v>
      </c>
      <c r="U14" s="185">
        <v>5.99</v>
      </c>
      <c r="V14" s="186">
        <v>3</v>
      </c>
      <c r="W14" s="185"/>
      <c r="X14" s="186"/>
      <c r="Y14" s="185"/>
      <c r="Z14" s="88">
        <f>SUM(AA14:AG14)</f>
        <v>20</v>
      </c>
      <c r="AA14" s="96"/>
      <c r="AB14" s="89">
        <v>6</v>
      </c>
      <c r="AC14" s="90"/>
      <c r="AD14" s="90"/>
      <c r="AE14" s="90">
        <v>12</v>
      </c>
      <c r="AF14" s="90">
        <v>2</v>
      </c>
      <c r="AG14" s="91"/>
      <c r="AH14" s="93"/>
      <c r="AI14" s="69"/>
      <c r="AJ14" s="69"/>
      <c r="AK14" s="69">
        <v>3.5</v>
      </c>
      <c r="AL14" s="69">
        <v>3.5</v>
      </c>
      <c r="AM14" s="69">
        <v>5</v>
      </c>
      <c r="AN14" s="92">
        <v>0</v>
      </c>
      <c r="AO14" s="92">
        <v>0</v>
      </c>
      <c r="AP14" t="s">
        <v>327</v>
      </c>
    </row>
    <row r="15" spans="1:42" ht="19.5" thickBot="1" x14ac:dyDescent="0.35">
      <c r="A15" s="18">
        <v>51</v>
      </c>
      <c r="B15" s="367" t="s">
        <v>412</v>
      </c>
      <c r="C15" s="1">
        <v>16</v>
      </c>
      <c r="D15" s="81">
        <f ca="1">84+$B$25-$B$27-347-112-105-49-112-112-14-112-110</f>
        <v>66</v>
      </c>
      <c r="E15" s="19"/>
      <c r="F15" s="82">
        <f t="shared" ref="F15" ca="1" si="9">G15-TODAY()</f>
        <v>-88</v>
      </c>
      <c r="G15" s="83">
        <v>44604</v>
      </c>
      <c r="H15" s="94">
        <v>4</v>
      </c>
      <c r="I15" s="85"/>
      <c r="J15" s="86">
        <f t="shared" ref="J15:K15" si="10">COUNT(L15,N15,P15,R15,T15,V15,X15)</f>
        <v>3</v>
      </c>
      <c r="K15" s="87">
        <f t="shared" si="10"/>
        <v>5</v>
      </c>
      <c r="L15" s="217"/>
      <c r="M15" s="185"/>
      <c r="N15" s="217">
        <v>3</v>
      </c>
      <c r="O15" s="185">
        <v>3.99</v>
      </c>
      <c r="P15" s="217"/>
      <c r="Q15" s="185">
        <v>3.99</v>
      </c>
      <c r="R15" s="217"/>
      <c r="S15" s="185">
        <v>5.99</v>
      </c>
      <c r="T15" s="186">
        <v>3</v>
      </c>
      <c r="U15" s="185">
        <v>3.99</v>
      </c>
      <c r="V15" s="186">
        <v>4</v>
      </c>
      <c r="W15" s="185">
        <v>4.99</v>
      </c>
      <c r="X15" s="186"/>
      <c r="Y15" s="185"/>
      <c r="Z15" s="88">
        <f t="shared" ref="Z15" si="11">SUM(AA15:AG15)</f>
        <v>18.5</v>
      </c>
      <c r="AA15" s="89"/>
      <c r="AB15" s="89">
        <v>3</v>
      </c>
      <c r="AC15" s="90">
        <v>3</v>
      </c>
      <c r="AD15" s="90">
        <v>5.5</v>
      </c>
      <c r="AE15" s="90">
        <v>2</v>
      </c>
      <c r="AF15" s="90">
        <v>5</v>
      </c>
      <c r="AG15" s="91"/>
      <c r="AH15" s="93"/>
      <c r="AI15" s="69">
        <v>3</v>
      </c>
      <c r="AJ15" s="69">
        <v>4.5</v>
      </c>
      <c r="AK15" s="69"/>
      <c r="AL15" s="69">
        <v>5</v>
      </c>
      <c r="AM15" s="69">
        <v>6</v>
      </c>
      <c r="AN15" s="92">
        <v>0</v>
      </c>
      <c r="AO15" s="92">
        <v>0</v>
      </c>
    </row>
    <row r="16" spans="1:42" ht="19.5" thickBot="1" x14ac:dyDescent="0.35">
      <c r="A16" s="18">
        <v>52</v>
      </c>
      <c r="B16" s="367" t="s">
        <v>292</v>
      </c>
      <c r="C16" s="1">
        <v>17</v>
      </c>
      <c r="D16" s="81">
        <f ca="1">-417+$B$25-$B$27-310-112-112</f>
        <v>104</v>
      </c>
      <c r="E16" s="19" t="s">
        <v>102</v>
      </c>
      <c r="F16" s="82">
        <f ca="1">G16-TODAY()</f>
        <v>-507</v>
      </c>
      <c r="G16" s="83">
        <v>44185</v>
      </c>
      <c r="H16" s="85"/>
      <c r="I16" s="99"/>
      <c r="J16" s="86">
        <f>COUNT(L16,N16,P16,R16,T16,V16,X16)</f>
        <v>4</v>
      </c>
      <c r="K16" s="98">
        <f>COUNT(M16,O16,Q16,S16,U16,W16,Y16)</f>
        <v>7</v>
      </c>
      <c r="L16" s="217"/>
      <c r="M16" s="185">
        <v>1.99</v>
      </c>
      <c r="N16" s="186">
        <v>2</v>
      </c>
      <c r="O16" s="185">
        <v>2.99</v>
      </c>
      <c r="P16" s="186">
        <v>2</v>
      </c>
      <c r="Q16" s="185">
        <v>2.99</v>
      </c>
      <c r="R16" s="317">
        <v>3</v>
      </c>
      <c r="S16" s="316">
        <v>5.99</v>
      </c>
      <c r="T16" s="317">
        <v>5</v>
      </c>
      <c r="U16" s="316">
        <v>5.99</v>
      </c>
      <c r="V16" s="186"/>
      <c r="W16" s="185">
        <v>3.99</v>
      </c>
      <c r="X16" s="186"/>
      <c r="Y16" s="185">
        <v>3.99</v>
      </c>
      <c r="Z16" s="88">
        <f t="shared" ref="Z16" si="12">SUM(AA16:AG16)</f>
        <v>15.5</v>
      </c>
      <c r="AA16" s="96"/>
      <c r="AB16" s="89">
        <v>0</v>
      </c>
      <c r="AC16" s="90">
        <v>0</v>
      </c>
      <c r="AD16" s="90">
        <v>5.5</v>
      </c>
      <c r="AE16" s="90">
        <v>7</v>
      </c>
      <c r="AF16" s="90">
        <v>2</v>
      </c>
      <c r="AG16" s="91">
        <v>1</v>
      </c>
      <c r="AH16" s="93">
        <v>2</v>
      </c>
      <c r="AI16" s="69">
        <v>3</v>
      </c>
      <c r="AJ16" s="69">
        <v>3</v>
      </c>
      <c r="AK16" s="69">
        <v>3</v>
      </c>
      <c r="AL16" s="69">
        <v>4.5</v>
      </c>
      <c r="AM16" s="69">
        <v>6.5</v>
      </c>
      <c r="AN16" s="92">
        <v>0</v>
      </c>
      <c r="AO16" s="92">
        <v>0</v>
      </c>
      <c r="AP16" t="s">
        <v>327</v>
      </c>
    </row>
    <row r="17" spans="1:42" ht="19.5" thickBot="1" x14ac:dyDescent="0.35">
      <c r="A17" s="18">
        <v>60</v>
      </c>
      <c r="B17" s="367" t="s">
        <v>414</v>
      </c>
      <c r="C17" s="1">
        <v>18</v>
      </c>
      <c r="D17" s="81">
        <f ca="1">58+$B$25-$B$27-524-112-112-11-112-226</f>
        <v>16</v>
      </c>
      <c r="E17" s="19" t="s">
        <v>102</v>
      </c>
      <c r="F17" s="82">
        <f ca="1">G17-TODAY()</f>
        <v>-136</v>
      </c>
      <c r="G17" s="83">
        <v>44556</v>
      </c>
      <c r="H17" s="94"/>
      <c r="I17" s="95"/>
      <c r="J17" s="86">
        <f t="shared" ref="J17" si="13">COUNT(L17,N17,P17,R17,T17,V17,X17)</f>
        <v>3</v>
      </c>
      <c r="K17" s="87">
        <f t="shared" ref="K17" si="14">COUNT(M17,O17,Q17,S17,U17,W17,Y17)</f>
        <v>6</v>
      </c>
      <c r="L17" s="217"/>
      <c r="M17" s="185">
        <v>1.99</v>
      </c>
      <c r="N17" s="186">
        <v>2</v>
      </c>
      <c r="O17" s="185">
        <v>2.99</v>
      </c>
      <c r="P17" s="186">
        <v>4</v>
      </c>
      <c r="Q17" s="185">
        <v>5.99</v>
      </c>
      <c r="R17" s="317"/>
      <c r="S17" s="316">
        <v>2.99</v>
      </c>
      <c r="T17" s="186">
        <v>4</v>
      </c>
      <c r="U17" s="185">
        <v>4.99</v>
      </c>
      <c r="V17" s="186"/>
      <c r="W17" s="185">
        <v>3.99</v>
      </c>
      <c r="X17" s="186"/>
      <c r="Y17" s="185"/>
      <c r="Z17" s="88">
        <f t="shared" ref="Z17" si="15">SUM(AA17:AG17)</f>
        <v>15</v>
      </c>
      <c r="AA17" s="96">
        <v>0</v>
      </c>
      <c r="AB17" s="89">
        <v>0</v>
      </c>
      <c r="AC17" s="90">
        <v>9</v>
      </c>
      <c r="AD17" s="90">
        <v>0</v>
      </c>
      <c r="AE17" s="90">
        <v>4</v>
      </c>
      <c r="AF17" s="90">
        <v>2</v>
      </c>
      <c r="AG17" s="91"/>
      <c r="AH17" s="93"/>
      <c r="AI17" s="69"/>
      <c r="AJ17" s="69">
        <v>3.5</v>
      </c>
      <c r="AK17" s="69"/>
      <c r="AL17" s="69">
        <v>4</v>
      </c>
      <c r="AM17" s="69"/>
      <c r="AN17" s="92">
        <v>0</v>
      </c>
      <c r="AO17" s="92">
        <v>0</v>
      </c>
      <c r="AP17" t="s">
        <v>327</v>
      </c>
    </row>
    <row r="18" spans="1:42" ht="19.5" thickBot="1" x14ac:dyDescent="0.35">
      <c r="A18" s="18">
        <v>62</v>
      </c>
      <c r="B18" s="367" t="s">
        <v>373</v>
      </c>
      <c r="C18" s="1">
        <v>18</v>
      </c>
      <c r="D18" s="81">
        <f ca="1">68+$B$25-$B$27-730-112-112-112</f>
        <v>57</v>
      </c>
      <c r="E18" s="19" t="s">
        <v>116</v>
      </c>
      <c r="F18" s="82">
        <f ca="1">G18-TODAY()</f>
        <v>-95</v>
      </c>
      <c r="G18" s="83">
        <v>44597</v>
      </c>
      <c r="H18" s="94">
        <v>4</v>
      </c>
      <c r="I18" s="85"/>
      <c r="J18" s="86">
        <f>COUNT(L18,N18,P18,R18,T18,V18,X18)</f>
        <v>2</v>
      </c>
      <c r="K18" s="87">
        <f>COUNT(M18,O18,Q18,S18,U18,W18,Y18)</f>
        <v>6</v>
      </c>
      <c r="L18" s="218"/>
      <c r="M18" s="219">
        <v>1.99</v>
      </c>
      <c r="N18" s="317">
        <v>4</v>
      </c>
      <c r="O18" s="185">
        <v>4.99</v>
      </c>
      <c r="P18" s="317"/>
      <c r="Q18" s="316">
        <v>3.99</v>
      </c>
      <c r="R18" s="317"/>
      <c r="S18" s="316">
        <v>3.99</v>
      </c>
      <c r="T18" s="317">
        <v>3</v>
      </c>
      <c r="U18" s="316">
        <v>3.99</v>
      </c>
      <c r="V18" s="209"/>
      <c r="W18" s="219">
        <v>3.99</v>
      </c>
      <c r="X18" s="209"/>
      <c r="Y18" s="219"/>
      <c r="Z18" s="88">
        <f>SUM(AA18:AG18)</f>
        <v>12</v>
      </c>
      <c r="AA18" s="89">
        <v>0</v>
      </c>
      <c r="AB18" s="89">
        <v>3</v>
      </c>
      <c r="AC18" s="90">
        <v>3</v>
      </c>
      <c r="AD18" s="90">
        <v>2</v>
      </c>
      <c r="AE18" s="90">
        <v>2</v>
      </c>
      <c r="AF18" s="90">
        <v>2</v>
      </c>
      <c r="AG18" s="91"/>
      <c r="AH18" s="93"/>
      <c r="AI18" s="69">
        <v>4</v>
      </c>
      <c r="AJ18" s="69"/>
      <c r="AK18" s="69"/>
      <c r="AL18" s="69">
        <v>5</v>
      </c>
      <c r="AM18" s="69"/>
      <c r="AN18" s="92">
        <v>0</v>
      </c>
      <c r="AO18" s="92">
        <v>0</v>
      </c>
    </row>
    <row r="19" spans="1:42" ht="19.5" thickBot="1" x14ac:dyDescent="0.35">
      <c r="A19" s="18">
        <v>53</v>
      </c>
      <c r="B19" s="367" t="s">
        <v>413</v>
      </c>
      <c r="C19" s="1">
        <v>16</v>
      </c>
      <c r="D19" s="81">
        <f ca="1">-825+$B$25-$B$27-212</f>
        <v>18</v>
      </c>
      <c r="E19" s="19" t="s">
        <v>102</v>
      </c>
      <c r="F19" s="82">
        <f t="shared" ref="F19" ca="1" si="16">G19-TODAY()</f>
        <v>94</v>
      </c>
      <c r="G19" s="83">
        <v>44786</v>
      </c>
      <c r="H19" s="94">
        <v>3</v>
      </c>
      <c r="I19" s="85"/>
      <c r="J19" s="86">
        <f>COUNT(L19,N19,P19,R19,T19,V19,X19)</f>
        <v>3</v>
      </c>
      <c r="K19" s="87">
        <f>COUNT(M19,O19,Q19,S19,U19,W19,Y19)</f>
        <v>5</v>
      </c>
      <c r="L19" s="217"/>
      <c r="M19" s="185"/>
      <c r="N19" s="186"/>
      <c r="O19" s="185">
        <v>1.99</v>
      </c>
      <c r="P19" s="186">
        <v>4</v>
      </c>
      <c r="Q19" s="185">
        <v>4.99</v>
      </c>
      <c r="R19" s="186"/>
      <c r="S19" s="185">
        <v>4.99</v>
      </c>
      <c r="T19" s="186">
        <v>3</v>
      </c>
      <c r="U19" s="185">
        <v>4.99</v>
      </c>
      <c r="V19" s="186">
        <v>2</v>
      </c>
      <c r="W19" s="185">
        <v>2.99</v>
      </c>
      <c r="X19" s="186"/>
      <c r="Y19" s="185"/>
      <c r="Z19" s="88">
        <f>SUM(AA19:AG19)</f>
        <v>11.5</v>
      </c>
      <c r="AA19" s="89"/>
      <c r="AB19" s="89">
        <v>-2</v>
      </c>
      <c r="AC19" s="90">
        <v>6</v>
      </c>
      <c r="AD19" s="90">
        <v>3.5</v>
      </c>
      <c r="AE19" s="90">
        <v>4</v>
      </c>
      <c r="AF19" s="90">
        <v>0</v>
      </c>
      <c r="AG19" s="91"/>
      <c r="AH19" s="93"/>
      <c r="AI19" s="69"/>
      <c r="AJ19" s="69"/>
      <c r="AK19" s="69">
        <v>3</v>
      </c>
      <c r="AL19" s="69">
        <v>4</v>
      </c>
      <c r="AM19" s="69"/>
      <c r="AN19" s="92">
        <v>0</v>
      </c>
      <c r="AO19" s="92">
        <v>0</v>
      </c>
    </row>
    <row r="20" spans="1:42" ht="19.5" thickBot="1" x14ac:dyDescent="0.35">
      <c r="A20" s="18">
        <v>52</v>
      </c>
      <c r="B20" s="367" t="s">
        <v>293</v>
      </c>
      <c r="C20" s="1">
        <v>17</v>
      </c>
      <c r="D20" s="81">
        <f ca="1">-340+$B$25-$B$27-433-112-112</f>
        <v>58</v>
      </c>
      <c r="E20" s="19"/>
      <c r="F20" s="82">
        <f ca="1">G20-TODAY()</f>
        <v>-58</v>
      </c>
      <c r="G20" s="83">
        <v>44634</v>
      </c>
      <c r="H20" s="94"/>
      <c r="I20" s="85"/>
      <c r="J20" s="86">
        <f t="shared" ref="J20:K20" si="17">COUNT(L20,N20,P20,R20,T20,V20,X20)</f>
        <v>2</v>
      </c>
      <c r="K20" s="87">
        <f t="shared" si="17"/>
        <v>5</v>
      </c>
      <c r="L20" s="220"/>
      <c r="M20" s="221"/>
      <c r="N20" s="186"/>
      <c r="O20" s="185">
        <v>1.99</v>
      </c>
      <c r="P20" s="186"/>
      <c r="Q20" s="185">
        <v>2.99</v>
      </c>
      <c r="R20" s="317">
        <v>4</v>
      </c>
      <c r="S20" s="316">
        <v>5.99</v>
      </c>
      <c r="T20" s="186">
        <v>2</v>
      </c>
      <c r="U20" s="185">
        <v>2.99</v>
      </c>
      <c r="V20" s="319"/>
      <c r="W20" s="320">
        <v>4.99</v>
      </c>
      <c r="X20" s="222"/>
      <c r="Y20" s="221"/>
      <c r="Z20" s="88">
        <f>SUM(AA20:AG20)</f>
        <v>8.5</v>
      </c>
      <c r="AA20" s="96"/>
      <c r="AB20" s="89">
        <v>-2</v>
      </c>
      <c r="AC20" s="90">
        <v>0</v>
      </c>
      <c r="AD20" s="90">
        <v>5.5</v>
      </c>
      <c r="AE20" s="90">
        <v>0</v>
      </c>
      <c r="AF20" s="90">
        <v>5</v>
      </c>
      <c r="AG20" s="91">
        <v>0</v>
      </c>
      <c r="AH20" s="93"/>
      <c r="AI20" s="69"/>
      <c r="AJ20" s="69">
        <v>3</v>
      </c>
      <c r="AK20" s="69">
        <v>3</v>
      </c>
      <c r="AL20" s="69">
        <v>4</v>
      </c>
      <c r="AM20" s="69">
        <v>6</v>
      </c>
      <c r="AN20" s="92">
        <v>0</v>
      </c>
      <c r="AO20" s="92">
        <v>0</v>
      </c>
      <c r="AP20" t="s">
        <v>327</v>
      </c>
    </row>
    <row r="21" spans="1:42" ht="19.5" thickBot="1" x14ac:dyDescent="0.35">
      <c r="A21" s="18">
        <v>36</v>
      </c>
      <c r="B21" s="367" t="s">
        <v>416</v>
      </c>
      <c r="C21" s="1">
        <v>15</v>
      </c>
      <c r="D21" s="81">
        <f ca="1">2+$B$25-$B$27-592-112-112-133</f>
        <v>108</v>
      </c>
      <c r="E21" s="19"/>
      <c r="F21" s="82">
        <f t="shared" ref="F21" ca="1" si="18">G21-TODAY()</f>
        <v>-11</v>
      </c>
      <c r="G21" s="83">
        <v>44681</v>
      </c>
      <c r="H21" s="85"/>
      <c r="I21" s="85"/>
      <c r="J21" s="86">
        <f t="shared" ref="J21:K21" si="19">COUNT(L21,N21,P21,R21,T21,V21,X21)</f>
        <v>2</v>
      </c>
      <c r="K21" s="87">
        <f t="shared" si="19"/>
        <v>3</v>
      </c>
      <c r="L21" s="217"/>
      <c r="M21" s="185"/>
      <c r="N21" s="186"/>
      <c r="O21" s="185"/>
      <c r="P21" s="186"/>
      <c r="Q21" s="185">
        <v>3.99</v>
      </c>
      <c r="R21" s="317">
        <v>2</v>
      </c>
      <c r="S21" s="316"/>
      <c r="T21" s="186">
        <v>1</v>
      </c>
      <c r="U21" s="185">
        <v>2.99</v>
      </c>
      <c r="V21" s="317"/>
      <c r="W21" s="316">
        <v>2.99</v>
      </c>
      <c r="X21" s="186"/>
      <c r="Y21" s="185"/>
      <c r="Z21" s="88">
        <f t="shared" ref="Z21" si="20">SUM(AA21:AG21)</f>
        <v>2</v>
      </c>
      <c r="AA21" s="96"/>
      <c r="AB21" s="89"/>
      <c r="AC21" s="90">
        <v>2</v>
      </c>
      <c r="AD21" s="90">
        <v>0</v>
      </c>
      <c r="AE21" s="90">
        <v>0</v>
      </c>
      <c r="AF21" s="90">
        <v>0</v>
      </c>
      <c r="AG21" s="91"/>
      <c r="AH21" s="93"/>
      <c r="AI21" s="69">
        <v>5</v>
      </c>
      <c r="AJ21" s="69">
        <v>4.5</v>
      </c>
      <c r="AK21" s="69">
        <v>5</v>
      </c>
      <c r="AL21" s="69">
        <v>5</v>
      </c>
      <c r="AM21" s="69">
        <v>6.5</v>
      </c>
      <c r="AN21" s="92">
        <v>1</v>
      </c>
      <c r="AO21" s="92">
        <v>0</v>
      </c>
    </row>
    <row r="22" spans="1:42" ht="19.5" thickBot="1" x14ac:dyDescent="0.35">
      <c r="A22" s="18">
        <v>2</v>
      </c>
      <c r="B22" s="314"/>
      <c r="C22" s="1">
        <v>17</v>
      </c>
      <c r="D22" s="81">
        <f ca="1">14+$B$25-$B$27-774-112</f>
        <v>183</v>
      </c>
      <c r="E22" s="19"/>
      <c r="F22" s="82">
        <f ca="1">G22-TODAY()</f>
        <v>-116</v>
      </c>
      <c r="G22" s="83">
        <v>44576</v>
      </c>
      <c r="H22" s="94">
        <v>5</v>
      </c>
      <c r="I22" s="85"/>
      <c r="J22" s="86">
        <f>COUNT(L22,N22,P22,R22,T22,V22,X22)</f>
        <v>0</v>
      </c>
      <c r="K22" s="98">
        <f>COUNT(M22,O22,Q22,S22,U22,W22,Y22)</f>
        <v>0</v>
      </c>
      <c r="L22" s="217"/>
      <c r="M22" s="185"/>
      <c r="N22" s="186"/>
      <c r="O22" s="185"/>
      <c r="P22" s="186"/>
      <c r="Q22" s="185"/>
      <c r="R22" s="186"/>
      <c r="S22" s="185"/>
      <c r="T22" s="317"/>
      <c r="U22" s="316"/>
      <c r="V22" s="186"/>
      <c r="W22" s="185"/>
      <c r="X22" s="186"/>
      <c r="Y22" s="185"/>
      <c r="Z22" s="88">
        <f>SUM(AA22:AG22)</f>
        <v>0</v>
      </c>
      <c r="AA22" s="96"/>
      <c r="AB22" s="89"/>
      <c r="AC22" s="90"/>
      <c r="AD22" s="90"/>
      <c r="AE22" s="90"/>
      <c r="AF22" s="90"/>
      <c r="AG22" s="91"/>
      <c r="AH22" s="93"/>
      <c r="AI22" s="69"/>
      <c r="AJ22" s="69"/>
      <c r="AK22" s="69"/>
      <c r="AL22" s="69"/>
      <c r="AM22" s="69"/>
      <c r="AN22" s="92">
        <v>0</v>
      </c>
      <c r="AO22" s="92">
        <v>0</v>
      </c>
    </row>
    <row r="23" spans="1:42" x14ac:dyDescent="0.3">
      <c r="B23" s="1"/>
      <c r="C23" s="1"/>
      <c r="D23" s="81"/>
      <c r="E23" s="19"/>
      <c r="F23" s="1"/>
      <c r="G23" s="92"/>
      <c r="H23" s="92"/>
      <c r="I23" s="92"/>
      <c r="J23" s="1"/>
      <c r="K23" s="92"/>
      <c r="L23" s="9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98"/>
      <c r="AB23" s="92"/>
      <c r="AC23" s="92"/>
      <c r="AH23" s="92"/>
      <c r="AO23" s="92"/>
    </row>
    <row r="24" spans="1:42" x14ac:dyDescent="0.3">
      <c r="B24" s="100" t="s">
        <v>149</v>
      </c>
      <c r="C24" s="1"/>
      <c r="D24" s="1"/>
      <c r="E24" s="20"/>
      <c r="F24" s="81"/>
      <c r="G24" s="101" t="s">
        <v>150</v>
      </c>
      <c r="H24" s="92"/>
      <c r="I24" s="92"/>
      <c r="J24" s="1"/>
      <c r="K24" s="92"/>
      <c r="L24" s="9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98"/>
      <c r="AB24" s="92"/>
      <c r="AC24" s="92"/>
      <c r="AH24" s="92"/>
      <c r="AO24" s="92"/>
    </row>
    <row r="25" spans="1:42" x14ac:dyDescent="0.3">
      <c r="B25" s="102">
        <f ca="1">TODAY()</f>
        <v>44692</v>
      </c>
      <c r="C25" s="103"/>
      <c r="D25" s="1"/>
      <c r="E25" s="20"/>
      <c r="F25" s="81"/>
      <c r="G25" s="104"/>
      <c r="H25" s="92"/>
      <c r="I25" s="92"/>
      <c r="J25" s="1"/>
      <c r="K25" s="92"/>
      <c r="L25" s="92"/>
      <c r="M25" s="92"/>
      <c r="N25" s="92"/>
      <c r="O25" s="92"/>
      <c r="P25" s="92"/>
      <c r="Q25" s="1"/>
      <c r="R25" s="1"/>
      <c r="S25" s="1"/>
      <c r="T25" s="1"/>
      <c r="U25" s="1"/>
      <c r="V25" s="1"/>
      <c r="W25" s="1"/>
      <c r="X25" s="1"/>
      <c r="Y25" s="1"/>
      <c r="Z25" s="98"/>
      <c r="AB25" s="92"/>
      <c r="AC25" s="92"/>
      <c r="AH25" s="92"/>
      <c r="AO25" s="92"/>
    </row>
    <row r="26" spans="1:42" x14ac:dyDescent="0.3">
      <c r="B26" s="105">
        <f ca="1">B27-B25</f>
        <v>-1055</v>
      </c>
      <c r="C26" s="103"/>
      <c r="D26" s="1"/>
      <c r="E26" s="20"/>
      <c r="F26" s="1"/>
      <c r="G26" s="101" t="s">
        <v>143</v>
      </c>
      <c r="H26" s="92"/>
      <c r="I26" s="1"/>
      <c r="J26" s="1"/>
      <c r="K26" s="92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98"/>
      <c r="AB26" s="92"/>
      <c r="AC26" s="92"/>
      <c r="AH26" s="92"/>
      <c r="AO26" s="92"/>
    </row>
    <row r="27" spans="1:42" x14ac:dyDescent="0.3">
      <c r="B27" s="106">
        <v>43637</v>
      </c>
      <c r="C27" s="103"/>
      <c r="D27" s="1"/>
      <c r="E27" s="20"/>
      <c r="F27" s="1"/>
      <c r="G27" s="104"/>
      <c r="H27" s="92"/>
      <c r="I27" s="92"/>
      <c r="J27" s="1"/>
      <c r="K27" s="92"/>
      <c r="L27" s="92"/>
      <c r="M27" s="92"/>
      <c r="N27" s="92"/>
      <c r="O27" s="92"/>
      <c r="P27" s="92"/>
      <c r="Q27" s="1"/>
      <c r="R27" s="1"/>
      <c r="S27" s="1"/>
      <c r="T27" s="1"/>
      <c r="U27" s="1"/>
      <c r="V27" s="1"/>
      <c r="W27" s="1"/>
      <c r="X27" s="1"/>
      <c r="Y27" s="1"/>
      <c r="Z27" s="98"/>
      <c r="AB27" s="92"/>
      <c r="AC27" s="92"/>
      <c r="AH27" s="92"/>
      <c r="AO27" s="92"/>
    </row>
    <row r="28" spans="1:42" x14ac:dyDescent="0.3">
      <c r="B28" s="1"/>
      <c r="C28" s="103"/>
      <c r="D28" s="1"/>
      <c r="E28" s="20"/>
      <c r="F28" s="1"/>
      <c r="G28" s="104"/>
      <c r="H28" s="92"/>
      <c r="I28" s="92"/>
      <c r="J28" s="1"/>
      <c r="K28" s="92"/>
      <c r="L28" s="92"/>
      <c r="M28" s="92"/>
      <c r="N28" s="92"/>
      <c r="O28" s="92"/>
      <c r="P28" s="1"/>
      <c r="Q28" s="1"/>
      <c r="R28" s="1"/>
      <c r="S28" s="1"/>
      <c r="T28" s="1"/>
      <c r="U28" s="1"/>
      <c r="V28" s="1"/>
      <c r="W28" s="1"/>
      <c r="X28" s="1"/>
      <c r="Y28" s="1"/>
      <c r="Z28" s="98"/>
      <c r="AB28" s="92"/>
      <c r="AC28" s="92"/>
      <c r="AH28" s="92"/>
      <c r="AO28" s="92"/>
    </row>
  </sheetData>
  <conditionalFormatting sqref="AN12:AO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Z12">
    <cfRule type="colorScale" priority="2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24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16">
      <colorScale>
        <cfvo type="min"/>
        <cfvo type="max"/>
        <color rgb="FFFFEF9C"/>
        <color rgb="FF63BE7B"/>
      </colorScale>
    </cfRule>
  </conditionalFormatting>
  <conditionalFormatting sqref="Z8">
    <cfRule type="colorScale" priority="122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A3:AG22">
    <cfRule type="colorScale" priority="2302">
      <colorScale>
        <cfvo type="min"/>
        <cfvo type="max"/>
        <color rgb="FFFFEF9C"/>
        <color rgb="FF63BE7B"/>
      </colorScale>
    </cfRule>
  </conditionalFormatting>
  <conditionalFormatting sqref="AH3:AM22">
    <cfRule type="colorScale" priority="2304">
      <colorScale>
        <cfvo type="min"/>
        <cfvo type="max"/>
        <color rgb="FFFCFCFF"/>
        <color rgb="FF63BE7B"/>
      </colorScale>
    </cfRule>
  </conditionalFormatting>
  <conditionalFormatting sqref="AN13:AO23 AN3:AO11">
    <cfRule type="colorScale" priority="2363">
      <colorScale>
        <cfvo type="min"/>
        <cfvo type="max"/>
        <color rgb="FFFCFCFF"/>
        <color rgb="FFF8696B"/>
      </colorScale>
    </cfRule>
  </conditionalFormatting>
  <conditionalFormatting sqref="L13:Y22 L3:Y11">
    <cfRule type="colorScale" priority="2366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2369">
      <colorScale>
        <cfvo type="min"/>
        <cfvo type="max"/>
        <color rgb="FFFFEF9C"/>
        <color rgb="FF63BE7B"/>
      </colorScale>
    </cfRule>
  </conditionalFormatting>
  <conditionalFormatting sqref="Z13:Z22 Z9:Z11 Z3:Z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22 F9:F11 F3:F7">
    <cfRule type="dataBar" priority="2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F13:F22 F9:F11 F3:F7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I6" sqref="I6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10.5703125" style="366" bestFit="1" customWidth="1"/>
    <col min="10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64" t="str">
        <f>PLANTILLA!AI3</f>
        <v>Total</v>
      </c>
      <c r="J1" s="37" t="str">
        <f>PLANTILLA!AJ3</f>
        <v>Epo</v>
      </c>
      <c r="K1" s="37" t="str">
        <f>PLANTILLA!AK3</f>
        <v>Ede</v>
      </c>
      <c r="L1" s="37" t="str">
        <f>PLANTILLA!AL3</f>
        <v>Eju</v>
      </c>
      <c r="M1" s="37" t="str">
        <f>PLANTILLA!AM3</f>
        <v>Ela</v>
      </c>
      <c r="N1" s="37" t="str">
        <f>PLANTILLA!AN3</f>
        <v>Epa</v>
      </c>
      <c r="O1" s="37" t="str">
        <f>PLANTILLA!AO3</f>
        <v>Ean</v>
      </c>
      <c r="P1" s="37" t="str">
        <f>PLANTILLA!AP3</f>
        <v>EBP</v>
      </c>
      <c r="Q1" s="38" t="str">
        <f>PLANTILLA!AT3</f>
        <v>POR</v>
      </c>
      <c r="R1" s="38" t="str">
        <f>PLANTILLA!AU3</f>
        <v>DC</v>
      </c>
      <c r="S1" s="38" t="str">
        <f>PLANTILLA!AV3</f>
        <v>LD</v>
      </c>
      <c r="T1" s="38" t="str">
        <f>PLANTILLA!AW3</f>
        <v>LN</v>
      </c>
      <c r="U1" s="38" t="str">
        <f>PLANTILLA!AX3</f>
        <v>IND</v>
      </c>
      <c r="V1" s="38" t="str">
        <f>PLANTILLA!AY3</f>
        <v>INN</v>
      </c>
      <c r="W1" s="38" t="str">
        <f>PLANTILLA!AZ3</f>
        <v>INO</v>
      </c>
      <c r="X1" s="38" t="str">
        <f>PLANTILLA!BA3</f>
        <v>EN</v>
      </c>
      <c r="Y1" s="38" t="str">
        <f>PLANTILLA!BB3</f>
        <v>EhM</v>
      </c>
      <c r="Z1" s="38" t="str">
        <f>PLANTILLA!BC3</f>
        <v>DD</v>
      </c>
      <c r="AA1" s="38" t="str">
        <f>PLANTILLA!BD3</f>
        <v>DAV</v>
      </c>
    </row>
    <row r="2" spans="1:27" x14ac:dyDescent="0.25">
      <c r="A2" t="str">
        <f>PLANTILLA!A21</f>
        <v>#9</v>
      </c>
      <c r="B2" s="41" t="str">
        <f>PLANTILLA!C21</f>
        <v>DAV</v>
      </c>
      <c r="C2" s="272" t="str">
        <f>PLANTILLA!D21</f>
        <v>A. Baldoví</v>
      </c>
      <c r="D2" s="42">
        <f>PLANTILLA!E21</f>
        <v>24</v>
      </c>
      <c r="E2" s="43">
        <f ca="1">PLANTILLA!F21</f>
        <v>18</v>
      </c>
      <c r="F2" s="44" t="str">
        <f>PLANTILLA!G21</f>
        <v>RAP</v>
      </c>
      <c r="G2" s="45">
        <f>PLANTILLA!H21</f>
        <v>2</v>
      </c>
      <c r="H2" s="46">
        <f>PLANTILLA!I21</f>
        <v>6</v>
      </c>
      <c r="I2" s="365">
        <f>PLANTILLA!AI21</f>
        <v>155.5</v>
      </c>
      <c r="J2" s="57">
        <f>PLANTILLA!AJ21</f>
        <v>0</v>
      </c>
      <c r="K2" s="57">
        <f>PLANTILLA!AK21</f>
        <v>6</v>
      </c>
      <c r="L2" s="57">
        <f>PLANTILLA!AL21</f>
        <v>78</v>
      </c>
      <c r="M2" s="57">
        <f>PLANTILLA!AM21</f>
        <v>17.5</v>
      </c>
      <c r="N2" s="57">
        <f>PLANTILLA!AN21</f>
        <v>21</v>
      </c>
      <c r="O2" s="57">
        <f>PLANTILLA!AO21</f>
        <v>28</v>
      </c>
      <c r="P2" s="57">
        <f>PLANTILLA!AP21</f>
        <v>5</v>
      </c>
      <c r="Q2" s="184">
        <f>PLANTILLA!AT21</f>
        <v>6.98</v>
      </c>
      <c r="R2" s="184">
        <f>PLANTILLA!AU21</f>
        <v>30.5</v>
      </c>
      <c r="S2" s="184">
        <f>PLANTILLA!AV21</f>
        <v>16.774999999999999</v>
      </c>
      <c r="T2" s="184">
        <f>PLANTILLA!AW21</f>
        <v>22.666666666666664</v>
      </c>
      <c r="U2" s="184">
        <f>PLANTILLA!AX21</f>
        <v>93.529999999999987</v>
      </c>
      <c r="V2" s="184">
        <f>PLANTILLA!AY21</f>
        <v>97.58</v>
      </c>
      <c r="W2" s="184">
        <f>PLANTILLA!AZ21</f>
        <v>103.13999999999999</v>
      </c>
      <c r="X2" s="184">
        <f>PLANTILLA!BA21</f>
        <v>64.349999999999994</v>
      </c>
      <c r="Y2" s="184">
        <f>PLANTILLA!BB21</f>
        <v>76.710000000000008</v>
      </c>
      <c r="Z2" s="184">
        <f>PLANTILLA!BC21</f>
        <v>66.125</v>
      </c>
      <c r="AA2" s="184">
        <f>PLANTILLA!BD21</f>
        <v>63.7</v>
      </c>
    </row>
    <row r="3" spans="1:27" x14ac:dyDescent="0.25">
      <c r="A3" t="str">
        <f>PLANTILLA!A15</f>
        <v>#4</v>
      </c>
      <c r="B3" s="41" t="str">
        <f>PLANTILLA!C15</f>
        <v>MED</v>
      </c>
      <c r="C3" s="272" t="str">
        <f>PLANTILLA!D15</f>
        <v>A. Retegui</v>
      </c>
      <c r="D3" s="42">
        <f>PLANTILLA!E15</f>
        <v>22</v>
      </c>
      <c r="E3" s="43">
        <f ca="1">PLANTILLA!F15</f>
        <v>83</v>
      </c>
      <c r="F3" s="44">
        <f>PLANTILLA!G15</f>
        <v>0</v>
      </c>
      <c r="G3" s="45">
        <f>PLANTILLA!H15</f>
        <v>3</v>
      </c>
      <c r="H3" s="46">
        <f>PLANTILLA!I15</f>
        <v>8</v>
      </c>
      <c r="I3" s="365">
        <f>PLANTILLA!AI15</f>
        <v>143.5</v>
      </c>
      <c r="J3" s="57">
        <f>PLANTILLA!AJ15</f>
        <v>0</v>
      </c>
      <c r="K3" s="57">
        <f>PLANTILLA!AK15</f>
        <v>6</v>
      </c>
      <c r="L3" s="57">
        <f>PLANTILLA!AL15</f>
        <v>89</v>
      </c>
      <c r="M3" s="57">
        <f>PLANTILLA!AM15</f>
        <v>13.5</v>
      </c>
      <c r="N3" s="57">
        <f>PLANTILLA!AN15</f>
        <v>23</v>
      </c>
      <c r="O3" s="57">
        <f>PLANTILLA!AO15</f>
        <v>5</v>
      </c>
      <c r="P3" s="57">
        <f>PLANTILLA!AP15</f>
        <v>7</v>
      </c>
      <c r="Q3" s="184">
        <f>PLANTILLA!AT15</f>
        <v>8.98</v>
      </c>
      <c r="R3" s="184">
        <f>PLANTILLA!AU15</f>
        <v>35.25</v>
      </c>
      <c r="S3" s="184">
        <f>PLANTILLA!AV15</f>
        <v>17.454999999999998</v>
      </c>
      <c r="T3" s="184">
        <f>PLANTILLA!AW15</f>
        <v>22</v>
      </c>
      <c r="U3" s="184">
        <f>PLANTILLA!AX15</f>
        <v>104.10999999999999</v>
      </c>
      <c r="V3" s="184">
        <f>PLANTILLA!AY15</f>
        <v>106.35000000000001</v>
      </c>
      <c r="W3" s="184">
        <f>PLANTILLA!AZ15</f>
        <v>110.00999999999999</v>
      </c>
      <c r="X3" s="184">
        <f>PLANTILLA!BA15</f>
        <v>67.800000000000011</v>
      </c>
      <c r="Y3" s="184">
        <f>PLANTILLA!BB15</f>
        <v>81.97999999999999</v>
      </c>
      <c r="Z3" s="184">
        <f>PLANTILLA!BC15</f>
        <v>59.125</v>
      </c>
      <c r="AA3" s="184">
        <f>PLANTILLA!BD15</f>
        <v>45.269999999999996</v>
      </c>
    </row>
    <row r="4" spans="1:27" x14ac:dyDescent="0.25">
      <c r="A4" t="str">
        <f>PLANTILLA!A13</f>
        <v>#2</v>
      </c>
      <c r="B4" s="41" t="str">
        <f>PLANTILLA!C13</f>
        <v>MED</v>
      </c>
      <c r="C4" s="272" t="str">
        <f>PLANTILLA!D13</f>
        <v>B. Corominola</v>
      </c>
      <c r="D4" s="42">
        <f>PLANTILLA!E13</f>
        <v>25</v>
      </c>
      <c r="E4" s="43">
        <f ca="1">PLANTILLA!F13</f>
        <v>53</v>
      </c>
      <c r="F4" s="44" t="str">
        <f>PLANTILLA!G13</f>
        <v>RAP</v>
      </c>
      <c r="G4" s="45">
        <f>PLANTILLA!H13</f>
        <v>2</v>
      </c>
      <c r="H4" s="46">
        <f>PLANTILLA!I13</f>
        <v>6</v>
      </c>
      <c r="I4" s="365">
        <f>PLANTILLA!AI13</f>
        <v>135</v>
      </c>
      <c r="J4" s="57">
        <f>PLANTILLA!AJ13</f>
        <v>0</v>
      </c>
      <c r="K4" s="57">
        <f>PLANTILLA!AK13</f>
        <v>14</v>
      </c>
      <c r="L4" s="57">
        <f>PLANTILLA!AL13</f>
        <v>80</v>
      </c>
      <c r="M4" s="57">
        <f>PLANTILLA!AM13</f>
        <v>0</v>
      </c>
      <c r="N4" s="57">
        <f>PLANTILLA!AN13</f>
        <v>23</v>
      </c>
      <c r="O4" s="57">
        <f>PLANTILLA!AO13</f>
        <v>15</v>
      </c>
      <c r="P4" s="57">
        <f>PLANTILLA!AP13</f>
        <v>3</v>
      </c>
      <c r="Q4" s="184">
        <f>PLANTILLA!AT13</f>
        <v>7.62</v>
      </c>
      <c r="R4" s="184">
        <f>PLANTILLA!AU13</f>
        <v>37</v>
      </c>
      <c r="S4" s="184">
        <f>PLANTILLA!AV13</f>
        <v>17</v>
      </c>
      <c r="T4" s="184">
        <f>PLANTILLA!AW13</f>
        <v>17</v>
      </c>
      <c r="U4" s="184">
        <f>PLANTILLA!AX13</f>
        <v>97.11</v>
      </c>
      <c r="V4" s="184">
        <f>PLANTILLA!AY13</f>
        <v>98.65</v>
      </c>
      <c r="W4" s="184">
        <f>PLANTILLA!AZ13</f>
        <v>101.39</v>
      </c>
      <c r="X4" s="184">
        <f>PLANTILLA!BA13</f>
        <v>48.25</v>
      </c>
      <c r="Y4" s="184">
        <f>PLANTILLA!BB13</f>
        <v>60.81</v>
      </c>
      <c r="Z4" s="184">
        <f>PLANTILLA!BC13</f>
        <v>55.5</v>
      </c>
      <c r="AA4" s="184">
        <f>PLANTILLA!BD13</f>
        <v>46.05</v>
      </c>
    </row>
    <row r="5" spans="1:27" x14ac:dyDescent="0.25">
      <c r="A5" t="str">
        <f>PLANTILLA!A14</f>
        <v>#8</v>
      </c>
      <c r="B5" s="41" t="str">
        <f>PLANTILLA!C14</f>
        <v>MED</v>
      </c>
      <c r="C5" s="272" t="str">
        <f>PLANTILLA!D14</f>
        <v>T. Orozco</v>
      </c>
      <c r="D5" s="42">
        <f>PLANTILLA!E14</f>
        <v>25</v>
      </c>
      <c r="E5" s="43">
        <f ca="1">PLANTILLA!F14</f>
        <v>86</v>
      </c>
      <c r="F5" s="44" t="str">
        <f>PLANTILLA!G14</f>
        <v>CAB</v>
      </c>
      <c r="G5" s="45">
        <f>PLANTILLA!H14</f>
        <v>2</v>
      </c>
      <c r="H5" s="46">
        <f>PLANTILLA!I14</f>
        <v>6</v>
      </c>
      <c r="I5" s="365">
        <f>PLANTILLA!AI14</f>
        <v>130.5</v>
      </c>
      <c r="J5" s="57">
        <f>PLANTILLA!AJ14</f>
        <v>0</v>
      </c>
      <c r="K5" s="57">
        <f>PLANTILLA!AK14</f>
        <v>14</v>
      </c>
      <c r="L5" s="57">
        <f>PLANTILLA!AL14</f>
        <v>77</v>
      </c>
      <c r="M5" s="57">
        <f>PLANTILLA!AM14</f>
        <v>1.5</v>
      </c>
      <c r="N5" s="57">
        <f>PLANTILLA!AN14</f>
        <v>20</v>
      </c>
      <c r="O5" s="57">
        <f>PLANTILLA!AO14</f>
        <v>14</v>
      </c>
      <c r="P5" s="57">
        <f>PLANTILLA!AP14</f>
        <v>4</v>
      </c>
      <c r="Q5" s="184">
        <f>PLANTILLA!AT14</f>
        <v>8.620000000000001</v>
      </c>
      <c r="R5" s="184">
        <f>PLANTILLA!AU14</f>
        <v>37.25</v>
      </c>
      <c r="S5" s="184">
        <f>PLANTILLA!AV14</f>
        <v>18.494999999999997</v>
      </c>
      <c r="T5" s="184">
        <f>PLANTILLA!AW14</f>
        <v>19</v>
      </c>
      <c r="U5" s="184">
        <f>PLANTILLA!AX14</f>
        <v>94.480000000000018</v>
      </c>
      <c r="V5" s="184">
        <f>PLANTILLA!AY14</f>
        <v>95.539999999999992</v>
      </c>
      <c r="W5" s="184">
        <f>PLANTILLA!AZ14</f>
        <v>97.58</v>
      </c>
      <c r="X5" s="184">
        <f>PLANTILLA!BA14</f>
        <v>48.65</v>
      </c>
      <c r="Y5" s="184">
        <f>PLANTILLA!BB14</f>
        <v>60.91</v>
      </c>
      <c r="Z5" s="184">
        <f>PLANTILLA!BC14</f>
        <v>53.425000000000004</v>
      </c>
      <c r="AA5" s="184">
        <f>PLANTILLA!BD14</f>
        <v>44.58</v>
      </c>
    </row>
    <row r="6" spans="1:27" x14ac:dyDescent="0.25">
      <c r="A6" t="str">
        <f>PLANTILLA!A17</f>
        <v>#7</v>
      </c>
      <c r="B6" s="41" t="str">
        <f>PLANTILLA!C17</f>
        <v>EXT</v>
      </c>
      <c r="C6" s="272" t="str">
        <f>PLANTILLA!D17</f>
        <v>T. Lebon</v>
      </c>
      <c r="D6" s="42">
        <f>PLANTILLA!E17</f>
        <v>24</v>
      </c>
      <c r="E6" s="43">
        <f ca="1">PLANTILLA!F17</f>
        <v>46</v>
      </c>
      <c r="F6" s="44" t="str">
        <f>PLANTILLA!G17</f>
        <v>TEC</v>
      </c>
      <c r="G6" s="45">
        <f>PLANTILLA!H17</f>
        <v>1</v>
      </c>
      <c r="H6" s="46">
        <f>PLANTILLA!I17</f>
        <v>5</v>
      </c>
      <c r="I6" s="365">
        <f>PLANTILLA!AI17</f>
        <v>130.5</v>
      </c>
      <c r="J6" s="57">
        <f>PLANTILLA!AJ17</f>
        <v>0</v>
      </c>
      <c r="K6" s="57">
        <f>PLANTILLA!AK17</f>
        <v>6</v>
      </c>
      <c r="L6" s="57">
        <f>PLANTILLA!AL17</f>
        <v>70</v>
      </c>
      <c r="M6" s="57">
        <f>PLANTILLA!AM17</f>
        <v>15.5</v>
      </c>
      <c r="N6" s="57">
        <f>PLANTILLA!AN17</f>
        <v>23</v>
      </c>
      <c r="O6" s="57">
        <f>PLANTILLA!AO17</f>
        <v>12</v>
      </c>
      <c r="P6" s="57">
        <f>PLANTILLA!AP17</f>
        <v>4</v>
      </c>
      <c r="Q6" s="184">
        <f>PLANTILLA!AT17</f>
        <v>5.98</v>
      </c>
      <c r="R6" s="184">
        <f>PLANTILLA!AU17</f>
        <v>27.5</v>
      </c>
      <c r="S6" s="184">
        <f>PLANTILLA!AV17</f>
        <v>15.115</v>
      </c>
      <c r="T6" s="184">
        <f>PLANTILLA!AW17</f>
        <v>20.333333333333336</v>
      </c>
      <c r="U6" s="184">
        <f>PLANTILLA!AX17</f>
        <v>82.949999999999989</v>
      </c>
      <c r="V6" s="184">
        <f>PLANTILLA!AY17</f>
        <v>85.820000000000007</v>
      </c>
      <c r="W6" s="184">
        <f>PLANTILLA!AZ17</f>
        <v>90.179999999999993</v>
      </c>
      <c r="X6" s="184">
        <f>PLANTILLA!BA17</f>
        <v>58.25</v>
      </c>
      <c r="Y6" s="184">
        <f>PLANTILLA!BB17</f>
        <v>69.010000000000005</v>
      </c>
      <c r="Z6" s="184">
        <f>PLANTILLA!BC17</f>
        <v>53.025000000000006</v>
      </c>
      <c r="AA6" s="184">
        <f>PLANTILLA!BD17</f>
        <v>44.959999999999994</v>
      </c>
    </row>
    <row r="7" spans="1:27" x14ac:dyDescent="0.25">
      <c r="A7" t="str">
        <f>PLANTILLA!A16</f>
        <v>#5</v>
      </c>
      <c r="B7" s="41" t="str">
        <f>PLANTILLA!C16</f>
        <v>MED</v>
      </c>
      <c r="C7" s="272" t="str">
        <f>PLANTILLA!D16</f>
        <v>A. Balsebre</v>
      </c>
      <c r="D7" s="42">
        <f>PLANTILLA!E16</f>
        <v>23</v>
      </c>
      <c r="E7" s="43">
        <f ca="1">PLANTILLA!F16</f>
        <v>44</v>
      </c>
      <c r="F7" s="44">
        <f>PLANTILLA!G16</f>
        <v>0</v>
      </c>
      <c r="G7" s="45">
        <f>PLANTILLA!H16</f>
        <v>2</v>
      </c>
      <c r="H7" s="46">
        <f>PLANTILLA!I16</f>
        <v>5</v>
      </c>
      <c r="I7" s="365">
        <f>PLANTILLA!AI16</f>
        <v>126</v>
      </c>
      <c r="J7" s="57">
        <f>PLANTILLA!AJ16</f>
        <v>0</v>
      </c>
      <c r="K7" s="57">
        <f>PLANTILLA!AK16</f>
        <v>6</v>
      </c>
      <c r="L7" s="57">
        <f>PLANTILLA!AL16</f>
        <v>92</v>
      </c>
      <c r="M7" s="57">
        <f>PLANTILLA!AM16</f>
        <v>0</v>
      </c>
      <c r="N7" s="57">
        <f>PLANTILLA!AN16</f>
        <v>20</v>
      </c>
      <c r="O7" s="57">
        <f>PLANTILLA!AO16</f>
        <v>4</v>
      </c>
      <c r="P7" s="57">
        <f>PLANTILLA!AP16</f>
        <v>4</v>
      </c>
      <c r="Q7" s="184">
        <f>PLANTILLA!AT16</f>
        <v>5.98</v>
      </c>
      <c r="R7" s="184">
        <f>PLANTILLA!AU16</f>
        <v>33</v>
      </c>
      <c r="S7" s="184">
        <f>PLANTILLA!AV16</f>
        <v>10</v>
      </c>
      <c r="T7" s="184">
        <f>PLANTILLA!AW16</f>
        <v>10</v>
      </c>
      <c r="U7" s="184">
        <f>PLANTILLA!AX16</f>
        <v>103.48</v>
      </c>
      <c r="V7" s="184">
        <f>PLANTILLA!AY16</f>
        <v>105.24000000000001</v>
      </c>
      <c r="W7" s="184">
        <f>PLANTILLA!AZ16</f>
        <v>108.19999999999999</v>
      </c>
      <c r="X7" s="184">
        <f>PLANTILLA!BA16</f>
        <v>51.9</v>
      </c>
      <c r="Y7" s="184">
        <f>PLANTILLA!BB16</f>
        <v>66.86</v>
      </c>
      <c r="Z7" s="184">
        <f>PLANTILLA!BC16</f>
        <v>53.2</v>
      </c>
      <c r="AA7" s="184">
        <f>PLANTILLA!BD16</f>
        <v>38</v>
      </c>
    </row>
    <row r="8" spans="1:27" x14ac:dyDescent="0.25">
      <c r="A8" t="str">
        <f>PLANTILLA!A22</f>
        <v>#6</v>
      </c>
      <c r="B8" s="41" t="str">
        <f>PLANTILLA!C22</f>
        <v>DAV</v>
      </c>
      <c r="C8" s="272" t="str">
        <f>PLANTILLA!D22</f>
        <v>R. Abrain</v>
      </c>
      <c r="D8" s="42">
        <f>PLANTILLA!E22</f>
        <v>24</v>
      </c>
      <c r="E8" s="43">
        <f ca="1">PLANTILLA!F22</f>
        <v>3</v>
      </c>
      <c r="F8" s="44" t="str">
        <f>PLANTILLA!G22</f>
        <v>IMP</v>
      </c>
      <c r="G8" s="45">
        <f>PLANTILLA!H22</f>
        <v>4</v>
      </c>
      <c r="H8" s="46">
        <f>PLANTILLA!I22</f>
        <v>6</v>
      </c>
      <c r="I8" s="365">
        <f>PLANTILLA!AI22</f>
        <v>115.5</v>
      </c>
      <c r="J8" s="57">
        <f>PLANTILLA!AJ22</f>
        <v>0</v>
      </c>
      <c r="K8" s="57">
        <f>PLANTILLA!AK22</f>
        <v>10</v>
      </c>
      <c r="L8" s="57">
        <f>PLANTILLA!AL22</f>
        <v>43</v>
      </c>
      <c r="M8" s="57">
        <f>PLANTILLA!AM22</f>
        <v>9.5</v>
      </c>
      <c r="N8" s="57">
        <f>PLANTILLA!AN22</f>
        <v>23</v>
      </c>
      <c r="O8" s="57">
        <f>PLANTILLA!AO22</f>
        <v>27</v>
      </c>
      <c r="P8" s="57">
        <f>PLANTILLA!AP22</f>
        <v>3</v>
      </c>
      <c r="Q8" s="184">
        <f>PLANTILLA!AT22</f>
        <v>6.3000000000000007</v>
      </c>
      <c r="R8" s="184">
        <f>PLANTILLA!AU22</f>
        <v>23.75</v>
      </c>
      <c r="S8" s="184">
        <f>PLANTILLA!AV22</f>
        <v>16.134999999999998</v>
      </c>
      <c r="T8" s="184">
        <f>PLANTILLA!AW22</f>
        <v>19.333333333333332</v>
      </c>
      <c r="U8" s="184">
        <f>PLANTILLA!AX22</f>
        <v>59.15</v>
      </c>
      <c r="V8" s="184">
        <f>PLANTILLA!AY22</f>
        <v>62.57</v>
      </c>
      <c r="W8" s="184">
        <f>PLANTILLA!AZ22</f>
        <v>67.47</v>
      </c>
      <c r="X8" s="184">
        <f>PLANTILLA!BA22</f>
        <v>40.1</v>
      </c>
      <c r="Y8" s="184">
        <f>PLANTILLA!BB22</f>
        <v>46</v>
      </c>
      <c r="Z8" s="184">
        <f>PLANTILLA!BC22</f>
        <v>49.324999999999996</v>
      </c>
      <c r="AA8" s="184">
        <f>PLANTILLA!BD22</f>
        <v>50.89</v>
      </c>
    </row>
    <row r="9" spans="1:27" x14ac:dyDescent="0.25">
      <c r="A9" t="str">
        <f>PLANTILLA!A18</f>
        <v>#11</v>
      </c>
      <c r="B9" s="41" t="str">
        <f>PLANTILLA!C18</f>
        <v>EXT</v>
      </c>
      <c r="C9" s="272" t="str">
        <f>PLANTILLA!D18</f>
        <v>L. Grière</v>
      </c>
      <c r="D9" s="42">
        <f>PLANTILLA!E18</f>
        <v>23</v>
      </c>
      <c r="E9" s="43">
        <f ca="1">PLANTILLA!F18</f>
        <v>65</v>
      </c>
      <c r="F9" s="44" t="str">
        <f>PLANTILLA!G18</f>
        <v>TEC</v>
      </c>
      <c r="G9" s="45">
        <f>PLANTILLA!H18</f>
        <v>2</v>
      </c>
      <c r="H9" s="46">
        <f>PLANTILLA!I18</f>
        <v>4</v>
      </c>
      <c r="I9" s="365">
        <f>PLANTILLA!AI18</f>
        <v>114.5</v>
      </c>
      <c r="J9" s="57">
        <f>PLANTILLA!AJ18</f>
        <v>0</v>
      </c>
      <c r="K9" s="57">
        <f>PLANTILLA!AK18</f>
        <v>6</v>
      </c>
      <c r="L9" s="57">
        <f>PLANTILLA!AL18</f>
        <v>69</v>
      </c>
      <c r="M9" s="57">
        <f>PLANTILLA!AM18</f>
        <v>17.5</v>
      </c>
      <c r="N9" s="57">
        <f>PLANTILLA!AN18</f>
        <v>12</v>
      </c>
      <c r="O9" s="57">
        <f>PLANTILLA!AO18</f>
        <v>8</v>
      </c>
      <c r="P9" s="57">
        <f>PLANTILLA!AP18</f>
        <v>2</v>
      </c>
      <c r="Q9" s="184">
        <f>PLANTILLA!AT18</f>
        <v>3.98</v>
      </c>
      <c r="R9" s="184">
        <f>PLANTILLA!AU18</f>
        <v>25.25</v>
      </c>
      <c r="S9" s="184">
        <f>PLANTILLA!AV18</f>
        <v>13.775</v>
      </c>
      <c r="T9" s="184">
        <f>PLANTILLA!AW18</f>
        <v>19.666666666666664</v>
      </c>
      <c r="U9" s="184">
        <f>PLANTILLA!AX18</f>
        <v>77.599999999999994</v>
      </c>
      <c r="V9" s="184">
        <f>PLANTILLA!AY18</f>
        <v>78.680000000000007</v>
      </c>
      <c r="W9" s="184">
        <f>PLANTILLA!AZ18</f>
        <v>80.44</v>
      </c>
      <c r="X9" s="184">
        <f>PLANTILLA!BA18</f>
        <v>55.05</v>
      </c>
      <c r="Y9" s="184">
        <f>PLANTILLA!BB18</f>
        <v>66.510000000000005</v>
      </c>
      <c r="Z9" s="184">
        <f>PLANTILLA!BC18</f>
        <v>43.024999999999999</v>
      </c>
      <c r="AA9" s="184">
        <f>PLANTILLA!BD18</f>
        <v>35.299999999999997</v>
      </c>
    </row>
    <row r="10" spans="1:27" x14ac:dyDescent="0.25">
      <c r="A10" t="str">
        <f>PLANTILLA!A24</f>
        <v>#10</v>
      </c>
      <c r="B10" s="41" t="str">
        <f>PLANTILLA!C24</f>
        <v>DAV</v>
      </c>
      <c r="C10" s="272" t="str">
        <f>PLANTILLA!D24</f>
        <v>I. Velayo</v>
      </c>
      <c r="D10" s="42">
        <f>PLANTILLA!E24</f>
        <v>25</v>
      </c>
      <c r="E10" s="43">
        <f ca="1">PLANTILLA!F24</f>
        <v>105</v>
      </c>
      <c r="F10" s="44" t="str">
        <f>PLANTILLA!G24</f>
        <v>RAP</v>
      </c>
      <c r="G10" s="45">
        <f>PLANTILLA!H24</f>
        <v>5</v>
      </c>
      <c r="H10" s="46">
        <f>PLANTILLA!I24</f>
        <v>6</v>
      </c>
      <c r="I10" s="365">
        <f>PLANTILLA!AI24</f>
        <v>101.5</v>
      </c>
      <c r="J10" s="57">
        <f>PLANTILLA!AJ24</f>
        <v>0</v>
      </c>
      <c r="K10" s="57">
        <f>PLANTILLA!AK24</f>
        <v>6</v>
      </c>
      <c r="L10" s="57">
        <f>PLANTILLA!AL24</f>
        <v>45</v>
      </c>
      <c r="M10" s="57">
        <f>PLANTILLA!AM24</f>
        <v>3.5</v>
      </c>
      <c r="N10" s="57">
        <f>PLANTILLA!AN24</f>
        <v>17</v>
      </c>
      <c r="O10" s="57">
        <f>PLANTILLA!AO24</f>
        <v>27</v>
      </c>
      <c r="P10" s="57">
        <f>PLANTILLA!AP24</f>
        <v>3</v>
      </c>
      <c r="Q10" s="184">
        <f>PLANTILLA!AT24</f>
        <v>4.9800000000000004</v>
      </c>
      <c r="R10" s="184">
        <f>PLANTILLA!AU24</f>
        <v>20.25</v>
      </c>
      <c r="S10" s="184">
        <f>PLANTILLA!AV24</f>
        <v>10.155000000000001</v>
      </c>
      <c r="T10" s="184">
        <f>PLANTILLA!AW24</f>
        <v>11.333333333333334</v>
      </c>
      <c r="U10" s="184">
        <f>PLANTILLA!AX24</f>
        <v>57.730000000000004</v>
      </c>
      <c r="V10" s="184">
        <f>PLANTILLA!AY24</f>
        <v>61.17</v>
      </c>
      <c r="W10" s="184">
        <f>PLANTILLA!AZ24</f>
        <v>65.83</v>
      </c>
      <c r="X10" s="184">
        <f>PLANTILLA!BA24</f>
        <v>32.5</v>
      </c>
      <c r="Y10" s="184">
        <f>PLANTILLA!BB24</f>
        <v>39.24</v>
      </c>
      <c r="Z10" s="184">
        <f>PLANTILLA!BC24</f>
        <v>46.225000000000001</v>
      </c>
      <c r="AA10" s="184">
        <f>PLANTILLA!BD24</f>
        <v>47.97</v>
      </c>
    </row>
    <row r="11" spans="1:27" x14ac:dyDescent="0.25">
      <c r="A11" t="str">
        <f>PLANTILLA!A12</f>
        <v>#12</v>
      </c>
      <c r="B11" s="41" t="str">
        <f>PLANTILLA!C12</f>
        <v>CEN</v>
      </c>
      <c r="C11" s="272" t="str">
        <f>PLANTILLA!D12</f>
        <v>G. Durand</v>
      </c>
      <c r="D11" s="42">
        <f>PLANTILLA!E12</f>
        <v>24</v>
      </c>
      <c r="E11" s="43">
        <f ca="1">PLANTILLA!F12</f>
        <v>93</v>
      </c>
      <c r="F11" s="44" t="str">
        <f>PLANTILLA!G12</f>
        <v>IMP</v>
      </c>
      <c r="G11" s="45">
        <f>PLANTILLA!H12</f>
        <v>3</v>
      </c>
      <c r="H11" s="46">
        <f>PLANTILLA!I12</f>
        <v>4.3</v>
      </c>
      <c r="I11" s="365">
        <f>PLANTILLA!AI12</f>
        <v>78.5</v>
      </c>
      <c r="J11" s="57">
        <f>PLANTILLA!AJ12</f>
        <v>0</v>
      </c>
      <c r="K11" s="57">
        <f>PLANTILLA!AK12</f>
        <v>10</v>
      </c>
      <c r="L11" s="57">
        <f>PLANTILLA!AL12</f>
        <v>44.5</v>
      </c>
      <c r="M11" s="57">
        <f>PLANTILLA!AM12</f>
        <v>0</v>
      </c>
      <c r="N11" s="57">
        <f>PLANTILLA!AN12</f>
        <v>15</v>
      </c>
      <c r="O11" s="57">
        <f>PLANTILLA!AO12</f>
        <v>5</v>
      </c>
      <c r="P11" s="57">
        <f>PLANTILLA!AP12</f>
        <v>4</v>
      </c>
      <c r="Q11" s="184">
        <f>PLANTILLA!AT12</f>
        <v>7.3000000000000007</v>
      </c>
      <c r="R11" s="184">
        <f>PLANTILLA!AU12</f>
        <v>25.125</v>
      </c>
      <c r="S11" s="184">
        <f>PLANTILLA!AV12</f>
        <v>14</v>
      </c>
      <c r="T11" s="184">
        <f>PLANTILLA!AW12</f>
        <v>14</v>
      </c>
      <c r="U11" s="184">
        <f>PLANTILLA!AX12</f>
        <v>57.65</v>
      </c>
      <c r="V11" s="184">
        <f>PLANTILLA!AY12</f>
        <v>58.05</v>
      </c>
      <c r="W11" s="184">
        <f>PLANTILLA!AZ12</f>
        <v>59.15</v>
      </c>
      <c r="X11" s="184">
        <f>PLANTILLA!BA12</f>
        <v>30.275000000000002</v>
      </c>
      <c r="Y11" s="184">
        <f>PLANTILLA!BB12</f>
        <v>37.085000000000001</v>
      </c>
      <c r="Z11" s="184">
        <f>PLANTILLA!BC12</f>
        <v>32.299999999999997</v>
      </c>
      <c r="AA11" s="184">
        <f>PLANTILLA!BD12</f>
        <v>25.375</v>
      </c>
    </row>
    <row r="12" spans="1:27" x14ac:dyDescent="0.25">
      <c r="A12" t="str">
        <f>PLANTILLA!A4</f>
        <v>#1</v>
      </c>
      <c r="B12" s="41" t="str">
        <f>PLANTILLA!C4</f>
        <v>POR</v>
      </c>
      <c r="C12" s="272" t="str">
        <f>PLANTILLA!D4</f>
        <v>E. Tarrida</v>
      </c>
      <c r="D12" s="42">
        <f>PLANTILLA!E4</f>
        <v>27</v>
      </c>
      <c r="E12" s="43">
        <f ca="1">PLANTILLA!F4</f>
        <v>78</v>
      </c>
      <c r="F12" s="44" t="str">
        <f>PLANTILLA!G4</f>
        <v>RAP</v>
      </c>
      <c r="G12" s="45">
        <f>PLANTILLA!H4</f>
        <v>2</v>
      </c>
      <c r="H12" s="46">
        <f>PLANTILLA!I4</f>
        <v>7</v>
      </c>
      <c r="I12" s="365">
        <f>PLANTILLA!AI4</f>
        <v>75</v>
      </c>
      <c r="J12" s="57">
        <f>PLANTILLA!AJ4</f>
        <v>38.5</v>
      </c>
      <c r="K12" s="57">
        <f>PLANTILLA!AK4</f>
        <v>14</v>
      </c>
      <c r="L12" s="57">
        <f>PLANTILLA!AL4</f>
        <v>9</v>
      </c>
      <c r="M12" s="57">
        <f>PLANTILLA!AM4</f>
        <v>1.5</v>
      </c>
      <c r="N12" s="57">
        <f>PLANTILLA!AN4</f>
        <v>4</v>
      </c>
      <c r="O12" s="57">
        <f>PLANTILLA!AO4</f>
        <v>2</v>
      </c>
      <c r="P12" s="57">
        <f>PLANTILLA!AP4</f>
        <v>6</v>
      </c>
      <c r="Q12" s="184">
        <f>PLANTILLA!AT4</f>
        <v>49.12</v>
      </c>
      <c r="R12" s="184">
        <f>PLANTILLA!AU4</f>
        <v>22.25</v>
      </c>
      <c r="S12" s="184">
        <f>PLANTILLA!AV4</f>
        <v>20.494999999999997</v>
      </c>
      <c r="T12" s="184">
        <f>PLANTILLA!AW4</f>
        <v>21</v>
      </c>
      <c r="U12" s="184">
        <f>PLANTILLA!AX4</f>
        <v>24.319999999999997</v>
      </c>
      <c r="V12" s="184">
        <f>PLANTILLA!AY4</f>
        <v>22.220000000000002</v>
      </c>
      <c r="W12" s="184">
        <f>PLANTILLA!AZ4</f>
        <v>19.860000000000003</v>
      </c>
      <c r="X12" s="184">
        <f>PLANTILLA!BA4</f>
        <v>16.05</v>
      </c>
      <c r="Y12" s="184">
        <f>PLANTILLA!BB4</f>
        <v>17.350000000000001</v>
      </c>
      <c r="Z12" s="184">
        <f>PLANTILLA!BC4</f>
        <v>13.024999999999999</v>
      </c>
      <c r="AA12" s="184">
        <f>PLANTILLA!BD4</f>
        <v>11.98</v>
      </c>
    </row>
    <row r="13" spans="1:27" x14ac:dyDescent="0.25">
      <c r="A13" t="str">
        <f>PLANTILLA!A19</f>
        <v>#13</v>
      </c>
      <c r="B13" s="41" t="str">
        <f>PLANTILLA!C19</f>
        <v>EXT</v>
      </c>
      <c r="C13" s="272" t="str">
        <f>PLANTILLA!D19</f>
        <v>D. Juliol</v>
      </c>
      <c r="D13" s="42">
        <f>PLANTILLA!E19</f>
        <v>24</v>
      </c>
      <c r="E13" s="43">
        <f ca="1">PLANTILLA!F19</f>
        <v>23</v>
      </c>
      <c r="F13" s="44">
        <f>PLANTILLA!G19</f>
        <v>0</v>
      </c>
      <c r="G13" s="45">
        <f>PLANTILLA!H19</f>
        <v>5</v>
      </c>
      <c r="H13" s="46">
        <f>PLANTILLA!I19</f>
        <v>5</v>
      </c>
      <c r="I13" s="365">
        <f>PLANTILLA!AI19</f>
        <v>73.5</v>
      </c>
      <c r="J13" s="57">
        <f>PLANTILLA!AJ19</f>
        <v>0</v>
      </c>
      <c r="K13" s="57">
        <f>PLANTILLA!AK19</f>
        <v>11</v>
      </c>
      <c r="L13" s="57">
        <f>PLANTILLA!AL19</f>
        <v>26</v>
      </c>
      <c r="M13" s="57">
        <f>PLANTILLA!AM19</f>
        <v>8.5</v>
      </c>
      <c r="N13" s="57">
        <f>PLANTILLA!AN19</f>
        <v>12</v>
      </c>
      <c r="O13" s="57">
        <f>PLANTILLA!AO19</f>
        <v>13</v>
      </c>
      <c r="P13" s="57">
        <f>PLANTILLA!AP19</f>
        <v>3</v>
      </c>
      <c r="Q13" s="184">
        <f>PLANTILLA!AT19</f>
        <v>6.6300000000000008</v>
      </c>
      <c r="R13" s="184">
        <f>PLANTILLA!AU19</f>
        <v>20.5</v>
      </c>
      <c r="S13" s="184">
        <f>PLANTILLA!AV19</f>
        <v>16.805</v>
      </c>
      <c r="T13" s="184">
        <f>PLANTILLA!AW19</f>
        <v>19.666666666666668</v>
      </c>
      <c r="U13" s="184">
        <f>PLANTILLA!AX19</f>
        <v>39.200000000000003</v>
      </c>
      <c r="V13" s="184">
        <f>PLANTILLA!AY19</f>
        <v>39.729999999999997</v>
      </c>
      <c r="W13" s="184">
        <f>PLANTILLA!AZ19</f>
        <v>40.790000000000006</v>
      </c>
      <c r="X13" s="184">
        <f>PLANTILLA!BA19</f>
        <v>28.950000000000003</v>
      </c>
      <c r="Y13" s="184">
        <f>PLANTILLA!BB19</f>
        <v>32.67</v>
      </c>
      <c r="Z13" s="184">
        <f>PLANTILLA!BC19</f>
        <v>28.474999999999998</v>
      </c>
      <c r="AA13" s="184">
        <f>PLANTILLA!BD19</f>
        <v>28.57</v>
      </c>
    </row>
    <row r="14" spans="1:27" x14ac:dyDescent="0.25">
      <c r="A14" t="str">
        <f>PLANTILLA!A23</f>
        <v>#17</v>
      </c>
      <c r="B14" s="41" t="str">
        <f>PLANTILLA!C23</f>
        <v>DAV</v>
      </c>
      <c r="C14" s="272" t="str">
        <f>PLANTILLA!D23</f>
        <v>L. Cabistany</v>
      </c>
      <c r="D14" s="42">
        <f>PLANTILLA!E23</f>
        <v>22</v>
      </c>
      <c r="E14" s="43">
        <f ca="1">PLANTILLA!F23</f>
        <v>52</v>
      </c>
      <c r="F14" s="44">
        <f>PLANTILLA!G23</f>
        <v>0</v>
      </c>
      <c r="G14" s="45">
        <f>PLANTILLA!H23</f>
        <v>2</v>
      </c>
      <c r="H14" s="46">
        <f>PLANTILLA!I23</f>
        <v>1.4</v>
      </c>
      <c r="I14" s="365">
        <f>PLANTILLA!AI23</f>
        <v>65.3</v>
      </c>
      <c r="J14" s="57">
        <f>PLANTILLA!AJ23</f>
        <v>0</v>
      </c>
      <c r="K14" s="57">
        <f>PLANTILLA!AK23</f>
        <v>0</v>
      </c>
      <c r="L14" s="57">
        <f>PLANTILLA!AL23</f>
        <v>18.8</v>
      </c>
      <c r="M14" s="57">
        <f>PLANTILLA!AM23</f>
        <v>1.5</v>
      </c>
      <c r="N14" s="57">
        <f>PLANTILLA!AN23</f>
        <v>23</v>
      </c>
      <c r="O14" s="57">
        <f>PLANTILLA!AO23</f>
        <v>20</v>
      </c>
      <c r="P14" s="57">
        <f>PLANTILLA!AP23</f>
        <v>2</v>
      </c>
      <c r="Q14" s="184">
        <f>PLANTILLA!AT23</f>
        <v>2</v>
      </c>
      <c r="R14" s="184">
        <f>PLANTILLA!AU23</f>
        <v>6.7</v>
      </c>
      <c r="S14" s="184">
        <f>PLANTILLA!AV23</f>
        <v>2.4950000000000001</v>
      </c>
      <c r="T14" s="184">
        <f>PLANTILLA!AW23</f>
        <v>3</v>
      </c>
      <c r="U14" s="184">
        <f>PLANTILLA!AX23</f>
        <v>27.11</v>
      </c>
      <c r="V14" s="184">
        <f>PLANTILLA!AY23</f>
        <v>31.9</v>
      </c>
      <c r="W14" s="184">
        <f>PLANTILLA!AZ23</f>
        <v>38.5</v>
      </c>
      <c r="X14" s="184">
        <f>PLANTILLA!BA23</f>
        <v>17.71</v>
      </c>
      <c r="Y14" s="184">
        <f>PLANTILLA!BB23</f>
        <v>19.254000000000001</v>
      </c>
      <c r="Z14" s="184">
        <f>PLANTILLA!BC23</f>
        <v>33.245000000000005</v>
      </c>
      <c r="AA14" s="184">
        <f>PLANTILLA!BD23</f>
        <v>35.08</v>
      </c>
    </row>
    <row r="15" spans="1:27" x14ac:dyDescent="0.25">
      <c r="A15" t="str">
        <f>PLANTILLA!A10</f>
        <v>#3</v>
      </c>
      <c r="B15" s="41" t="str">
        <f>PLANTILLA!C10</f>
        <v>CEN</v>
      </c>
      <c r="C15" s="272" t="str">
        <f>PLANTILLA!D10</f>
        <v>D. Alemany</v>
      </c>
      <c r="D15" s="42">
        <f>PLANTILLA!E10</f>
        <v>21</v>
      </c>
      <c r="E15" s="43">
        <f ca="1">PLANTILLA!F10</f>
        <v>72</v>
      </c>
      <c r="F15" s="44">
        <f>PLANTILLA!G10</f>
        <v>0</v>
      </c>
      <c r="G15" s="45">
        <f>PLANTILLA!H10</f>
        <v>0</v>
      </c>
      <c r="H15" s="46">
        <f>PLANTILLA!I10</f>
        <v>2</v>
      </c>
      <c r="I15" s="365">
        <f>PLANTILLA!AI10</f>
        <v>49</v>
      </c>
      <c r="J15" s="57">
        <f>PLANTILLA!AJ10</f>
        <v>0</v>
      </c>
      <c r="K15" s="57">
        <f>PLANTILLA!AK10</f>
        <v>14</v>
      </c>
      <c r="L15" s="57">
        <f>PLANTILLA!AL10</f>
        <v>9</v>
      </c>
      <c r="M15" s="57">
        <f>PLANTILLA!AM10</f>
        <v>0</v>
      </c>
      <c r="N15" s="57">
        <f>PLANTILLA!AN10</f>
        <v>18</v>
      </c>
      <c r="O15" s="57">
        <f>PLANTILLA!AO10</f>
        <v>5</v>
      </c>
      <c r="P15" s="57">
        <f>PLANTILLA!AP10</f>
        <v>3</v>
      </c>
      <c r="Q15" s="184">
        <f>PLANTILLA!AT10</f>
        <v>7.62</v>
      </c>
      <c r="R15" s="184">
        <f>PLANTILLA!AU10</f>
        <v>19.25</v>
      </c>
      <c r="S15" s="184">
        <f>PLANTILLA!AV10</f>
        <v>17</v>
      </c>
      <c r="T15" s="184">
        <f>PLANTILLA!AW10</f>
        <v>17</v>
      </c>
      <c r="U15" s="184">
        <f>PLANTILLA!AX10</f>
        <v>24.06</v>
      </c>
      <c r="V15" s="184">
        <f>PLANTILLA!AY10</f>
        <v>24.05</v>
      </c>
      <c r="W15" s="184">
        <f>PLANTILLA!AZ10</f>
        <v>24.790000000000003</v>
      </c>
      <c r="X15" s="184">
        <f>PLANTILLA!BA10</f>
        <v>15.05</v>
      </c>
      <c r="Y15" s="184">
        <f>PLANTILLA!BB10</f>
        <v>15.23</v>
      </c>
      <c r="Z15" s="184">
        <f>PLANTILLA!BC10</f>
        <v>18.600000000000001</v>
      </c>
      <c r="AA15" s="184">
        <f>PLANTILLA!BD10</f>
        <v>16.55</v>
      </c>
    </row>
    <row r="16" spans="1:27" x14ac:dyDescent="0.25">
      <c r="A16" t="str">
        <f>PLANTILLA!A9</f>
        <v>#14</v>
      </c>
      <c r="B16" s="41" t="str">
        <f>PLANTILLA!C9</f>
        <v>LAT</v>
      </c>
      <c r="C16" s="272" t="str">
        <f>PLANTILLA!D9</f>
        <v>P. Recatalà</v>
      </c>
      <c r="D16" s="42">
        <f>PLANTILLA!E9</f>
        <v>23</v>
      </c>
      <c r="E16" s="43">
        <f ca="1">PLANTILLA!F9</f>
        <v>21</v>
      </c>
      <c r="F16" s="44">
        <f>PLANTILLA!G9</f>
        <v>0</v>
      </c>
      <c r="G16" s="45">
        <f>PLANTILLA!H9</f>
        <v>5</v>
      </c>
      <c r="H16" s="46">
        <f>PLANTILLA!I9</f>
        <v>2.1</v>
      </c>
      <c r="I16" s="365">
        <f>PLANTILLA!AI9</f>
        <v>44.5</v>
      </c>
      <c r="J16" s="57">
        <f>PLANTILLA!AJ9</f>
        <v>0</v>
      </c>
      <c r="K16" s="57">
        <f>PLANTILLA!AK9</f>
        <v>10</v>
      </c>
      <c r="L16" s="57">
        <f>PLANTILLA!AL9</f>
        <v>12</v>
      </c>
      <c r="M16" s="57">
        <f>PLANTILLA!AM9</f>
        <v>5.5</v>
      </c>
      <c r="N16" s="57">
        <f>PLANTILLA!AN9</f>
        <v>13</v>
      </c>
      <c r="O16" s="57">
        <f>PLANTILLA!AO9</f>
        <v>0</v>
      </c>
      <c r="P16" s="57">
        <f>PLANTILLA!AP9</f>
        <v>4</v>
      </c>
      <c r="Q16" s="184">
        <f>PLANTILLA!AT9</f>
        <v>7.3000000000000007</v>
      </c>
      <c r="R16" s="184">
        <f>PLANTILLA!AU9</f>
        <v>17</v>
      </c>
      <c r="S16" s="184">
        <f>PLANTILLA!AV9</f>
        <v>15.815</v>
      </c>
      <c r="T16" s="184">
        <f>PLANTILLA!AW9</f>
        <v>17.666666666666664</v>
      </c>
      <c r="U16" s="184">
        <f>PLANTILLA!AX9</f>
        <v>24.21</v>
      </c>
      <c r="V16" s="184">
        <f>PLANTILLA!AY9</f>
        <v>23.9</v>
      </c>
      <c r="W16" s="184">
        <f>PLANTILLA!AZ9</f>
        <v>24.1</v>
      </c>
      <c r="X16" s="184">
        <f>PLANTILLA!BA9</f>
        <v>20.65</v>
      </c>
      <c r="Y16" s="184">
        <f>PLANTILLA!BB9</f>
        <v>21.77</v>
      </c>
      <c r="Z16" s="184">
        <f>PLANTILLA!BC9</f>
        <v>16.125</v>
      </c>
      <c r="AA16" s="184">
        <f>PLANTILLA!BD9</f>
        <v>12.76</v>
      </c>
    </row>
    <row r="17" spans="1:27" x14ac:dyDescent="0.25">
      <c r="A17" t="str">
        <f>PLANTILLA!A20</f>
        <v>#15</v>
      </c>
      <c r="B17" s="41" t="str">
        <f>PLANTILLA!C20</f>
        <v>DAV</v>
      </c>
      <c r="C17" s="272" t="str">
        <f>PLANTILLA!D20</f>
        <v>P. Molins</v>
      </c>
      <c r="D17" s="42">
        <f>PLANTILLA!E20</f>
        <v>18</v>
      </c>
      <c r="E17" s="43">
        <f ca="1">PLANTILLA!F20</f>
        <v>98</v>
      </c>
      <c r="F17" s="44" t="str">
        <f>PLANTILLA!G20</f>
        <v>POT</v>
      </c>
      <c r="G17" s="45">
        <f>PLANTILLA!H20</f>
        <v>5</v>
      </c>
      <c r="H17" s="46">
        <f>PLANTILLA!I20</f>
        <v>1.1000000000000001</v>
      </c>
      <c r="I17" s="365">
        <f>PLANTILLA!AI20</f>
        <v>44.5</v>
      </c>
      <c r="J17" s="57">
        <f>PLANTILLA!AJ20</f>
        <v>0</v>
      </c>
      <c r="K17" s="57">
        <f>PLANTILLA!AK20</f>
        <v>6</v>
      </c>
      <c r="L17" s="57">
        <f>PLANTILLA!AL20</f>
        <v>12</v>
      </c>
      <c r="M17" s="57">
        <f>PLANTILLA!AM20</f>
        <v>1.5</v>
      </c>
      <c r="N17" s="57">
        <f>PLANTILLA!AN20</f>
        <v>15</v>
      </c>
      <c r="O17" s="57">
        <f>PLANTILLA!AO20</f>
        <v>8</v>
      </c>
      <c r="P17" s="57">
        <f>PLANTILLA!AP20</f>
        <v>2</v>
      </c>
      <c r="Q17" s="184">
        <f>PLANTILLA!AT20</f>
        <v>3.98</v>
      </c>
      <c r="R17" s="184">
        <f>PLANTILLA!AU20</f>
        <v>11</v>
      </c>
      <c r="S17" s="184">
        <f>PLANTILLA!AV20</f>
        <v>8.495000000000001</v>
      </c>
      <c r="T17" s="184">
        <f>PLANTILLA!AW20</f>
        <v>9</v>
      </c>
      <c r="U17" s="184">
        <f>PLANTILLA!AX20</f>
        <v>21.11</v>
      </c>
      <c r="V17" s="184">
        <f>PLANTILLA!AY20</f>
        <v>22.58</v>
      </c>
      <c r="W17" s="184">
        <f>PLANTILLA!AZ20</f>
        <v>24.94</v>
      </c>
      <c r="X17" s="184">
        <f>PLANTILLA!BA20</f>
        <v>14.15</v>
      </c>
      <c r="Y17" s="184">
        <f>PLANTILLA!BB20</f>
        <v>15.110000000000001</v>
      </c>
      <c r="Z17" s="184">
        <f>PLANTILLA!BC20</f>
        <v>19.325000000000003</v>
      </c>
      <c r="AA17" s="184">
        <f>PLANTILLA!BD20</f>
        <v>18.579999999999998</v>
      </c>
    </row>
    <row r="18" spans="1:27" x14ac:dyDescent="0.25">
      <c r="A18" t="str">
        <f>PLANTILLA!A11</f>
        <v>#20</v>
      </c>
      <c r="B18" s="41" t="str">
        <f>PLANTILLA!C11</f>
        <v>CEN</v>
      </c>
      <c r="C18" s="272" t="str">
        <f>PLANTILLA!D11</f>
        <v>L. Müller</v>
      </c>
      <c r="D18" s="42">
        <f>PLANTILLA!E11</f>
        <v>20</v>
      </c>
      <c r="E18" s="43">
        <f ca="1">PLANTILLA!F11</f>
        <v>88</v>
      </c>
      <c r="F18" s="44" t="str">
        <f>PLANTILLA!G11</f>
        <v>IMP</v>
      </c>
      <c r="G18" s="45">
        <f>PLANTILLA!H11</f>
        <v>2</v>
      </c>
      <c r="H18" s="46">
        <f>PLANTILLA!I11</f>
        <v>1.1000000000000001</v>
      </c>
      <c r="I18" s="365">
        <f>PLANTILLA!AI11</f>
        <v>41</v>
      </c>
      <c r="J18" s="57">
        <f>PLANTILLA!AJ11</f>
        <v>0</v>
      </c>
      <c r="K18" s="57">
        <f>PLANTILLA!AK11</f>
        <v>10</v>
      </c>
      <c r="L18" s="57">
        <f>PLANTILLA!AL11</f>
        <v>9</v>
      </c>
      <c r="M18" s="57">
        <f>PLANTILLA!AM11</f>
        <v>0</v>
      </c>
      <c r="N18" s="57">
        <f>PLANTILLA!AN11</f>
        <v>18</v>
      </c>
      <c r="O18" s="57">
        <f>PLANTILLA!AO11</f>
        <v>2</v>
      </c>
      <c r="P18" s="57">
        <f>PLANTILLA!AP11</f>
        <v>2</v>
      </c>
      <c r="Q18" s="184">
        <f>PLANTILLA!AT11</f>
        <v>5.3000000000000007</v>
      </c>
      <c r="R18" s="184">
        <f>PLANTILLA!AU11</f>
        <v>14.25</v>
      </c>
      <c r="S18" s="184">
        <f>PLANTILLA!AV11</f>
        <v>12</v>
      </c>
      <c r="T18" s="184">
        <f>PLANTILLA!AW11</f>
        <v>12</v>
      </c>
      <c r="U18" s="184">
        <f>PLANTILLA!AX11</f>
        <v>20.299999999999997</v>
      </c>
      <c r="V18" s="184">
        <f>PLANTILLA!AY11</f>
        <v>20.82</v>
      </c>
      <c r="W18" s="184">
        <f>PLANTILLA!AZ11</f>
        <v>22.220000000000002</v>
      </c>
      <c r="X18" s="184">
        <f>PLANTILLA!BA11</f>
        <v>13.05</v>
      </c>
      <c r="Y18" s="184">
        <f>PLANTILLA!BB11</f>
        <v>13.23</v>
      </c>
      <c r="Z18" s="184">
        <f>PLANTILLA!BC11</f>
        <v>15.8</v>
      </c>
      <c r="AA18" s="184">
        <f>PLANTILLA!BD11</f>
        <v>12.55</v>
      </c>
    </row>
    <row r="19" spans="1:27" x14ac:dyDescent="0.25">
      <c r="A19" t="str">
        <f>PLANTILLA!A5</f>
        <v>#16</v>
      </c>
      <c r="B19" s="41" t="str">
        <f>PLANTILLA!C5</f>
        <v>POR</v>
      </c>
      <c r="C19" s="272" t="str">
        <f>PLANTILLA!D5</f>
        <v>S. Candela</v>
      </c>
      <c r="D19" s="42">
        <f>PLANTILLA!E5</f>
        <v>30</v>
      </c>
      <c r="E19" s="43">
        <f ca="1">PLANTILLA!F5</f>
        <v>69</v>
      </c>
      <c r="F19" s="44" t="str">
        <f>PLANTILLA!G5</f>
        <v>CAB</v>
      </c>
      <c r="G19" s="45">
        <f>PLANTILLA!H5</f>
        <v>6</v>
      </c>
      <c r="H19" s="46">
        <f>PLANTILLA!I5</f>
        <v>3.4</v>
      </c>
      <c r="I19" s="365">
        <f>PLANTILLA!AI5</f>
        <v>37.5</v>
      </c>
      <c r="J19" s="57">
        <f>PLANTILLA!AJ5</f>
        <v>33.5</v>
      </c>
      <c r="K19" s="57">
        <f>PLANTILLA!AK5</f>
        <v>0</v>
      </c>
      <c r="L19" s="57">
        <f>PLANTILLA!AL5</f>
        <v>0</v>
      </c>
      <c r="M19" s="57">
        <f>PLANTILLA!AM5</f>
        <v>0</v>
      </c>
      <c r="N19" s="57">
        <f>PLANTILLA!AN5</f>
        <v>0</v>
      </c>
      <c r="O19" s="57">
        <f>PLANTILLA!AO5</f>
        <v>0</v>
      </c>
      <c r="P19" s="57">
        <f>PLANTILLA!AP5</f>
        <v>4</v>
      </c>
      <c r="Q19" s="184">
        <f>PLANTILLA!AT5</f>
        <v>37.5</v>
      </c>
      <c r="R19" s="184">
        <f>PLANTILLA!AU5</f>
        <v>4</v>
      </c>
      <c r="S19" s="184">
        <f>PLANTILLA!AV5</f>
        <v>4</v>
      </c>
      <c r="T19" s="184">
        <f>PLANTILLA!AW5</f>
        <v>4</v>
      </c>
      <c r="U19" s="184">
        <f>PLANTILLA!AX5</f>
        <v>4</v>
      </c>
      <c r="V19" s="184">
        <f>PLANTILLA!AY5</f>
        <v>4</v>
      </c>
      <c r="W19" s="184">
        <f>PLANTILLA!AZ5</f>
        <v>4</v>
      </c>
      <c r="X19" s="184">
        <f>PLANTILLA!BA5</f>
        <v>4</v>
      </c>
      <c r="Y19" s="184">
        <f>PLANTILLA!BB5</f>
        <v>4</v>
      </c>
      <c r="Z19" s="184">
        <f>PLANTILLA!BC5</f>
        <v>4</v>
      </c>
      <c r="AA19" s="184">
        <f>PLANTILLA!BD5</f>
        <v>4</v>
      </c>
    </row>
    <row r="20" spans="1:27" x14ac:dyDescent="0.25">
      <c r="A20" t="str">
        <f>PLANTILLA!A8</f>
        <v>#18</v>
      </c>
      <c r="B20" s="41" t="str">
        <f>PLANTILLA!C8</f>
        <v>LAT</v>
      </c>
      <c r="C20" s="272" t="str">
        <f>PLANTILLA!D8</f>
        <v>J. Saumench</v>
      </c>
      <c r="D20" s="42">
        <f>PLANTILLA!E8</f>
        <v>18</v>
      </c>
      <c r="E20" s="43">
        <f ca="1">PLANTILLA!F8</f>
        <v>71</v>
      </c>
      <c r="F20" s="44" t="str">
        <f>PLANTILLA!G8</f>
        <v>CAB</v>
      </c>
      <c r="G20" s="45">
        <f>PLANTILLA!H8</f>
        <v>0</v>
      </c>
      <c r="H20" s="46">
        <f>PLANTILLA!I8</f>
        <v>1</v>
      </c>
      <c r="I20" s="365">
        <f>PLANTILLA!AI8</f>
        <v>24</v>
      </c>
      <c r="J20" s="57">
        <f>PLANTILLA!AJ8</f>
        <v>0</v>
      </c>
      <c r="K20" s="57">
        <f>PLANTILLA!AK8</f>
        <v>14</v>
      </c>
      <c r="L20" s="57">
        <f>PLANTILLA!AL8</f>
        <v>2.5</v>
      </c>
      <c r="M20" s="57">
        <f>PLANTILLA!AM8</f>
        <v>3.5</v>
      </c>
      <c r="N20" s="57">
        <f>PLANTILLA!AN8</f>
        <v>0</v>
      </c>
      <c r="O20" s="57">
        <f>PLANTILLA!AO8</f>
        <v>5</v>
      </c>
      <c r="P20" s="57">
        <f>PLANTILLA!AP8</f>
        <v>-1</v>
      </c>
      <c r="Q20" s="184">
        <f>PLANTILLA!AT8</f>
        <v>3.62</v>
      </c>
      <c r="R20" s="184">
        <f>PLANTILLA!AU8</f>
        <v>13.625</v>
      </c>
      <c r="S20" s="184">
        <f>PLANTILLA!AV8</f>
        <v>14.154999999999999</v>
      </c>
      <c r="T20" s="184">
        <f>PLANTILLA!AW8</f>
        <v>15.333333333333332</v>
      </c>
      <c r="U20" s="184">
        <f>PLANTILLA!AX8</f>
        <v>10.5</v>
      </c>
      <c r="V20" s="184">
        <f>PLANTILLA!AY8</f>
        <v>8.1500000000000021</v>
      </c>
      <c r="W20" s="184">
        <f>PLANTILLA!AZ8</f>
        <v>5.29</v>
      </c>
      <c r="X20" s="184">
        <f>PLANTILLA!BA8</f>
        <v>7.125</v>
      </c>
      <c r="Y20" s="184">
        <f>PLANTILLA!BB8</f>
        <v>7.5749999999999993</v>
      </c>
      <c r="Z20" s="184">
        <f>PLANTILLA!BC8</f>
        <v>3.5250000000000004</v>
      </c>
      <c r="AA20" s="184">
        <f>PLANTILLA!BD8</f>
        <v>5.3949999999999996</v>
      </c>
    </row>
    <row r="21" spans="1:27" x14ac:dyDescent="0.25">
      <c r="A21" t="str">
        <f>PLANTILLA!A7</f>
        <v>#21</v>
      </c>
      <c r="B21" s="41" t="str">
        <f>PLANTILLA!C7</f>
        <v>LAT</v>
      </c>
      <c r="C21" s="272" t="str">
        <f>PLANTILLA!D7</f>
        <v>D. Gurri</v>
      </c>
      <c r="D21" s="42">
        <f>PLANTILLA!E7</f>
        <v>19</v>
      </c>
      <c r="E21" s="43">
        <f ca="1">PLANTILLA!F7</f>
        <v>43</v>
      </c>
      <c r="F21" s="44">
        <f>PLANTILLA!G7</f>
        <v>0</v>
      </c>
      <c r="G21" s="45">
        <f>PLANTILLA!H7</f>
        <v>4</v>
      </c>
      <c r="H21" s="46">
        <f>PLANTILLA!I7</f>
        <v>1</v>
      </c>
      <c r="I21" s="365">
        <f>PLANTILLA!AI7</f>
        <v>21.5</v>
      </c>
      <c r="J21" s="57">
        <f>PLANTILLA!AJ7</f>
        <v>0</v>
      </c>
      <c r="K21" s="57">
        <f>PLANTILLA!AK7</f>
        <v>14</v>
      </c>
      <c r="L21" s="57">
        <f>PLANTILLA!AL7</f>
        <v>0</v>
      </c>
      <c r="M21" s="57">
        <f>PLANTILLA!AM7</f>
        <v>3.5</v>
      </c>
      <c r="N21" s="57">
        <f>PLANTILLA!AN7</f>
        <v>0</v>
      </c>
      <c r="O21" s="57">
        <f>PLANTILLA!AO7</f>
        <v>5</v>
      </c>
      <c r="P21" s="57">
        <f>PLANTILLA!AP7</f>
        <v>-1</v>
      </c>
      <c r="Q21" s="184">
        <f>PLANTILLA!AT7</f>
        <v>3.62</v>
      </c>
      <c r="R21" s="184">
        <f>PLANTILLA!AU7</f>
        <v>13</v>
      </c>
      <c r="S21" s="184">
        <f>PLANTILLA!AV7</f>
        <v>14.154999999999999</v>
      </c>
      <c r="T21" s="184">
        <f>PLANTILLA!AW7</f>
        <v>15.333333333333332</v>
      </c>
      <c r="U21" s="184">
        <f>PLANTILLA!AX7</f>
        <v>8</v>
      </c>
      <c r="V21" s="184">
        <f>PLANTILLA!AY7</f>
        <v>5.65</v>
      </c>
      <c r="W21" s="184">
        <f>PLANTILLA!AZ7</f>
        <v>2.79</v>
      </c>
      <c r="X21" s="184">
        <f>PLANTILLA!BA7</f>
        <v>6</v>
      </c>
      <c r="Y21" s="184">
        <f>PLANTILLA!BB7</f>
        <v>6</v>
      </c>
      <c r="Z21" s="184">
        <f>PLANTILLA!BC7</f>
        <v>2.5249999999999999</v>
      </c>
      <c r="AA21" s="184">
        <f>PLANTILLA!BD7</f>
        <v>4.7699999999999996</v>
      </c>
    </row>
    <row r="22" spans="1:27" x14ac:dyDescent="0.25">
      <c r="A22" t="str">
        <f>PLANTILLA!A6</f>
        <v>#19</v>
      </c>
      <c r="B22" s="41" t="str">
        <f>PLANTILLA!C6</f>
        <v>POR</v>
      </c>
      <c r="C22" s="272" t="str">
        <f>PLANTILLA!D6</f>
        <v>B. Ramonjoan</v>
      </c>
      <c r="D22" s="42">
        <f>PLANTILLA!E6</f>
        <v>19</v>
      </c>
      <c r="E22" s="43">
        <f ca="1">PLANTILLA!F6</f>
        <v>83</v>
      </c>
      <c r="F22" s="44">
        <f>PLANTILLA!G6</f>
        <v>0</v>
      </c>
      <c r="G22" s="45">
        <f>PLANTILLA!H6</f>
        <v>2</v>
      </c>
      <c r="H22" s="46">
        <f>PLANTILLA!I6</f>
        <v>1</v>
      </c>
      <c r="I22" s="365">
        <f>PLANTILLA!AI6</f>
        <v>11.5</v>
      </c>
      <c r="J22" s="57">
        <f>PLANTILLA!AJ6</f>
        <v>7.5</v>
      </c>
      <c r="K22" s="57">
        <f>PLANTILLA!AK6</f>
        <v>3</v>
      </c>
      <c r="L22" s="57">
        <f>PLANTILLA!AL6</f>
        <v>0</v>
      </c>
      <c r="M22" s="57">
        <f>PLANTILLA!AM6</f>
        <v>0</v>
      </c>
      <c r="N22" s="57">
        <f>PLANTILLA!AN6</f>
        <v>0</v>
      </c>
      <c r="O22" s="57">
        <f>PLANTILLA!AO6</f>
        <v>0</v>
      </c>
      <c r="P22" s="57">
        <f>PLANTILLA!AP6</f>
        <v>1</v>
      </c>
      <c r="Q22" s="184">
        <f>PLANTILLA!AT6</f>
        <v>9.49</v>
      </c>
      <c r="R22" s="184">
        <f>PLANTILLA!AU6</f>
        <v>4</v>
      </c>
      <c r="S22" s="184">
        <f>PLANTILLA!AV6</f>
        <v>4</v>
      </c>
      <c r="T22" s="184">
        <f>PLANTILLA!AW6</f>
        <v>4</v>
      </c>
      <c r="U22" s="184">
        <f>PLANTILLA!AX6</f>
        <v>2.8</v>
      </c>
      <c r="V22" s="184">
        <f>PLANTILLA!AY6</f>
        <v>2.2000000000000002</v>
      </c>
      <c r="W22" s="184">
        <f>PLANTILLA!AZ6</f>
        <v>1.48</v>
      </c>
      <c r="X22" s="184">
        <f>PLANTILLA!BA6</f>
        <v>1.75</v>
      </c>
      <c r="Y22" s="184">
        <f>PLANTILLA!BB6</f>
        <v>1.75</v>
      </c>
      <c r="Z22" s="184">
        <f>PLANTILLA!BC6</f>
        <v>1</v>
      </c>
      <c r="AA22" s="184">
        <f>PLANTILLA!BD6</f>
        <v>1</v>
      </c>
    </row>
  </sheetData>
  <autoFilter ref="Q1:AA20" xr:uid="{24C40821-DD64-488D-A5E3-E11A804F4BDD}"/>
  <sortState xmlns:xlrd2="http://schemas.microsoft.com/office/spreadsheetml/2017/richdata2" ref="A2:AA22">
    <sortCondition descending="1" ref="I2:I22"/>
  </sortState>
  <conditionalFormatting sqref="R2:T22">
    <cfRule type="colorScale" priority="2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2">
    <cfRule type="colorScale" priority="2294">
      <colorScale>
        <cfvo type="min"/>
        <cfvo type="max"/>
        <color rgb="FFFFEF9C"/>
        <color rgb="FF63BE7B"/>
      </colorScale>
    </cfRule>
  </conditionalFormatting>
  <conditionalFormatting sqref="X2:Y22">
    <cfRule type="colorScale" priority="2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2">
    <cfRule type="colorScale" priority="2296">
      <colorScale>
        <cfvo type="min"/>
        <cfvo type="max"/>
        <color rgb="FFFFEF9C"/>
        <color rgb="FF63BE7B"/>
      </colorScale>
    </cfRule>
  </conditionalFormatting>
  <conditionalFormatting sqref="Q2:Q22">
    <cfRule type="colorScale" priority="2297">
      <colorScale>
        <cfvo type="min"/>
        <cfvo type="max"/>
        <color rgb="FFFFEF9C"/>
        <color rgb="FF63BE7B"/>
      </colorScale>
    </cfRule>
  </conditionalFormatting>
  <conditionalFormatting sqref="I2:I22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2299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 codeName="Hoja1">
    <tabColor rgb="FF92D050"/>
  </sheetPr>
  <dimension ref="A1:AY41"/>
  <sheetViews>
    <sheetView workbookViewId="0">
      <selection activeCell="T8" sqref="T8"/>
    </sheetView>
  </sheetViews>
  <sheetFormatPr baseColWidth="10" defaultRowHeight="15" x14ac:dyDescent="0.25"/>
  <cols>
    <col min="1" max="1" width="5.140625" style="2" bestFit="1" customWidth="1"/>
    <col min="2" max="2" width="10.7109375" style="2" bestFit="1" customWidth="1"/>
    <col min="3" max="3" width="9.85546875" style="2" bestFit="1" customWidth="1"/>
    <col min="4" max="4" width="10.7109375" style="2" bestFit="1" customWidth="1"/>
    <col min="5" max="5" width="16.7109375" style="2" bestFit="1" customWidth="1"/>
    <col min="6" max="6" width="50.7109375" bestFit="1" customWidth="1"/>
    <col min="7" max="7" width="7.85546875" customWidth="1"/>
    <col min="8" max="8" width="6.140625" bestFit="1" customWidth="1"/>
    <col min="9" max="9" width="13.42578125" bestFit="1" customWidth="1"/>
    <col min="10" max="10" width="5.5703125" bestFit="1" customWidth="1"/>
    <col min="11" max="11" width="5" bestFit="1" customWidth="1"/>
    <col min="12" max="12" width="5.5703125" bestFit="1" customWidth="1"/>
    <col min="13" max="13" width="4.5703125" bestFit="1" customWidth="1"/>
    <col min="14" max="14" width="5.5703125" bestFit="1" customWidth="1"/>
    <col min="15" max="18" width="4.5703125" bestFit="1" customWidth="1"/>
    <col min="21" max="21" width="7" bestFit="1" customWidth="1"/>
    <col min="22" max="22" width="7.5703125" bestFit="1" customWidth="1"/>
  </cols>
  <sheetData>
    <row r="1" spans="1:51" s="9" customFormat="1" x14ac:dyDescent="0.25">
      <c r="A1" s="302" t="s">
        <v>298</v>
      </c>
      <c r="B1" s="302" t="s">
        <v>306</v>
      </c>
      <c r="C1" s="302" t="s">
        <v>294</v>
      </c>
      <c r="D1" s="302" t="s">
        <v>307</v>
      </c>
      <c r="E1" s="302" t="s">
        <v>295</v>
      </c>
      <c r="F1" s="9" t="s">
        <v>296</v>
      </c>
    </row>
    <row r="2" spans="1:51" x14ac:dyDescent="0.25">
      <c r="A2" s="2">
        <v>1</v>
      </c>
      <c r="B2" s="303">
        <f ca="1">TODAY()</f>
        <v>44692</v>
      </c>
      <c r="C2" s="2">
        <v>14</v>
      </c>
      <c r="D2" s="303">
        <f ca="1">B2+(C2*7)</f>
        <v>44790</v>
      </c>
      <c r="E2" s="2" t="s">
        <v>297</v>
      </c>
      <c r="F2" t="s">
        <v>309</v>
      </c>
      <c r="H2" s="302" t="s">
        <v>299</v>
      </c>
      <c r="I2" s="302" t="s">
        <v>297</v>
      </c>
    </row>
    <row r="3" spans="1:51" x14ac:dyDescent="0.25">
      <c r="A3" s="2">
        <v>2</v>
      </c>
      <c r="B3" s="303">
        <f ca="1">D2</f>
        <v>44790</v>
      </c>
      <c r="C3" s="2">
        <v>16</v>
      </c>
      <c r="D3" s="303">
        <f ca="1">B3+(C3*7)</f>
        <v>44902</v>
      </c>
      <c r="E3" s="2" t="s">
        <v>240</v>
      </c>
      <c r="F3" t="s">
        <v>308</v>
      </c>
      <c r="H3" s="305" t="s">
        <v>45</v>
      </c>
      <c r="I3" s="306" t="s">
        <v>46</v>
      </c>
      <c r="J3" s="32" t="s">
        <v>47</v>
      </c>
      <c r="K3" s="32" t="s">
        <v>48</v>
      </c>
      <c r="L3" s="32" t="s">
        <v>65</v>
      </c>
      <c r="M3" s="32" t="s">
        <v>66</v>
      </c>
      <c r="N3" s="32" t="s">
        <v>67</v>
      </c>
      <c r="O3" s="32" t="s">
        <v>68</v>
      </c>
      <c r="P3" s="32" t="s">
        <v>69</v>
      </c>
      <c r="Q3" s="32" t="s">
        <v>70</v>
      </c>
      <c r="R3" s="32" t="s">
        <v>49</v>
      </c>
      <c r="S3" s="310" t="s">
        <v>300</v>
      </c>
      <c r="T3" s="310" t="s">
        <v>301</v>
      </c>
      <c r="U3" s="310" t="s">
        <v>61</v>
      </c>
      <c r="V3" s="310" t="s">
        <v>305</v>
      </c>
      <c r="AK3">
        <v>1</v>
      </c>
      <c r="AM3">
        <v>7</v>
      </c>
      <c r="AO3">
        <v>16</v>
      </c>
      <c r="AP3" t="s">
        <v>268</v>
      </c>
      <c r="AQ3">
        <v>3</v>
      </c>
      <c r="AS3">
        <v>7</v>
      </c>
      <c r="AU3">
        <v>8</v>
      </c>
      <c r="AW3">
        <v>2</v>
      </c>
      <c r="AY3" t="s">
        <v>265</v>
      </c>
    </row>
    <row r="4" spans="1:51" x14ac:dyDescent="0.25">
      <c r="A4" s="356" t="s">
        <v>322</v>
      </c>
      <c r="B4" s="356"/>
      <c r="C4" s="356"/>
      <c r="D4" s="356"/>
      <c r="E4" s="356"/>
      <c r="F4" s="356"/>
      <c r="H4" s="307" t="str">
        <f>PLANTILLA!C4</f>
        <v>POR</v>
      </c>
      <c r="I4" s="309" t="str">
        <f>PLANTILLA!D4</f>
        <v>E. Tarrida</v>
      </c>
      <c r="J4">
        <v>26</v>
      </c>
      <c r="K4">
        <f>156-112</f>
        <v>44</v>
      </c>
      <c r="L4" s="304">
        <f>PLANTILLA!W4</f>
        <v>13.285714285714286</v>
      </c>
      <c r="M4" s="304">
        <f>PLANTILLA!X4</f>
        <v>6</v>
      </c>
      <c r="N4" s="304">
        <f>PLANTILLA!Y4</f>
        <v>5</v>
      </c>
      <c r="O4" s="304">
        <f>PLANTILLA!Z4</f>
        <v>3</v>
      </c>
      <c r="P4" s="304">
        <f>PLANTILLA!AA4</f>
        <v>4</v>
      </c>
      <c r="Q4" s="304">
        <f>PLANTILLA!AB4</f>
        <v>3</v>
      </c>
      <c r="R4" s="304">
        <f>PLANTILLA!AC4</f>
        <v>8</v>
      </c>
      <c r="S4" s="2">
        <v>0</v>
      </c>
      <c r="T4" s="2">
        <v>0</v>
      </c>
      <c r="U4">
        <f>PLANTILLA!S4</f>
        <v>47590</v>
      </c>
      <c r="V4">
        <f>PLANTILLA!U4</f>
        <v>14730</v>
      </c>
    </row>
    <row r="5" spans="1:51" x14ac:dyDescent="0.25">
      <c r="A5" s="356" t="s">
        <v>323</v>
      </c>
      <c r="B5" s="356"/>
      <c r="C5" s="356"/>
      <c r="D5" s="356"/>
      <c r="E5" s="356"/>
      <c r="F5" s="356"/>
      <c r="H5" s="307" t="str">
        <f>PLANTILLA!C5</f>
        <v>POR</v>
      </c>
      <c r="I5" s="308" t="str">
        <f>PLANTILLA!D5</f>
        <v>S. Candela</v>
      </c>
      <c r="J5">
        <v>29</v>
      </c>
      <c r="K5">
        <v>35</v>
      </c>
      <c r="L5" s="304">
        <f>PLANTILLA!W5</f>
        <v>12.5</v>
      </c>
      <c r="M5" s="304">
        <f>PLANTILLA!X5</f>
        <v>2</v>
      </c>
      <c r="N5" s="304">
        <f>PLANTILLA!Y5</f>
        <v>3</v>
      </c>
      <c r="O5" s="304">
        <f>PLANTILLA!Z5</f>
        <v>1</v>
      </c>
      <c r="P5" s="304">
        <f>PLANTILLA!AA5</f>
        <v>1</v>
      </c>
      <c r="Q5" s="304">
        <f>PLANTILLA!AB5</f>
        <v>1</v>
      </c>
      <c r="R5" s="304">
        <f>PLANTILLA!AC5</f>
        <v>6</v>
      </c>
      <c r="S5" s="2">
        <v>0</v>
      </c>
      <c r="T5" s="2">
        <v>0</v>
      </c>
      <c r="U5">
        <f>PLANTILLA!S5</f>
        <v>38570</v>
      </c>
      <c r="V5">
        <f>PLANTILLA!U5</f>
        <v>9320</v>
      </c>
      <c r="AK5">
        <v>1</v>
      </c>
      <c r="AM5">
        <v>5</v>
      </c>
      <c r="AO5">
        <v>16</v>
      </c>
      <c r="AP5" t="s">
        <v>267</v>
      </c>
      <c r="AQ5">
        <v>7</v>
      </c>
      <c r="AS5">
        <v>6</v>
      </c>
      <c r="AU5">
        <v>10</v>
      </c>
      <c r="AW5">
        <v>4</v>
      </c>
      <c r="AY5" t="s">
        <v>302</v>
      </c>
    </row>
    <row r="6" spans="1:51" s="9" customFormat="1" x14ac:dyDescent="0.25">
      <c r="A6" s="302"/>
      <c r="B6" s="302"/>
      <c r="C6" s="302"/>
      <c r="D6" s="302"/>
      <c r="E6" s="302"/>
      <c r="H6" s="307" t="str">
        <f>PLANTILLA!C19</f>
        <v>EXT</v>
      </c>
      <c r="I6" s="308" t="str">
        <f>PLANTILLA!D19</f>
        <v>D. Juliol</v>
      </c>
      <c r="J6">
        <v>22</v>
      </c>
      <c r="K6">
        <v>101</v>
      </c>
      <c r="L6" s="304">
        <f>PLANTILLA!W19</f>
        <v>1</v>
      </c>
      <c r="M6" s="304">
        <f>PLANTILLA!X19</f>
        <v>5</v>
      </c>
      <c r="N6" s="304">
        <f>PLANTILLA!Y19</f>
        <v>9</v>
      </c>
      <c r="O6" s="304">
        <f>PLANTILLA!Z19</f>
        <v>6</v>
      </c>
      <c r="P6" s="304">
        <f>PLANTILLA!AA19</f>
        <v>6.5</v>
      </c>
      <c r="Q6" s="304">
        <f>PLANTILLA!AB19</f>
        <v>6.25</v>
      </c>
      <c r="R6" s="304">
        <f>PLANTILLA!AC19</f>
        <v>5</v>
      </c>
      <c r="S6" s="2">
        <v>0</v>
      </c>
      <c r="T6" s="2">
        <v>0</v>
      </c>
      <c r="U6">
        <f>PLANTILLA!S19</f>
        <v>17200</v>
      </c>
      <c r="V6">
        <f>PLANTILLA!U19</f>
        <v>1750</v>
      </c>
      <c r="X6"/>
      <c r="Y6"/>
    </row>
    <row r="7" spans="1:51" x14ac:dyDescent="0.25">
      <c r="A7" t="s">
        <v>324</v>
      </c>
      <c r="H7" s="307" t="e">
        <f>PLANTILLA!#REF!</f>
        <v>#REF!</v>
      </c>
      <c r="I7" s="308" t="e">
        <f>PLANTILLA!#REF!</f>
        <v>#REF!</v>
      </c>
      <c r="J7">
        <v>31</v>
      </c>
      <c r="K7">
        <v>16</v>
      </c>
      <c r="L7" s="304" t="e">
        <f>PLANTILLA!#REF!</f>
        <v>#REF!</v>
      </c>
      <c r="M7" s="304" t="e">
        <f>PLANTILLA!#REF!</f>
        <v>#REF!</v>
      </c>
      <c r="N7" s="304" t="e">
        <f>PLANTILLA!#REF!</f>
        <v>#REF!</v>
      </c>
      <c r="O7" s="304" t="e">
        <f>PLANTILLA!#REF!</f>
        <v>#REF!</v>
      </c>
      <c r="P7" s="304" t="e">
        <f>PLANTILLA!#REF!</f>
        <v>#REF!</v>
      </c>
      <c r="Q7" s="304" t="e">
        <f>PLANTILLA!#REF!</f>
        <v>#REF!</v>
      </c>
      <c r="R7" s="304" t="e">
        <f>PLANTILLA!#REF!</f>
        <v>#REF!</v>
      </c>
      <c r="S7" s="2">
        <v>0</v>
      </c>
      <c r="T7" s="2">
        <v>0</v>
      </c>
      <c r="U7" t="e">
        <f>PLANTILLA!#REF!</f>
        <v>#REF!</v>
      </c>
      <c r="V7" t="e">
        <f>PLANTILLA!#REF!</f>
        <v>#REF!</v>
      </c>
      <c r="AK7">
        <v>1</v>
      </c>
      <c r="AM7">
        <v>5</v>
      </c>
      <c r="AO7">
        <v>17</v>
      </c>
      <c r="AP7" t="s">
        <v>267</v>
      </c>
      <c r="AQ7">
        <v>6</v>
      </c>
      <c r="AS7">
        <v>6</v>
      </c>
      <c r="AU7">
        <v>5</v>
      </c>
      <c r="AW7">
        <v>6</v>
      </c>
      <c r="AY7" t="s">
        <v>265</v>
      </c>
    </row>
    <row r="8" spans="1:51" x14ac:dyDescent="0.25">
      <c r="A8" s="311"/>
      <c r="H8" s="307" t="str">
        <f>PLANTILLA!C10</f>
        <v>CEN</v>
      </c>
      <c r="I8" s="308" t="str">
        <f>PLANTILLA!D10</f>
        <v>D. Alemany</v>
      </c>
      <c r="J8">
        <v>20</v>
      </c>
      <c r="K8">
        <v>38</v>
      </c>
      <c r="L8" s="304">
        <f>PLANTILLA!W10</f>
        <v>0</v>
      </c>
      <c r="M8" s="304">
        <f>PLANTILLA!X10</f>
        <v>6</v>
      </c>
      <c r="N8" s="304">
        <f>PLANTILLA!Y10</f>
        <v>5.166666666666667</v>
      </c>
      <c r="O8" s="304">
        <f>PLANTILLA!Z10</f>
        <v>2</v>
      </c>
      <c r="P8" s="304">
        <f>PLANTILLA!AA10</f>
        <v>8</v>
      </c>
      <c r="Q8" s="304">
        <f>PLANTILLA!AB10</f>
        <v>4</v>
      </c>
      <c r="R8" s="304">
        <f>PLANTILLA!AC10</f>
        <v>5</v>
      </c>
      <c r="S8" s="2">
        <v>0</v>
      </c>
      <c r="T8" s="2">
        <v>0</v>
      </c>
      <c r="U8">
        <f>PLANTILLA!S10</f>
        <v>8170</v>
      </c>
      <c r="V8">
        <f>PLANTILLA!U10</f>
        <v>710</v>
      </c>
    </row>
    <row r="9" spans="1:51" x14ac:dyDescent="0.25">
      <c r="A9" s="311" t="s">
        <v>310</v>
      </c>
      <c r="H9" s="307" t="str">
        <f>PLANTILLA!C9</f>
        <v>LAT</v>
      </c>
      <c r="I9" s="308" t="str">
        <f>PLANTILLA!D9</f>
        <v>P. Recatalà</v>
      </c>
      <c r="J9">
        <v>21</v>
      </c>
      <c r="K9">
        <v>99</v>
      </c>
      <c r="L9" s="304">
        <f>PLANTILLA!W9</f>
        <v>0</v>
      </c>
      <c r="M9" s="304">
        <f>PLANTILLA!X9</f>
        <v>5</v>
      </c>
      <c r="N9" s="304">
        <f>PLANTILLA!Y9</f>
        <v>6</v>
      </c>
      <c r="O9" s="304">
        <f>PLANTILLA!Z9</f>
        <v>5</v>
      </c>
      <c r="P9" s="304">
        <f>PLANTILLA!AA9</f>
        <v>6.5</v>
      </c>
      <c r="Q9" s="304">
        <f>PLANTILLA!AB9</f>
        <v>2</v>
      </c>
      <c r="R9" s="304">
        <f>PLANTILLA!AC9</f>
        <v>6</v>
      </c>
      <c r="S9" s="2">
        <v>0</v>
      </c>
      <c r="T9" s="2">
        <v>0</v>
      </c>
      <c r="U9">
        <f>PLANTILLA!S9</f>
        <v>6850</v>
      </c>
      <c r="V9">
        <f>PLANTILLA!U9</f>
        <v>490</v>
      </c>
      <c r="AK9">
        <v>2</v>
      </c>
      <c r="AM9">
        <v>5</v>
      </c>
      <c r="AO9">
        <v>17</v>
      </c>
      <c r="AP9" t="s">
        <v>268</v>
      </c>
      <c r="AQ9">
        <v>3</v>
      </c>
      <c r="AS9">
        <v>6</v>
      </c>
      <c r="AU9">
        <v>4</v>
      </c>
      <c r="AW9">
        <v>5</v>
      </c>
      <c r="AY9" t="s">
        <v>265</v>
      </c>
    </row>
    <row r="10" spans="1:51" x14ac:dyDescent="0.25">
      <c r="A10" s="311"/>
      <c r="H10" s="307" t="str">
        <f>PLANTILLA!C11</f>
        <v>CEN</v>
      </c>
      <c r="I10" s="308" t="str">
        <f>PLANTILLA!D11</f>
        <v>L. Müller</v>
      </c>
      <c r="J10">
        <v>19</v>
      </c>
      <c r="K10">
        <v>6</v>
      </c>
      <c r="L10" s="304">
        <f>PLANTILLA!W11</f>
        <v>0</v>
      </c>
      <c r="M10" s="304">
        <f>PLANTILLA!X11</f>
        <v>5</v>
      </c>
      <c r="N10" s="304">
        <f>PLANTILLA!Y11</f>
        <v>5</v>
      </c>
      <c r="O10" s="304">
        <f>PLANTILLA!Z11</f>
        <v>2</v>
      </c>
      <c r="P10" s="304">
        <f>PLANTILLA!AA11</f>
        <v>8</v>
      </c>
      <c r="Q10" s="304">
        <f>PLANTILLA!AB11</f>
        <v>3</v>
      </c>
      <c r="R10" s="304">
        <f>PLANTILLA!AC11</f>
        <v>4</v>
      </c>
      <c r="S10" s="2">
        <v>0</v>
      </c>
      <c r="T10" s="2">
        <v>0</v>
      </c>
      <c r="U10">
        <f>PLANTILLA!S11</f>
        <v>8530</v>
      </c>
      <c r="V10">
        <f>PLANTILLA!U11</f>
        <v>690</v>
      </c>
    </row>
    <row r="11" spans="1:51" x14ac:dyDescent="0.25">
      <c r="A11" s="311" t="s">
        <v>311</v>
      </c>
      <c r="H11" s="307" t="str">
        <f>PLANTILLA!C12</f>
        <v>CEN</v>
      </c>
      <c r="I11" s="308" t="str">
        <f>PLANTILLA!D12</f>
        <v>G. Durand</v>
      </c>
      <c r="J11">
        <v>23</v>
      </c>
      <c r="K11">
        <v>59</v>
      </c>
      <c r="L11" s="304">
        <f>PLANTILLA!W12</f>
        <v>0</v>
      </c>
      <c r="M11" s="304">
        <f>PLANTILLA!X12</f>
        <v>5</v>
      </c>
      <c r="N11" s="304">
        <f>12+3/29</f>
        <v>12.103448275862069</v>
      </c>
      <c r="O11" s="304">
        <f>PLANTILLA!Z12</f>
        <v>2</v>
      </c>
      <c r="P11" s="304">
        <f>PLANTILLA!AA12</f>
        <v>7</v>
      </c>
      <c r="Q11" s="304">
        <f>PLANTILLA!AB12</f>
        <v>4</v>
      </c>
      <c r="R11" s="304">
        <f>PLANTILLA!AC12</f>
        <v>6</v>
      </c>
      <c r="S11" s="2">
        <v>0</v>
      </c>
      <c r="T11" s="2">
        <v>14</v>
      </c>
      <c r="U11">
        <v>28890</v>
      </c>
      <c r="V11">
        <v>9570</v>
      </c>
      <c r="AK11">
        <v>2</v>
      </c>
      <c r="AM11">
        <v>7</v>
      </c>
      <c r="AO11">
        <v>15</v>
      </c>
      <c r="AQ11">
        <v>4</v>
      </c>
      <c r="AS11">
        <v>6</v>
      </c>
      <c r="AU11">
        <v>7</v>
      </c>
      <c r="AW11">
        <v>3</v>
      </c>
      <c r="AY11" t="s">
        <v>265</v>
      </c>
    </row>
    <row r="12" spans="1:51" x14ac:dyDescent="0.25">
      <c r="A12" s="311" t="s">
        <v>312</v>
      </c>
      <c r="H12" s="307" t="str">
        <f>PLANTILLA!C13</f>
        <v>MED</v>
      </c>
      <c r="I12" s="308" t="str">
        <f>PLANTILLA!D13</f>
        <v>B. Corominola</v>
      </c>
      <c r="J12">
        <v>24</v>
      </c>
      <c r="K12">
        <v>19</v>
      </c>
      <c r="L12" s="304">
        <f>PLANTILLA!W13</f>
        <v>0</v>
      </c>
      <c r="M12" s="304">
        <f>PLANTILLA!X13</f>
        <v>6</v>
      </c>
      <c r="N12" s="304">
        <f>15+5/23</f>
        <v>15.217391304347826</v>
      </c>
      <c r="O12" s="304">
        <f>PLANTILLA!Z13</f>
        <v>2</v>
      </c>
      <c r="P12" s="304">
        <f>PLANTILLA!AA13</f>
        <v>9</v>
      </c>
      <c r="Q12" s="304">
        <f>PLANTILLA!AB13</f>
        <v>7</v>
      </c>
      <c r="R12" s="304">
        <f>PLANTILLA!AC13</f>
        <v>5</v>
      </c>
      <c r="S12" s="2">
        <v>14</v>
      </c>
      <c r="T12" s="2">
        <v>0</v>
      </c>
      <c r="U12">
        <v>151230</v>
      </c>
      <c r="V12">
        <v>37860</v>
      </c>
    </row>
    <row r="13" spans="1:51" x14ac:dyDescent="0.25">
      <c r="A13" s="311" t="s">
        <v>313</v>
      </c>
      <c r="H13" s="307" t="str">
        <f>PLANTILLA!C14</f>
        <v>MED</v>
      </c>
      <c r="I13" s="308" t="str">
        <f>PLANTILLA!D14</f>
        <v>T. Orozco</v>
      </c>
      <c r="J13">
        <v>24</v>
      </c>
      <c r="K13">
        <v>52</v>
      </c>
      <c r="L13" s="304">
        <f>PLANTILLA!W14</f>
        <v>1</v>
      </c>
      <c r="M13" s="304">
        <f>PLANTILLA!X14</f>
        <v>6</v>
      </c>
      <c r="N13" s="304">
        <f>14+1/10+14/21</f>
        <v>14.766666666666666</v>
      </c>
      <c r="O13" s="304">
        <f>PLANTILLA!Z14</f>
        <v>3</v>
      </c>
      <c r="P13" s="304">
        <f>PLANTILLA!AA14</f>
        <v>8.1999999999999993</v>
      </c>
      <c r="Q13" s="304">
        <f>PLANTILLA!AB14</f>
        <v>6.5</v>
      </c>
      <c r="R13" s="304">
        <f>PLANTILLA!AC14</f>
        <v>6</v>
      </c>
      <c r="S13" s="2">
        <v>0</v>
      </c>
      <c r="T13" s="2">
        <v>14</v>
      </c>
      <c r="U13">
        <v>111090</v>
      </c>
      <c r="V13">
        <v>30740</v>
      </c>
      <c r="AK13">
        <v>1</v>
      </c>
      <c r="AM13">
        <v>5</v>
      </c>
      <c r="AO13">
        <v>15</v>
      </c>
      <c r="AP13" t="s">
        <v>268</v>
      </c>
      <c r="AQ13">
        <v>6</v>
      </c>
      <c r="AS13">
        <v>5</v>
      </c>
      <c r="AU13">
        <v>7</v>
      </c>
      <c r="AW13">
        <v>3</v>
      </c>
      <c r="AY13" t="s">
        <v>18</v>
      </c>
    </row>
    <row r="14" spans="1:51" x14ac:dyDescent="0.25">
      <c r="A14" s="311"/>
      <c r="H14" s="307" t="str">
        <f>PLANTILLA!C15</f>
        <v>MED</v>
      </c>
      <c r="I14" s="308" t="str">
        <f>PLANTILLA!D15</f>
        <v>A. Retegui</v>
      </c>
      <c r="J14">
        <v>21</v>
      </c>
      <c r="K14">
        <v>49</v>
      </c>
      <c r="L14" s="304">
        <f>PLANTILLA!W15</f>
        <v>0</v>
      </c>
      <c r="M14" s="304">
        <f>PLANTILLA!X15</f>
        <v>4</v>
      </c>
      <c r="N14" s="304">
        <v>16</v>
      </c>
      <c r="O14" s="304">
        <f>PLANTILLA!Z15</f>
        <v>7.75</v>
      </c>
      <c r="P14" s="304">
        <f>PLANTILLA!AA15</f>
        <v>8</v>
      </c>
      <c r="Q14" s="304">
        <f>PLANTILLA!AB15</f>
        <v>4</v>
      </c>
      <c r="R14" s="304">
        <f>PLANTILLA!AC15</f>
        <v>9</v>
      </c>
      <c r="S14" s="2">
        <v>14</v>
      </c>
      <c r="T14" s="2">
        <v>0</v>
      </c>
      <c r="U14">
        <v>133640</v>
      </c>
      <c r="V14">
        <v>47770</v>
      </c>
    </row>
    <row r="15" spans="1:51" x14ac:dyDescent="0.25">
      <c r="A15" s="311" t="s">
        <v>314</v>
      </c>
      <c r="H15" s="307" t="str">
        <f>PLANTILLA!C16</f>
        <v>MED</v>
      </c>
      <c r="I15" s="308" t="str">
        <f>PLANTILLA!D16</f>
        <v>A. Balsebre</v>
      </c>
      <c r="J15">
        <v>22</v>
      </c>
      <c r="K15">
        <v>10</v>
      </c>
      <c r="L15" s="304">
        <f>PLANTILLA!W16</f>
        <v>0</v>
      </c>
      <c r="M15" s="304">
        <f>PLANTILLA!X16</f>
        <v>4</v>
      </c>
      <c r="N15" s="304">
        <f>16+1/29</f>
        <v>16.03448275862069</v>
      </c>
      <c r="O15" s="304">
        <f>PLANTILLA!Z16</f>
        <v>2</v>
      </c>
      <c r="P15" s="304">
        <f>PLANTILLA!AA16</f>
        <v>8.1999999999999993</v>
      </c>
      <c r="Q15" s="304">
        <f>PLANTILLA!AB16</f>
        <v>3.3333333333333335</v>
      </c>
      <c r="R15" s="304">
        <f>PLANTILLA!AC16</f>
        <v>7</v>
      </c>
      <c r="S15" s="2">
        <v>14</v>
      </c>
      <c r="T15" s="2">
        <v>0</v>
      </c>
      <c r="U15">
        <v>130770</v>
      </c>
      <c r="V15">
        <v>49250</v>
      </c>
      <c r="AK15">
        <v>2</v>
      </c>
      <c r="AM15">
        <v>5</v>
      </c>
      <c r="AO15">
        <v>15</v>
      </c>
      <c r="AP15" t="s">
        <v>268</v>
      </c>
      <c r="AQ15">
        <v>7</v>
      </c>
      <c r="AS15">
        <v>3</v>
      </c>
      <c r="AU15">
        <v>6</v>
      </c>
      <c r="AW15">
        <v>1</v>
      </c>
      <c r="AY15" t="s">
        <v>18</v>
      </c>
    </row>
    <row r="16" spans="1:51" x14ac:dyDescent="0.25">
      <c r="A16" s="312" t="s">
        <v>315</v>
      </c>
      <c r="H16" s="307" t="str">
        <f>PLANTILLA!C17</f>
        <v>EXT</v>
      </c>
      <c r="I16" s="308" t="str">
        <f>PLANTILLA!D17</f>
        <v>T. Lebon</v>
      </c>
      <c r="J16">
        <v>23</v>
      </c>
      <c r="K16">
        <v>12</v>
      </c>
      <c r="L16" s="304">
        <f>PLANTILLA!W17</f>
        <v>0</v>
      </c>
      <c r="M16" s="304">
        <f>PLANTILLA!X17</f>
        <v>4</v>
      </c>
      <c r="N16" s="304">
        <f>13+5/10+5/10+3/17+6/35</f>
        <v>14.347899159663864</v>
      </c>
      <c r="O16" s="304">
        <f>PLANTILLA!Z17</f>
        <v>8.1999999999999993</v>
      </c>
      <c r="P16" s="304">
        <f>PLANTILLA!AA17</f>
        <v>8</v>
      </c>
      <c r="Q16" s="304">
        <f>PLANTILLA!AB17</f>
        <v>6</v>
      </c>
      <c r="R16" s="304">
        <f>PLANTILLA!AC17</f>
        <v>6</v>
      </c>
      <c r="S16" s="2">
        <v>8</v>
      </c>
      <c r="T16" s="2">
        <v>6</v>
      </c>
      <c r="U16">
        <v>94510</v>
      </c>
      <c r="V16">
        <v>27690</v>
      </c>
    </row>
    <row r="17" spans="1:51" x14ac:dyDescent="0.25">
      <c r="A17" s="311" t="s">
        <v>316</v>
      </c>
      <c r="H17" s="307" t="str">
        <f>PLANTILLA!C18</f>
        <v>EXT</v>
      </c>
      <c r="I17" s="308" t="str">
        <f>PLANTILLA!D18</f>
        <v>L. Grière</v>
      </c>
      <c r="J17">
        <v>22</v>
      </c>
      <c r="K17">
        <v>31</v>
      </c>
      <c r="L17" s="304">
        <f>PLANTILLA!W18</f>
        <v>0</v>
      </c>
      <c r="M17" s="304">
        <f>PLANTILLA!X18</f>
        <v>4</v>
      </c>
      <c r="N17" s="304">
        <f>13+3/10+6/10+8/35</f>
        <v>14.128571428571428</v>
      </c>
      <c r="O17" s="304">
        <f>PLANTILLA!Z18</f>
        <v>8.6</v>
      </c>
      <c r="P17" s="304">
        <f>PLANTILLA!AA18</f>
        <v>6.25</v>
      </c>
      <c r="Q17" s="304">
        <f>PLANTILLA!AB18</f>
        <v>5</v>
      </c>
      <c r="R17" s="304">
        <f>PLANTILLA!AC18</f>
        <v>4</v>
      </c>
      <c r="S17" s="2">
        <v>6</v>
      </c>
      <c r="T17" s="2">
        <v>8</v>
      </c>
      <c r="U17">
        <v>83580</v>
      </c>
      <c r="V17">
        <v>25720</v>
      </c>
      <c r="AK17">
        <v>1</v>
      </c>
      <c r="AM17">
        <v>5</v>
      </c>
      <c r="AO17">
        <v>13</v>
      </c>
      <c r="AP17" t="s">
        <v>267</v>
      </c>
      <c r="AQ17">
        <v>4</v>
      </c>
      <c r="AS17">
        <v>5</v>
      </c>
      <c r="AU17">
        <v>10</v>
      </c>
      <c r="AW17">
        <v>2</v>
      </c>
      <c r="AY17" t="s">
        <v>302</v>
      </c>
    </row>
    <row r="18" spans="1:51" x14ac:dyDescent="0.25">
      <c r="A18" s="311"/>
      <c r="H18" s="307" t="str">
        <f>PLANTILLA!C20</f>
        <v>DAV</v>
      </c>
      <c r="I18" s="308" t="str">
        <f>PLANTILLA!D20</f>
        <v>P. Molins</v>
      </c>
      <c r="J18">
        <v>21</v>
      </c>
      <c r="K18">
        <v>32</v>
      </c>
      <c r="L18" s="304">
        <f>PLANTILLA!W20</f>
        <v>0</v>
      </c>
      <c r="M18" s="304">
        <f>PLANTILLA!X20</f>
        <v>4</v>
      </c>
      <c r="N18" s="304">
        <f>PLANTILLA!Y20</f>
        <v>6</v>
      </c>
      <c r="O18" s="304">
        <f>PLANTILLA!Z20</f>
        <v>3</v>
      </c>
      <c r="P18" s="304">
        <f>PLANTILLA!AA20</f>
        <v>7</v>
      </c>
      <c r="Q18" s="304">
        <f>PLANTILLA!AB20</f>
        <v>5</v>
      </c>
      <c r="R18" s="304">
        <f>PLANTILLA!AC20</f>
        <v>4</v>
      </c>
      <c r="S18" s="2">
        <v>0</v>
      </c>
      <c r="T18" s="2">
        <v>0</v>
      </c>
      <c r="U18">
        <f>PLANTILLA!S20</f>
        <v>6680</v>
      </c>
      <c r="V18">
        <f>PLANTILLA!U20</f>
        <v>470</v>
      </c>
    </row>
    <row r="19" spans="1:51" x14ac:dyDescent="0.25">
      <c r="A19" s="312" t="s">
        <v>317</v>
      </c>
      <c r="H19" s="307" t="str">
        <f>PLANTILLA!C21</f>
        <v>DAV</v>
      </c>
      <c r="I19" s="308" t="str">
        <f>PLANTILLA!D21</f>
        <v>A. Baldoví</v>
      </c>
      <c r="J19">
        <v>22</v>
      </c>
      <c r="K19">
        <v>96</v>
      </c>
      <c r="L19" s="304">
        <f>PLANTILLA!W21</f>
        <v>0</v>
      </c>
      <c r="M19" s="304">
        <f>PLANTILLA!X21</f>
        <v>4</v>
      </c>
      <c r="N19" s="304">
        <f>15+1/26</f>
        <v>15.038461538461538</v>
      </c>
      <c r="O19" s="304">
        <f>PLANTILLA!Z21</f>
        <v>8.6</v>
      </c>
      <c r="P19" s="304">
        <f>PLANTILLA!AA21</f>
        <v>8.4</v>
      </c>
      <c r="Q19" s="304">
        <f>PLANTILLA!AB21</f>
        <v>9.1666666666666661</v>
      </c>
      <c r="R19" s="304">
        <f>PLANTILLA!AC21</f>
        <v>7</v>
      </c>
      <c r="S19" s="2">
        <v>14</v>
      </c>
      <c r="T19" s="2">
        <v>0</v>
      </c>
      <c r="U19">
        <v>144080</v>
      </c>
      <c r="V19">
        <v>35030</v>
      </c>
      <c r="AK19">
        <v>1</v>
      </c>
      <c r="AM19">
        <v>6</v>
      </c>
      <c r="AO19">
        <v>13</v>
      </c>
      <c r="AP19" t="s">
        <v>267</v>
      </c>
      <c r="AQ19">
        <v>5</v>
      </c>
      <c r="AS19">
        <v>5</v>
      </c>
      <c r="AU19">
        <v>10</v>
      </c>
      <c r="AW19">
        <v>2</v>
      </c>
      <c r="AY19" t="s">
        <v>302</v>
      </c>
    </row>
    <row r="20" spans="1:51" x14ac:dyDescent="0.25">
      <c r="A20" s="312" t="s">
        <v>318</v>
      </c>
      <c r="H20" s="307" t="str">
        <f>PLANTILLA!C22</f>
        <v>DAV</v>
      </c>
      <c r="I20" s="308" t="str">
        <f>PLANTILLA!D22</f>
        <v>R. Abrain</v>
      </c>
      <c r="J20">
        <v>23</v>
      </c>
      <c r="K20">
        <v>81</v>
      </c>
      <c r="L20" s="304">
        <f>PLANTILLA!W22</f>
        <v>0</v>
      </c>
      <c r="M20" s="304">
        <f>PLANTILLA!X22</f>
        <v>5</v>
      </c>
      <c r="N20" s="304">
        <v>12</v>
      </c>
      <c r="O20" s="304">
        <f>PLANTILLA!Z22</f>
        <v>6.5</v>
      </c>
      <c r="P20" s="304">
        <f>PLANTILLA!AA22</f>
        <v>8</v>
      </c>
      <c r="Q20" s="304">
        <f>PLANTILLA!AB22</f>
        <v>9</v>
      </c>
      <c r="R20" s="304">
        <f>PLANTILLA!AC22</f>
        <v>5</v>
      </c>
      <c r="S20" s="2">
        <v>6</v>
      </c>
      <c r="T20" s="2">
        <v>8</v>
      </c>
      <c r="U20">
        <v>52140</v>
      </c>
      <c r="V20">
        <v>9490</v>
      </c>
    </row>
    <row r="21" spans="1:51" x14ac:dyDescent="0.25">
      <c r="A21" s="311"/>
      <c r="H21" s="307" t="str">
        <f>PLANTILLA!C23</f>
        <v>DAV</v>
      </c>
      <c r="I21" s="308" t="str">
        <f>PLANTILLA!D23</f>
        <v>L. Cabistany</v>
      </c>
      <c r="J21">
        <v>21</v>
      </c>
      <c r="K21">
        <v>18</v>
      </c>
      <c r="L21" s="304">
        <f>PLANTILLA!W23</f>
        <v>0</v>
      </c>
      <c r="M21" s="304">
        <f>PLANTILLA!X23</f>
        <v>2</v>
      </c>
      <c r="N21" s="304">
        <f>PLANTILLA!Y23</f>
        <v>7.833333333333333</v>
      </c>
      <c r="O21" s="304">
        <f>PLANTILLA!Z23</f>
        <v>3</v>
      </c>
      <c r="P21" s="304">
        <f>PLANTILLA!AA23</f>
        <v>9</v>
      </c>
      <c r="Q21" s="304">
        <f>PLANTILLA!AB23</f>
        <v>6</v>
      </c>
      <c r="R21" s="304">
        <f>PLANTILLA!AC23</f>
        <v>4</v>
      </c>
      <c r="S21" s="2">
        <v>0</v>
      </c>
      <c r="T21" s="2">
        <v>0</v>
      </c>
      <c r="U21">
        <f>PLANTILLA!S23</f>
        <v>14050</v>
      </c>
      <c r="V21">
        <f>PLANTILLA!U23</f>
        <v>1450</v>
      </c>
      <c r="AK21">
        <v>14</v>
      </c>
      <c r="AM21">
        <v>7</v>
      </c>
      <c r="AO21">
        <v>6</v>
      </c>
      <c r="AQ21">
        <v>3</v>
      </c>
      <c r="AS21">
        <v>5</v>
      </c>
      <c r="AU21">
        <v>4</v>
      </c>
      <c r="AW21">
        <v>5</v>
      </c>
      <c r="AY21" t="s">
        <v>10</v>
      </c>
    </row>
    <row r="22" spans="1:51" x14ac:dyDescent="0.25">
      <c r="A22" s="311" t="s">
        <v>319</v>
      </c>
      <c r="H22" s="307" t="str">
        <f>PLANTILLA!C24</f>
        <v>DAV</v>
      </c>
      <c r="I22" s="308" t="str">
        <f>PLANTILLA!D24</f>
        <v>I. Velayo</v>
      </c>
      <c r="J22">
        <v>24</v>
      </c>
      <c r="K22">
        <v>71</v>
      </c>
      <c r="L22" s="304">
        <f>PLANTILLA!W24</f>
        <v>0</v>
      </c>
      <c r="M22" s="304">
        <f>PLANTILLA!X24</f>
        <v>4</v>
      </c>
      <c r="N22" s="304">
        <v>12</v>
      </c>
      <c r="O22" s="304">
        <f>PLANTILLA!Z24</f>
        <v>4</v>
      </c>
      <c r="P22" s="304">
        <f>PLANTILLA!AA24</f>
        <v>7.5</v>
      </c>
      <c r="Q22" s="304">
        <f>PLANTILLA!AB24</f>
        <v>9</v>
      </c>
      <c r="R22" s="304">
        <f>PLANTILLA!AC24</f>
        <v>5</v>
      </c>
      <c r="S22" s="2">
        <v>8</v>
      </c>
      <c r="T22" s="2">
        <v>6</v>
      </c>
      <c r="U22">
        <v>54900</v>
      </c>
      <c r="V22">
        <v>10450</v>
      </c>
    </row>
    <row r="23" spans="1:51" x14ac:dyDescent="0.25">
      <c r="A23" s="311" t="s">
        <v>320</v>
      </c>
      <c r="L23" s="304"/>
      <c r="M23" s="304"/>
      <c r="N23" s="304"/>
      <c r="O23" s="304"/>
      <c r="P23" s="304"/>
      <c r="Q23" s="304"/>
      <c r="R23" s="304"/>
      <c r="AK23">
        <v>13</v>
      </c>
      <c r="AM23">
        <v>3</v>
      </c>
      <c r="AO23">
        <v>4</v>
      </c>
      <c r="AQ23">
        <v>1</v>
      </c>
      <c r="AS23">
        <v>1</v>
      </c>
      <c r="AU23">
        <v>2</v>
      </c>
      <c r="AW23">
        <v>5</v>
      </c>
      <c r="AY23" t="s">
        <v>10</v>
      </c>
    </row>
    <row r="24" spans="1:51" x14ac:dyDescent="0.25">
      <c r="A24" s="311" t="s">
        <v>321</v>
      </c>
      <c r="L24" s="304"/>
      <c r="M24" s="304"/>
      <c r="N24" s="304"/>
      <c r="O24" s="304"/>
      <c r="P24" s="304"/>
      <c r="Q24" s="304"/>
      <c r="R24" s="304"/>
    </row>
    <row r="25" spans="1:51" x14ac:dyDescent="0.25">
      <c r="AK25">
        <v>1</v>
      </c>
      <c r="AM25">
        <v>6</v>
      </c>
      <c r="AO25">
        <v>13</v>
      </c>
      <c r="AP25" t="s">
        <v>268</v>
      </c>
      <c r="AQ25">
        <v>3</v>
      </c>
      <c r="AS25">
        <v>4</v>
      </c>
      <c r="AU25">
        <v>5</v>
      </c>
      <c r="AW25">
        <v>3</v>
      </c>
      <c r="AY25" t="s">
        <v>87</v>
      </c>
    </row>
    <row r="27" spans="1:51" x14ac:dyDescent="0.25">
      <c r="AK27">
        <v>1</v>
      </c>
      <c r="AM27">
        <v>6</v>
      </c>
      <c r="AO27">
        <v>9</v>
      </c>
      <c r="AQ27">
        <v>6</v>
      </c>
      <c r="AS27">
        <v>3</v>
      </c>
      <c r="AU27">
        <v>7</v>
      </c>
      <c r="AW27">
        <v>2</v>
      </c>
      <c r="AY27" t="s">
        <v>303</v>
      </c>
    </row>
    <row r="29" spans="1:51" x14ac:dyDescent="0.25">
      <c r="AD29" s="296"/>
      <c r="AG29" s="296"/>
      <c r="AJ29" t="s">
        <v>268</v>
      </c>
      <c r="AK29">
        <v>1</v>
      </c>
      <c r="AM29">
        <v>3</v>
      </c>
      <c r="AO29">
        <v>8</v>
      </c>
      <c r="AQ29">
        <v>4</v>
      </c>
      <c r="AS29">
        <v>7</v>
      </c>
      <c r="AU29">
        <v>7</v>
      </c>
      <c r="AW29">
        <v>3</v>
      </c>
      <c r="AY29" t="s">
        <v>302</v>
      </c>
    </row>
    <row r="31" spans="1:51" x14ac:dyDescent="0.25">
      <c r="AD31" s="296"/>
      <c r="AG31" s="296"/>
      <c r="AK31">
        <v>1</v>
      </c>
      <c r="AM31">
        <v>7</v>
      </c>
      <c r="AO31">
        <v>6</v>
      </c>
      <c r="AQ31">
        <v>3</v>
      </c>
      <c r="AS31">
        <v>5</v>
      </c>
      <c r="AU31">
        <v>5</v>
      </c>
      <c r="AW31">
        <v>3</v>
      </c>
      <c r="AY31" t="s">
        <v>87</v>
      </c>
    </row>
    <row r="33" spans="30:51" x14ac:dyDescent="0.25">
      <c r="AD33" s="296"/>
      <c r="AG33" s="296"/>
      <c r="AJ33" t="s">
        <v>268</v>
      </c>
      <c r="AK33">
        <v>1</v>
      </c>
      <c r="AM33">
        <v>6</v>
      </c>
      <c r="AO33">
        <v>6</v>
      </c>
      <c r="AQ33">
        <v>3</v>
      </c>
      <c r="AS33">
        <v>5</v>
      </c>
      <c r="AU33">
        <v>4</v>
      </c>
      <c r="AW33">
        <v>3</v>
      </c>
      <c r="AY33" t="s">
        <v>87</v>
      </c>
    </row>
    <row r="35" spans="30:51" x14ac:dyDescent="0.25">
      <c r="AD35" s="296"/>
      <c r="AG35" s="296"/>
      <c r="AJ35" t="s">
        <v>268</v>
      </c>
      <c r="AK35">
        <v>1</v>
      </c>
      <c r="AM35">
        <v>4</v>
      </c>
      <c r="AO35">
        <v>6</v>
      </c>
      <c r="AQ35">
        <v>6</v>
      </c>
      <c r="AS35">
        <v>6</v>
      </c>
      <c r="AU35">
        <v>2</v>
      </c>
      <c r="AW35">
        <v>6</v>
      </c>
      <c r="AY35" t="s">
        <v>18</v>
      </c>
    </row>
    <row r="37" spans="30:51" x14ac:dyDescent="0.25">
      <c r="AD37" s="296"/>
      <c r="AG37" s="296"/>
      <c r="AJ37" t="s">
        <v>268</v>
      </c>
      <c r="AK37">
        <v>1</v>
      </c>
      <c r="AM37">
        <v>6</v>
      </c>
      <c r="AO37">
        <v>7</v>
      </c>
      <c r="AQ37">
        <v>5</v>
      </c>
      <c r="AS37">
        <v>4</v>
      </c>
      <c r="AU37">
        <v>3</v>
      </c>
      <c r="AW37">
        <v>3</v>
      </c>
      <c r="AY37" t="s">
        <v>303</v>
      </c>
    </row>
    <row r="39" spans="30:51" x14ac:dyDescent="0.25">
      <c r="AD39" s="296"/>
      <c r="AG39" s="296"/>
      <c r="AK39">
        <v>1</v>
      </c>
      <c r="AM39">
        <v>6</v>
      </c>
      <c r="AO39">
        <v>8</v>
      </c>
      <c r="AQ39">
        <v>3</v>
      </c>
      <c r="AS39">
        <v>4</v>
      </c>
      <c r="AU39">
        <v>3</v>
      </c>
      <c r="AW39">
        <v>5</v>
      </c>
      <c r="AY39" t="s">
        <v>304</v>
      </c>
    </row>
    <row r="41" spans="30:51" x14ac:dyDescent="0.25">
      <c r="AD41" s="296"/>
      <c r="AG41" s="296"/>
      <c r="AK41">
        <v>0</v>
      </c>
      <c r="AM41">
        <v>5</v>
      </c>
      <c r="AO41">
        <v>5</v>
      </c>
      <c r="AQ41">
        <v>1</v>
      </c>
      <c r="AS41">
        <v>0</v>
      </c>
      <c r="AU41">
        <v>1</v>
      </c>
      <c r="AW41">
        <v>3</v>
      </c>
      <c r="AY41" t="s">
        <v>266</v>
      </c>
    </row>
  </sheetData>
  <mergeCells count="2">
    <mergeCell ref="A4:F4"/>
    <mergeCell ref="A5:F5"/>
  </mergeCells>
  <conditionalFormatting sqref="L4:R22">
    <cfRule type="colorScale" priority="3">
      <colorScale>
        <cfvo type="min"/>
        <cfvo type="max"/>
        <color rgb="FFFCFCFF"/>
        <color rgb="FFF8696B"/>
      </colorScale>
    </cfRule>
  </conditionalFormatting>
  <conditionalFormatting sqref="U4:U22">
    <cfRule type="colorScale" priority="2">
      <colorScale>
        <cfvo type="min"/>
        <cfvo type="max"/>
        <color rgb="FFFCFCFF"/>
        <color rgb="FFF8696B"/>
      </colorScale>
    </cfRule>
  </conditionalFormatting>
  <conditionalFormatting sqref="V4:V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68"/>
  <sheetViews>
    <sheetView topLeftCell="A28" zoomScale="90" zoomScaleNormal="90" workbookViewId="0">
      <selection activeCell="R48" sqref="R48"/>
    </sheetView>
  </sheetViews>
  <sheetFormatPr baseColWidth="10" defaultColWidth="9.140625" defaultRowHeight="15" x14ac:dyDescent="0.25"/>
  <cols>
    <col min="1" max="1" width="28.28515625" customWidth="1"/>
    <col min="2" max="5" width="12.42578125" customWidth="1"/>
    <col min="6" max="6" width="13.85546875" bestFit="1" customWidth="1"/>
    <col min="7" max="7" width="13.5703125" customWidth="1"/>
    <col min="8" max="8" width="15.28515625" bestFit="1" customWidth="1"/>
    <col min="9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0" t="s">
        <v>168</v>
      </c>
      <c r="N1" s="110" t="s">
        <v>169</v>
      </c>
      <c r="O1" s="110" t="s">
        <v>170</v>
      </c>
      <c r="P1" s="110" t="s">
        <v>171</v>
      </c>
      <c r="Q1" s="110" t="s">
        <v>172</v>
      </c>
      <c r="R1" s="110" t="s">
        <v>173</v>
      </c>
      <c r="S1" s="110" t="s">
        <v>174</v>
      </c>
      <c r="U1" s="110" t="s">
        <v>175</v>
      </c>
    </row>
    <row r="2" spans="1:35" x14ac:dyDescent="0.25">
      <c r="C2" s="111" t="s">
        <v>176</v>
      </c>
      <c r="D2" s="357" t="s">
        <v>177</v>
      </c>
      <c r="E2" s="357"/>
      <c r="F2" s="358" t="s">
        <v>178</v>
      </c>
      <c r="G2" s="358"/>
      <c r="H2" s="359" t="s">
        <v>179</v>
      </c>
      <c r="I2" s="359"/>
      <c r="K2" s="64"/>
      <c r="M2" s="112">
        <v>11</v>
      </c>
      <c r="N2" s="113">
        <v>14.98</v>
      </c>
      <c r="O2" s="113">
        <v>5.95</v>
      </c>
      <c r="P2" s="114">
        <f t="shared" ref="P2:P12" si="0">U2*0.97</f>
        <v>5.3253000000000004</v>
      </c>
      <c r="Q2" s="113">
        <v>0.68000000000000016</v>
      </c>
      <c r="R2" s="115">
        <v>27.09</v>
      </c>
      <c r="U2" s="113">
        <v>5.49</v>
      </c>
    </row>
    <row r="3" spans="1:35" ht="15.75" thickBot="1" x14ac:dyDescent="0.3">
      <c r="A3" s="116" t="s">
        <v>180</v>
      </c>
      <c r="B3" s="117">
        <f>B4+B5+B6+B7</f>
        <v>56636</v>
      </c>
      <c r="C3" s="118">
        <f>C4+C5+C6+C7</f>
        <v>60550.948400000008</v>
      </c>
      <c r="D3" s="41" t="s">
        <v>181</v>
      </c>
      <c r="E3" s="41" t="s">
        <v>182</v>
      </c>
      <c r="F3" s="41" t="s">
        <v>181</v>
      </c>
      <c r="G3" s="41" t="s">
        <v>183</v>
      </c>
      <c r="H3" s="41" t="s">
        <v>181</v>
      </c>
      <c r="I3" s="119" t="s">
        <v>184</v>
      </c>
      <c r="J3" s="41" t="s">
        <v>185</v>
      </c>
      <c r="K3" s="41" t="s">
        <v>186</v>
      </c>
      <c r="M3" s="112">
        <v>10</v>
      </c>
      <c r="N3" s="120">
        <v>14.23</v>
      </c>
      <c r="O3" s="120">
        <v>5.59</v>
      </c>
      <c r="P3" s="114">
        <f t="shared" si="0"/>
        <v>4.9179000000000004</v>
      </c>
      <c r="Q3" s="120">
        <v>0.62</v>
      </c>
      <c r="R3" s="121">
        <v>25.52</v>
      </c>
      <c r="U3" s="120">
        <v>5.07</v>
      </c>
    </row>
    <row r="4" spans="1:35" x14ac:dyDescent="0.25">
      <c r="A4" s="116" t="s">
        <v>187</v>
      </c>
      <c r="B4" s="117">
        <v>32411</v>
      </c>
      <c r="C4" s="122">
        <v>34291.58</v>
      </c>
      <c r="D4" s="123">
        <v>45</v>
      </c>
      <c r="E4" s="124">
        <f>D4*(C4-B4)</f>
        <v>84626.100000000079</v>
      </c>
      <c r="F4" s="125">
        <v>0.5</v>
      </c>
      <c r="G4" s="124">
        <f>(C4-B4)*F4</f>
        <v>940.29000000000087</v>
      </c>
      <c r="H4" s="125">
        <v>7</v>
      </c>
      <c r="I4" s="126">
        <f>(C4-B4)*H4</f>
        <v>13164.060000000012</v>
      </c>
      <c r="J4" s="124">
        <f>H4*C4</f>
        <v>240041.06</v>
      </c>
      <c r="K4" s="41">
        <f>B4*F4</f>
        <v>16205.5</v>
      </c>
      <c r="L4" s="70">
        <f>5000*N13*F4</f>
        <v>1382.4289405684756</v>
      </c>
      <c r="M4" s="112">
        <v>9</v>
      </c>
      <c r="N4" s="113">
        <v>13.49</v>
      </c>
      <c r="O4" s="113">
        <v>5.24</v>
      </c>
      <c r="P4" s="114">
        <f t="shared" si="0"/>
        <v>4.5202</v>
      </c>
      <c r="Q4" s="113">
        <v>0.56999999999999995</v>
      </c>
      <c r="R4" s="115">
        <v>23.95</v>
      </c>
      <c r="U4" s="113">
        <v>4.66</v>
      </c>
    </row>
    <row r="5" spans="1:35" x14ac:dyDescent="0.25">
      <c r="A5" s="116" t="s">
        <v>188</v>
      </c>
      <c r="B5" s="117">
        <v>12440</v>
      </c>
      <c r="C5" s="127">
        <v>13320.08</v>
      </c>
      <c r="D5" s="128">
        <v>75</v>
      </c>
      <c r="E5" s="124">
        <f>D5*(C5-B5)</f>
        <v>66006</v>
      </c>
      <c r="F5" s="129">
        <v>0.7</v>
      </c>
      <c r="G5" s="124">
        <f>(C5-B5)*F5</f>
        <v>616.05599999999993</v>
      </c>
      <c r="H5" s="129">
        <v>10</v>
      </c>
      <c r="I5" s="126">
        <f>(C5-B5)*H5</f>
        <v>8800.7999999999993</v>
      </c>
      <c r="J5" s="124">
        <f>H5*C5</f>
        <v>133200.79999999999</v>
      </c>
      <c r="K5" s="41">
        <f>B5*F5</f>
        <v>8708</v>
      </c>
      <c r="L5" s="70">
        <f>5000*O13*F5</f>
        <v>768.73385012919903</v>
      </c>
      <c r="M5" s="112">
        <v>8</v>
      </c>
      <c r="N5" s="120">
        <v>12.74</v>
      </c>
      <c r="O5" s="120">
        <v>4.8899999999999997</v>
      </c>
      <c r="P5" s="114">
        <f t="shared" si="0"/>
        <v>4.1224999999999996</v>
      </c>
      <c r="Q5" s="120">
        <v>0.51</v>
      </c>
      <c r="R5" s="121">
        <v>22.39</v>
      </c>
      <c r="U5" s="120">
        <v>4.25</v>
      </c>
    </row>
    <row r="6" spans="1:35" x14ac:dyDescent="0.25">
      <c r="A6" s="116" t="s">
        <v>189</v>
      </c>
      <c r="B6" s="117">
        <v>10488</v>
      </c>
      <c r="C6" s="127">
        <v>11490.348400000001</v>
      </c>
      <c r="D6" s="123">
        <v>90</v>
      </c>
      <c r="E6" s="124">
        <f>D6*(C6-B6)</f>
        <v>90211.356000000073</v>
      </c>
      <c r="F6" s="125">
        <v>1</v>
      </c>
      <c r="G6" s="124">
        <f>(C6-B6)*F6</f>
        <v>1002.3484000000008</v>
      </c>
      <c r="H6" s="125">
        <v>19</v>
      </c>
      <c r="I6" s="126">
        <f>(C6-B6)*H6</f>
        <v>19044.619600000013</v>
      </c>
      <c r="J6" s="124">
        <f>H6*C6</f>
        <v>218316.61960000001</v>
      </c>
      <c r="K6" s="41">
        <f>B6*F6</f>
        <v>10488</v>
      </c>
      <c r="L6" s="70">
        <f>5000*P13*F6</f>
        <v>982.89036544850512</v>
      </c>
      <c r="M6" s="112">
        <v>7</v>
      </c>
      <c r="N6" s="113">
        <v>12</v>
      </c>
      <c r="O6" s="113">
        <v>4.53</v>
      </c>
      <c r="P6" s="114">
        <f t="shared" si="0"/>
        <v>3.7247999999999997</v>
      </c>
      <c r="Q6" s="113">
        <v>0.46000000000000008</v>
      </c>
      <c r="R6" s="115">
        <v>20.83</v>
      </c>
      <c r="U6" s="113">
        <v>3.84</v>
      </c>
    </row>
    <row r="7" spans="1:35" ht="15.75" thickBot="1" x14ac:dyDescent="0.3">
      <c r="A7" s="116" t="s">
        <v>190</v>
      </c>
      <c r="B7" s="117">
        <v>1297</v>
      </c>
      <c r="C7" s="130">
        <v>1448.9399999999998</v>
      </c>
      <c r="D7" s="128">
        <v>300</v>
      </c>
      <c r="E7" s="124">
        <f>D7*(C7-B7)</f>
        <v>45581.999999999949</v>
      </c>
      <c r="F7" s="129">
        <v>2.5</v>
      </c>
      <c r="G7" s="124">
        <f>(C7-B7)*F7</f>
        <v>379.84999999999957</v>
      </c>
      <c r="H7" s="129">
        <v>35</v>
      </c>
      <c r="I7" s="126">
        <f>(C7-B7)*H7</f>
        <v>5317.8999999999942</v>
      </c>
      <c r="J7" s="124">
        <f>H7*C7</f>
        <v>50712.899999999994</v>
      </c>
      <c r="K7" s="41">
        <f>B7*F7</f>
        <v>3242.5</v>
      </c>
      <c r="L7" s="70">
        <f>5000*Q13*F7</f>
        <v>313.76891842008126</v>
      </c>
      <c r="M7" s="112">
        <v>6</v>
      </c>
      <c r="N7" s="120">
        <v>11.26</v>
      </c>
      <c r="O7" s="120">
        <v>4.17</v>
      </c>
      <c r="P7" s="114">
        <f t="shared" si="0"/>
        <v>3.3367999999999998</v>
      </c>
      <c r="Q7" s="120">
        <v>0.41</v>
      </c>
      <c r="R7" s="121">
        <v>19.27</v>
      </c>
      <c r="U7" s="120">
        <v>3.44</v>
      </c>
    </row>
    <row r="8" spans="1:35" x14ac:dyDescent="0.25">
      <c r="C8" s="131">
        <f>C4/$C$3</f>
        <v>0.56632605939496727</v>
      </c>
      <c r="J8" s="124">
        <f>J7+J6+J5+J4</f>
        <v>642271.37959999999</v>
      </c>
      <c r="K8" s="41">
        <f>K7+K6+K5+K4</f>
        <v>38644</v>
      </c>
      <c r="L8" s="41">
        <f>L7+L6+L5+L4</f>
        <v>3447.8220745662611</v>
      </c>
      <c r="M8" s="112">
        <v>5</v>
      </c>
      <c r="N8" s="113">
        <v>10.52</v>
      </c>
      <c r="O8" s="113">
        <v>3.81</v>
      </c>
      <c r="P8" s="114">
        <f t="shared" si="0"/>
        <v>2.9390999999999998</v>
      </c>
      <c r="Q8" s="113">
        <v>0.35</v>
      </c>
      <c r="R8" s="115">
        <v>17.719999999999995</v>
      </c>
      <c r="U8" s="113">
        <v>3.03</v>
      </c>
    </row>
    <row r="9" spans="1:35" x14ac:dyDescent="0.25">
      <c r="C9" s="132">
        <f>C5/$C$3</f>
        <v>0.21998136035801544</v>
      </c>
      <c r="E9" s="133">
        <f>C4-B4</f>
        <v>1880.5800000000017</v>
      </c>
      <c r="H9">
        <f>H10+H11+H12+H13</f>
        <v>71304</v>
      </c>
      <c r="M9" s="112">
        <v>4</v>
      </c>
      <c r="N9" s="120">
        <v>9.8000000000000007</v>
      </c>
      <c r="O9" s="120">
        <v>3.46</v>
      </c>
      <c r="P9" s="114">
        <f t="shared" si="0"/>
        <v>2.5510999999999999</v>
      </c>
      <c r="Q9" s="120">
        <v>0.3</v>
      </c>
      <c r="R9" s="121">
        <v>16.170000000000002</v>
      </c>
      <c r="U9" s="120">
        <v>2.63</v>
      </c>
    </row>
    <row r="10" spans="1:35" x14ac:dyDescent="0.25">
      <c r="B10" s="134">
        <f>B11/B13</f>
        <v>3.3735294312914867E-2</v>
      </c>
      <c r="C10" s="132">
        <f>C6/$C$3</f>
        <v>0.18976331013173692</v>
      </c>
      <c r="E10" s="133">
        <f>C5-B5</f>
        <v>880.07999999999993</v>
      </c>
      <c r="H10">
        <v>40146</v>
      </c>
      <c r="I10" s="108">
        <f>H10/$H$9</f>
        <v>0.56302591719959605</v>
      </c>
      <c r="M10" s="112">
        <v>3</v>
      </c>
      <c r="N10" s="113">
        <v>9.09</v>
      </c>
      <c r="O10" s="113">
        <v>3.1</v>
      </c>
      <c r="P10" s="114">
        <f t="shared" si="0"/>
        <v>2.1436999999999999</v>
      </c>
      <c r="Q10" s="113">
        <v>0.24</v>
      </c>
      <c r="R10" s="115">
        <v>14.63</v>
      </c>
      <c r="U10" s="113">
        <v>2.21</v>
      </c>
    </row>
    <row r="11" spans="1:35" x14ac:dyDescent="0.25">
      <c r="A11" s="109" t="s">
        <v>191</v>
      </c>
      <c r="B11" s="135">
        <v>10000</v>
      </c>
      <c r="C11" s="132">
        <f>C7/$C$3</f>
        <v>2.3929270115280302E-2</v>
      </c>
      <c r="E11" s="133">
        <f>C6-B6</f>
        <v>1002.3484000000008</v>
      </c>
      <c r="H11">
        <v>15594</v>
      </c>
      <c r="I11" s="108">
        <f>H11/$H$9</f>
        <v>0.21869740828004039</v>
      </c>
      <c r="M11" s="112">
        <v>2</v>
      </c>
      <c r="N11" s="120">
        <v>8.42</v>
      </c>
      <c r="O11" s="120">
        <v>2.73</v>
      </c>
      <c r="P11" s="114">
        <f t="shared" si="0"/>
        <v>1.7168999999999999</v>
      </c>
      <c r="Q11" s="120">
        <v>0.17999999999999997</v>
      </c>
      <c r="R11" s="121">
        <v>13.090000000000002</v>
      </c>
      <c r="U11" s="120">
        <v>1.77</v>
      </c>
    </row>
    <row r="12" spans="1:35" x14ac:dyDescent="0.25">
      <c r="A12" s="109" t="s">
        <v>192</v>
      </c>
      <c r="B12" s="136">
        <f>E7+E6+E5+E4</f>
        <v>286425.45600000012</v>
      </c>
      <c r="E12" s="133">
        <f>C7-B7</f>
        <v>151.93999999999983</v>
      </c>
      <c r="H12">
        <v>13868</v>
      </c>
      <c r="I12" s="108">
        <f>H12/$H$9</f>
        <v>0.19449119263996409</v>
      </c>
      <c r="M12" s="112">
        <v>1</v>
      </c>
      <c r="N12" s="113">
        <v>7.85</v>
      </c>
      <c r="O12" s="113">
        <v>2.34</v>
      </c>
      <c r="P12" s="114">
        <f t="shared" si="0"/>
        <v>1.1931</v>
      </c>
      <c r="Q12" s="113">
        <v>0.1</v>
      </c>
      <c r="R12" s="115">
        <v>11.53</v>
      </c>
      <c r="U12" s="113">
        <v>1.23</v>
      </c>
    </row>
    <row r="13" spans="1:35" x14ac:dyDescent="0.25">
      <c r="A13" s="137" t="s">
        <v>167</v>
      </c>
      <c r="B13" s="138">
        <f>B11+B12</f>
        <v>296425.45600000012</v>
      </c>
      <c r="H13">
        <v>1696</v>
      </c>
      <c r="I13" s="108">
        <f>H13/$H$9</f>
        <v>2.3785481880399417E-2</v>
      </c>
      <c r="N13">
        <f>N2/R2</f>
        <v>0.55297157622739024</v>
      </c>
      <c r="O13">
        <f>O2/R2</f>
        <v>0.21963824289405687</v>
      </c>
      <c r="P13" s="114">
        <f>P2/R2</f>
        <v>0.19657807308970102</v>
      </c>
      <c r="Q13">
        <f>Q2/R2</f>
        <v>2.5101513473606504E-2</v>
      </c>
    </row>
    <row r="15" spans="1:35" x14ac:dyDescent="0.25">
      <c r="A15" s="18"/>
      <c r="B15" s="139" t="s">
        <v>151</v>
      </c>
      <c r="C15" s="139" t="s">
        <v>152</v>
      </c>
      <c r="D15" s="139" t="s">
        <v>153</v>
      </c>
      <c r="E15" s="139" t="s">
        <v>154</v>
      </c>
      <c r="F15" s="139" t="s">
        <v>155</v>
      </c>
      <c r="G15" s="139" t="s">
        <v>156</v>
      </c>
      <c r="H15" s="139" t="s">
        <v>157</v>
      </c>
      <c r="I15" s="139" t="s">
        <v>158</v>
      </c>
      <c r="J15" s="139" t="s">
        <v>159</v>
      </c>
      <c r="K15" s="139" t="s">
        <v>160</v>
      </c>
      <c r="L15" s="139" t="s">
        <v>161</v>
      </c>
      <c r="M15" s="139" t="s">
        <v>162</v>
      </c>
      <c r="N15" s="139" t="s">
        <v>163</v>
      </c>
      <c r="O15" s="139" t="s">
        <v>164</v>
      </c>
      <c r="P15" s="139" t="s">
        <v>165</v>
      </c>
      <c r="Q15" s="139" t="s">
        <v>166</v>
      </c>
      <c r="R15" s="139" t="s">
        <v>151</v>
      </c>
      <c r="S15" s="139" t="s">
        <v>152</v>
      </c>
      <c r="T15" s="139" t="s">
        <v>153</v>
      </c>
      <c r="U15" s="139" t="s">
        <v>154</v>
      </c>
      <c r="V15" s="139" t="s">
        <v>155</v>
      </c>
      <c r="W15" s="139" t="s">
        <v>156</v>
      </c>
      <c r="X15" s="139" t="s">
        <v>157</v>
      </c>
      <c r="Y15" s="139" t="s">
        <v>158</v>
      </c>
      <c r="Z15" s="139" t="s">
        <v>159</v>
      </c>
      <c r="AA15" s="139" t="s">
        <v>160</v>
      </c>
      <c r="AB15" s="139" t="s">
        <v>161</v>
      </c>
      <c r="AC15" s="139" t="s">
        <v>162</v>
      </c>
      <c r="AD15" s="139" t="s">
        <v>163</v>
      </c>
      <c r="AE15" s="139" t="s">
        <v>164</v>
      </c>
      <c r="AF15" s="139" t="s">
        <v>165</v>
      </c>
      <c r="AG15" s="139" t="s">
        <v>166</v>
      </c>
      <c r="AH15" s="139"/>
      <c r="AI15" s="139"/>
    </row>
    <row r="16" spans="1:35" x14ac:dyDescent="0.25">
      <c r="A16" s="140" t="s">
        <v>193</v>
      </c>
      <c r="B16" s="141">
        <v>2542</v>
      </c>
      <c r="C16" s="141">
        <f>B16+2</f>
        <v>2544</v>
      </c>
      <c r="D16" s="141">
        <f t="shared" ref="D16:AD16" si="1">C16+2</f>
        <v>2546</v>
      </c>
      <c r="E16" s="141">
        <f t="shared" si="1"/>
        <v>2548</v>
      </c>
      <c r="F16" s="141">
        <f t="shared" si="1"/>
        <v>2550</v>
      </c>
      <c r="G16" s="141">
        <f t="shared" si="1"/>
        <v>2552</v>
      </c>
      <c r="H16" s="141">
        <f t="shared" si="1"/>
        <v>2554</v>
      </c>
      <c r="I16" s="141">
        <f t="shared" si="1"/>
        <v>2556</v>
      </c>
      <c r="J16" s="141">
        <f t="shared" si="1"/>
        <v>2558</v>
      </c>
      <c r="K16" s="141">
        <f t="shared" si="1"/>
        <v>2560</v>
      </c>
      <c r="L16" s="141">
        <f t="shared" si="1"/>
        <v>2562</v>
      </c>
      <c r="M16" s="141">
        <f t="shared" si="1"/>
        <v>2564</v>
      </c>
      <c r="N16" s="141">
        <f t="shared" si="1"/>
        <v>2566</v>
      </c>
      <c r="O16" s="141">
        <f t="shared" si="1"/>
        <v>2568</v>
      </c>
      <c r="P16" s="141">
        <f t="shared" si="1"/>
        <v>2570</v>
      </c>
      <c r="Q16" s="141">
        <f t="shared" si="1"/>
        <v>2572</v>
      </c>
      <c r="R16" s="141">
        <f t="shared" si="1"/>
        <v>2574</v>
      </c>
      <c r="S16" s="141">
        <f t="shared" si="1"/>
        <v>2576</v>
      </c>
      <c r="T16" s="141">
        <f t="shared" si="1"/>
        <v>2578</v>
      </c>
      <c r="U16" s="141">
        <f t="shared" si="1"/>
        <v>2580</v>
      </c>
      <c r="V16" s="141">
        <f t="shared" si="1"/>
        <v>2582</v>
      </c>
      <c r="W16" s="141">
        <f t="shared" si="1"/>
        <v>2584</v>
      </c>
      <c r="X16" s="141">
        <f t="shared" si="1"/>
        <v>2586</v>
      </c>
      <c r="Y16" s="141">
        <f t="shared" si="1"/>
        <v>2588</v>
      </c>
      <c r="Z16" s="141">
        <f t="shared" si="1"/>
        <v>2590</v>
      </c>
      <c r="AA16" s="141">
        <f t="shared" si="1"/>
        <v>2592</v>
      </c>
      <c r="AB16" s="141">
        <f t="shared" si="1"/>
        <v>2594</v>
      </c>
      <c r="AC16" s="141">
        <f t="shared" si="1"/>
        <v>2596</v>
      </c>
      <c r="AD16" s="141">
        <f t="shared" si="1"/>
        <v>2598</v>
      </c>
      <c r="AE16" s="141"/>
      <c r="AF16" s="140"/>
      <c r="AG16" s="140"/>
      <c r="AH16" s="140"/>
      <c r="AI16" s="140"/>
    </row>
    <row r="17" spans="1:48" x14ac:dyDescent="0.25">
      <c r="A17" s="140"/>
      <c r="B17" s="141">
        <f t="shared" ref="B17:AD17" si="2">B18+B19+B20+B21</f>
        <v>60550.948400000008</v>
      </c>
      <c r="C17" s="141">
        <f t="shared" si="2"/>
        <v>60598.588799999998</v>
      </c>
      <c r="D17" s="141">
        <f t="shared" si="2"/>
        <v>60646.229200000002</v>
      </c>
      <c r="E17" s="141">
        <f t="shared" si="2"/>
        <v>60693.869600000005</v>
      </c>
      <c r="F17" s="141">
        <f t="shared" si="2"/>
        <v>60741.51</v>
      </c>
      <c r="G17" s="141">
        <f t="shared" si="2"/>
        <v>60789.150400000006</v>
      </c>
      <c r="H17" s="141">
        <f t="shared" si="2"/>
        <v>60836.790799999995</v>
      </c>
      <c r="I17" s="141">
        <f t="shared" si="2"/>
        <v>60884.431200000006</v>
      </c>
      <c r="J17" s="141">
        <f t="shared" si="2"/>
        <v>60932.071599999996</v>
      </c>
      <c r="K17" s="141">
        <f t="shared" si="2"/>
        <v>60979.712</v>
      </c>
      <c r="L17" s="141">
        <f t="shared" si="2"/>
        <v>61027.352399999989</v>
      </c>
      <c r="M17" s="141">
        <f t="shared" si="2"/>
        <v>61074.9928</v>
      </c>
      <c r="N17" s="141">
        <f t="shared" si="2"/>
        <v>61122.633200000011</v>
      </c>
      <c r="O17" s="141">
        <f t="shared" si="2"/>
        <v>61170.2736</v>
      </c>
      <c r="P17" s="141">
        <f t="shared" si="2"/>
        <v>61217.914000000012</v>
      </c>
      <c r="Q17" s="141">
        <f t="shared" si="2"/>
        <v>61265.554400000001</v>
      </c>
      <c r="R17" s="141">
        <f t="shared" si="2"/>
        <v>61313.194800000005</v>
      </c>
      <c r="S17" s="141">
        <f t="shared" si="2"/>
        <v>61360.835199999994</v>
      </c>
      <c r="T17" s="141">
        <f t="shared" si="2"/>
        <v>61408.475599999998</v>
      </c>
      <c r="U17" s="141">
        <f t="shared" si="2"/>
        <v>61456.115999999995</v>
      </c>
      <c r="V17" s="141">
        <f t="shared" si="2"/>
        <v>61503.756399999998</v>
      </c>
      <c r="W17" s="141">
        <f t="shared" si="2"/>
        <v>61551.396800000002</v>
      </c>
      <c r="X17" s="141">
        <f t="shared" si="2"/>
        <v>61599.037199999999</v>
      </c>
      <c r="Y17" s="141">
        <f t="shared" si="2"/>
        <v>61646.67760000001</v>
      </c>
      <c r="Z17" s="141">
        <f t="shared" si="2"/>
        <v>61694.317999999999</v>
      </c>
      <c r="AA17" s="141">
        <f t="shared" si="2"/>
        <v>61741.958400000003</v>
      </c>
      <c r="AB17" s="141">
        <f t="shared" si="2"/>
        <v>61789.5988</v>
      </c>
      <c r="AC17" s="141">
        <f t="shared" si="2"/>
        <v>61837.239200000004</v>
      </c>
      <c r="AD17" s="141">
        <f t="shared" si="2"/>
        <v>61884.879600000007</v>
      </c>
      <c r="AE17" s="141"/>
      <c r="AF17" s="141"/>
      <c r="AG17" s="141"/>
      <c r="AH17" s="141"/>
      <c r="AI17" s="141"/>
    </row>
    <row r="18" spans="1:48" x14ac:dyDescent="0.25">
      <c r="A18" s="142" t="s">
        <v>194</v>
      </c>
      <c r="B18" s="143">
        <f>B16*$N$4</f>
        <v>34291.58</v>
      </c>
      <c r="C18" s="143">
        <f t="shared" ref="C18:AD18" si="3">C16*$N$4</f>
        <v>34318.559999999998</v>
      </c>
      <c r="D18" s="143">
        <f t="shared" si="3"/>
        <v>34345.54</v>
      </c>
      <c r="E18" s="143">
        <f t="shared" si="3"/>
        <v>34372.520000000004</v>
      </c>
      <c r="F18" s="143">
        <f t="shared" si="3"/>
        <v>34399.5</v>
      </c>
      <c r="G18" s="143">
        <f t="shared" si="3"/>
        <v>34426.480000000003</v>
      </c>
      <c r="H18" s="143">
        <f t="shared" si="3"/>
        <v>34453.46</v>
      </c>
      <c r="I18" s="143">
        <f t="shared" si="3"/>
        <v>34480.44</v>
      </c>
      <c r="J18" s="143">
        <f t="shared" si="3"/>
        <v>34507.42</v>
      </c>
      <c r="K18" s="143">
        <f t="shared" si="3"/>
        <v>34534.400000000001</v>
      </c>
      <c r="L18" s="143">
        <f t="shared" si="3"/>
        <v>34561.379999999997</v>
      </c>
      <c r="M18" s="143">
        <f t="shared" si="3"/>
        <v>34588.36</v>
      </c>
      <c r="N18" s="143">
        <f t="shared" si="3"/>
        <v>34615.340000000004</v>
      </c>
      <c r="O18" s="143">
        <f t="shared" si="3"/>
        <v>34642.32</v>
      </c>
      <c r="P18" s="143">
        <f t="shared" si="3"/>
        <v>34669.300000000003</v>
      </c>
      <c r="Q18" s="143">
        <f t="shared" si="3"/>
        <v>34696.28</v>
      </c>
      <c r="R18" s="143">
        <f t="shared" si="3"/>
        <v>34723.26</v>
      </c>
      <c r="S18" s="143">
        <f t="shared" si="3"/>
        <v>34750.239999999998</v>
      </c>
      <c r="T18" s="143">
        <f t="shared" si="3"/>
        <v>34777.22</v>
      </c>
      <c r="U18" s="143">
        <f t="shared" si="3"/>
        <v>34804.199999999997</v>
      </c>
      <c r="V18" s="143">
        <f t="shared" si="3"/>
        <v>34831.18</v>
      </c>
      <c r="W18" s="143">
        <f t="shared" si="3"/>
        <v>34858.160000000003</v>
      </c>
      <c r="X18" s="143">
        <f t="shared" si="3"/>
        <v>34885.14</v>
      </c>
      <c r="Y18" s="143">
        <f t="shared" si="3"/>
        <v>34912.120000000003</v>
      </c>
      <c r="Z18" s="143">
        <f t="shared" si="3"/>
        <v>34939.1</v>
      </c>
      <c r="AA18" s="143">
        <f t="shared" si="3"/>
        <v>34966.080000000002</v>
      </c>
      <c r="AB18" s="143">
        <f t="shared" si="3"/>
        <v>34993.06</v>
      </c>
      <c r="AC18" s="143">
        <f t="shared" si="3"/>
        <v>35020.04</v>
      </c>
      <c r="AD18" s="143">
        <f t="shared" si="3"/>
        <v>35047.020000000004</v>
      </c>
      <c r="AE18" s="143"/>
      <c r="AF18" s="143"/>
      <c r="AG18" s="143"/>
      <c r="AH18" s="143"/>
      <c r="AI18" s="143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42" t="s">
        <v>195</v>
      </c>
      <c r="B19" s="143">
        <f>B16*$O$4</f>
        <v>13320.08</v>
      </c>
      <c r="C19" s="143">
        <f t="shared" ref="C19:AD19" si="4">C16*$O$4</f>
        <v>13330.560000000001</v>
      </c>
      <c r="D19" s="143">
        <f t="shared" si="4"/>
        <v>13341.04</v>
      </c>
      <c r="E19" s="143">
        <f t="shared" si="4"/>
        <v>13351.52</v>
      </c>
      <c r="F19" s="143">
        <f t="shared" si="4"/>
        <v>13362</v>
      </c>
      <c r="G19" s="143">
        <f t="shared" si="4"/>
        <v>13372.480000000001</v>
      </c>
      <c r="H19" s="143">
        <f t="shared" si="4"/>
        <v>13382.960000000001</v>
      </c>
      <c r="I19" s="143">
        <f t="shared" si="4"/>
        <v>13393.44</v>
      </c>
      <c r="J19" s="143">
        <f t="shared" si="4"/>
        <v>13403.92</v>
      </c>
      <c r="K19" s="143">
        <f t="shared" si="4"/>
        <v>13414.400000000001</v>
      </c>
      <c r="L19" s="143">
        <f t="shared" si="4"/>
        <v>13424.880000000001</v>
      </c>
      <c r="M19" s="143">
        <f t="shared" si="4"/>
        <v>13435.36</v>
      </c>
      <c r="N19" s="143">
        <f t="shared" si="4"/>
        <v>13445.84</v>
      </c>
      <c r="O19" s="143">
        <f t="shared" si="4"/>
        <v>13456.32</v>
      </c>
      <c r="P19" s="143">
        <f t="shared" si="4"/>
        <v>13466.800000000001</v>
      </c>
      <c r="Q19" s="143">
        <f t="shared" si="4"/>
        <v>13477.28</v>
      </c>
      <c r="R19" s="143">
        <f t="shared" si="4"/>
        <v>13487.76</v>
      </c>
      <c r="S19" s="143">
        <f t="shared" si="4"/>
        <v>13498.24</v>
      </c>
      <c r="T19" s="143">
        <f t="shared" si="4"/>
        <v>13508.720000000001</v>
      </c>
      <c r="U19" s="143">
        <f t="shared" si="4"/>
        <v>13519.2</v>
      </c>
      <c r="V19" s="143">
        <f t="shared" si="4"/>
        <v>13529.68</v>
      </c>
      <c r="W19" s="143">
        <f t="shared" si="4"/>
        <v>13540.16</v>
      </c>
      <c r="X19" s="143">
        <f t="shared" si="4"/>
        <v>13550.640000000001</v>
      </c>
      <c r="Y19" s="143">
        <f t="shared" si="4"/>
        <v>13561.12</v>
      </c>
      <c r="Z19" s="143">
        <f t="shared" si="4"/>
        <v>13571.6</v>
      </c>
      <c r="AA19" s="143">
        <f t="shared" si="4"/>
        <v>13582.08</v>
      </c>
      <c r="AB19" s="143">
        <f t="shared" si="4"/>
        <v>13592.560000000001</v>
      </c>
      <c r="AC19" s="143">
        <f t="shared" si="4"/>
        <v>13603.04</v>
      </c>
      <c r="AD19" s="143">
        <f t="shared" si="4"/>
        <v>13613.52</v>
      </c>
      <c r="AE19" s="143"/>
      <c r="AF19" s="143"/>
      <c r="AG19" s="143"/>
      <c r="AH19" s="143"/>
      <c r="AI19" s="143"/>
    </row>
    <row r="20" spans="1:48" x14ac:dyDescent="0.25">
      <c r="A20" s="142" t="s">
        <v>196</v>
      </c>
      <c r="B20" s="143">
        <f>B16*$P$4</f>
        <v>11490.348400000001</v>
      </c>
      <c r="C20" s="143">
        <f t="shared" ref="C20:AD20" si="5">C16*$P$4</f>
        <v>11499.388800000001</v>
      </c>
      <c r="D20" s="143">
        <f t="shared" si="5"/>
        <v>11508.4292</v>
      </c>
      <c r="E20" s="143">
        <f t="shared" si="5"/>
        <v>11517.4696</v>
      </c>
      <c r="F20" s="143">
        <f t="shared" si="5"/>
        <v>11526.51</v>
      </c>
      <c r="G20" s="143">
        <f t="shared" si="5"/>
        <v>11535.5504</v>
      </c>
      <c r="H20" s="143">
        <f t="shared" si="5"/>
        <v>11544.5908</v>
      </c>
      <c r="I20" s="143">
        <f t="shared" si="5"/>
        <v>11553.6312</v>
      </c>
      <c r="J20" s="143">
        <f t="shared" si="5"/>
        <v>11562.6716</v>
      </c>
      <c r="K20" s="143">
        <f t="shared" si="5"/>
        <v>11571.712</v>
      </c>
      <c r="L20" s="143">
        <f t="shared" si="5"/>
        <v>11580.752399999999</v>
      </c>
      <c r="M20" s="143">
        <f t="shared" si="5"/>
        <v>11589.792799999999</v>
      </c>
      <c r="N20" s="143">
        <f t="shared" si="5"/>
        <v>11598.833199999999</v>
      </c>
      <c r="O20" s="143">
        <f t="shared" si="5"/>
        <v>11607.873600000001</v>
      </c>
      <c r="P20" s="143">
        <f t="shared" si="5"/>
        <v>11616.914000000001</v>
      </c>
      <c r="Q20" s="143">
        <f t="shared" si="5"/>
        <v>11625.954400000001</v>
      </c>
      <c r="R20" s="143">
        <f t="shared" si="5"/>
        <v>11634.9948</v>
      </c>
      <c r="S20" s="143">
        <f t="shared" si="5"/>
        <v>11644.0352</v>
      </c>
      <c r="T20" s="143">
        <f t="shared" si="5"/>
        <v>11653.0756</v>
      </c>
      <c r="U20" s="143">
        <f t="shared" si="5"/>
        <v>11662.116</v>
      </c>
      <c r="V20" s="143">
        <f t="shared" si="5"/>
        <v>11671.1564</v>
      </c>
      <c r="W20" s="143">
        <f t="shared" si="5"/>
        <v>11680.1968</v>
      </c>
      <c r="X20" s="143">
        <f t="shared" si="5"/>
        <v>11689.2372</v>
      </c>
      <c r="Y20" s="143">
        <f t="shared" si="5"/>
        <v>11698.277599999999</v>
      </c>
      <c r="Z20" s="143">
        <f t="shared" si="5"/>
        <v>11707.317999999999</v>
      </c>
      <c r="AA20" s="143">
        <f t="shared" si="5"/>
        <v>11716.358399999999</v>
      </c>
      <c r="AB20" s="143">
        <f t="shared" si="5"/>
        <v>11725.398800000001</v>
      </c>
      <c r="AC20" s="143">
        <f t="shared" si="5"/>
        <v>11734.439200000001</v>
      </c>
      <c r="AD20" s="143">
        <f t="shared" si="5"/>
        <v>11743.479600000001</v>
      </c>
      <c r="AE20" s="143"/>
      <c r="AF20" s="143"/>
      <c r="AG20" s="143"/>
      <c r="AH20" s="143"/>
      <c r="AI20" s="143"/>
    </row>
    <row r="21" spans="1:48" x14ac:dyDescent="0.25">
      <c r="A21" s="142" t="s">
        <v>197</v>
      </c>
      <c r="B21" s="143">
        <f>B16*$Q$4</f>
        <v>1448.9399999999998</v>
      </c>
      <c r="C21" s="143">
        <f t="shared" ref="C21:AD21" si="6">C16*$Q$4</f>
        <v>1450.08</v>
      </c>
      <c r="D21" s="143">
        <f t="shared" si="6"/>
        <v>1451.2199999999998</v>
      </c>
      <c r="E21" s="143">
        <f t="shared" si="6"/>
        <v>1452.36</v>
      </c>
      <c r="F21" s="143">
        <f t="shared" si="6"/>
        <v>1453.4999999999998</v>
      </c>
      <c r="G21" s="143">
        <f t="shared" si="6"/>
        <v>1454.6399999999999</v>
      </c>
      <c r="H21" s="143">
        <f t="shared" si="6"/>
        <v>1455.78</v>
      </c>
      <c r="I21" s="143">
        <f t="shared" si="6"/>
        <v>1456.9199999999998</v>
      </c>
      <c r="J21" s="143">
        <f t="shared" si="6"/>
        <v>1458.06</v>
      </c>
      <c r="K21" s="143">
        <f t="shared" si="6"/>
        <v>1459.1999999999998</v>
      </c>
      <c r="L21" s="143">
        <f t="shared" si="6"/>
        <v>1460.34</v>
      </c>
      <c r="M21" s="143">
        <f t="shared" si="6"/>
        <v>1461.4799999999998</v>
      </c>
      <c r="N21" s="143">
        <f t="shared" si="6"/>
        <v>1462.62</v>
      </c>
      <c r="O21" s="143">
        <f t="shared" si="6"/>
        <v>1463.7599999999998</v>
      </c>
      <c r="P21" s="143">
        <f t="shared" si="6"/>
        <v>1464.8999999999999</v>
      </c>
      <c r="Q21" s="143">
        <f t="shared" si="6"/>
        <v>1466.04</v>
      </c>
      <c r="R21" s="143">
        <f t="shared" si="6"/>
        <v>1467.1799999999998</v>
      </c>
      <c r="S21" s="143">
        <f t="shared" si="6"/>
        <v>1468.32</v>
      </c>
      <c r="T21" s="143">
        <f t="shared" si="6"/>
        <v>1469.4599999999998</v>
      </c>
      <c r="U21" s="143">
        <f t="shared" si="6"/>
        <v>1470.6</v>
      </c>
      <c r="V21" s="143">
        <f t="shared" si="6"/>
        <v>1471.7399999999998</v>
      </c>
      <c r="W21" s="143">
        <f t="shared" si="6"/>
        <v>1472.8799999999999</v>
      </c>
      <c r="X21" s="143">
        <f t="shared" si="6"/>
        <v>1474.02</v>
      </c>
      <c r="Y21" s="143">
        <f t="shared" si="6"/>
        <v>1475.1599999999999</v>
      </c>
      <c r="Z21" s="143">
        <f t="shared" si="6"/>
        <v>1476.3</v>
      </c>
      <c r="AA21" s="143">
        <f t="shared" si="6"/>
        <v>1477.4399999999998</v>
      </c>
      <c r="AB21" s="143">
        <f t="shared" si="6"/>
        <v>1478.58</v>
      </c>
      <c r="AC21" s="143">
        <f t="shared" si="6"/>
        <v>1479.7199999999998</v>
      </c>
      <c r="AD21" s="143">
        <f t="shared" si="6"/>
        <v>1480.86</v>
      </c>
      <c r="AE21" s="143"/>
      <c r="AF21" s="143"/>
      <c r="AG21" s="143"/>
      <c r="AH21" s="143"/>
      <c r="AI21" s="143"/>
    </row>
    <row r="22" spans="1:48" x14ac:dyDescent="0.25">
      <c r="A22" s="142" t="s">
        <v>198</v>
      </c>
      <c r="B22" s="143">
        <f t="shared" ref="B22:AD22" si="7">MIN(B$18,$C$4)</f>
        <v>34291.58</v>
      </c>
      <c r="C22" s="143">
        <f t="shared" si="7"/>
        <v>34291.58</v>
      </c>
      <c r="D22" s="143">
        <f t="shared" si="7"/>
        <v>34291.58</v>
      </c>
      <c r="E22" s="143">
        <f t="shared" si="7"/>
        <v>34291.58</v>
      </c>
      <c r="F22" s="143">
        <f t="shared" si="7"/>
        <v>34291.58</v>
      </c>
      <c r="G22" s="143">
        <f t="shared" si="7"/>
        <v>34291.58</v>
      </c>
      <c r="H22" s="143">
        <f t="shared" si="7"/>
        <v>34291.58</v>
      </c>
      <c r="I22" s="143">
        <f t="shared" si="7"/>
        <v>34291.58</v>
      </c>
      <c r="J22" s="143">
        <f t="shared" si="7"/>
        <v>34291.58</v>
      </c>
      <c r="K22" s="143">
        <f t="shared" si="7"/>
        <v>34291.58</v>
      </c>
      <c r="L22" s="143">
        <f t="shared" si="7"/>
        <v>34291.58</v>
      </c>
      <c r="M22" s="143">
        <f t="shared" si="7"/>
        <v>34291.58</v>
      </c>
      <c r="N22" s="143">
        <f t="shared" si="7"/>
        <v>34291.58</v>
      </c>
      <c r="O22" s="143">
        <f t="shared" si="7"/>
        <v>34291.58</v>
      </c>
      <c r="P22" s="143">
        <f t="shared" si="7"/>
        <v>34291.58</v>
      </c>
      <c r="Q22" s="143">
        <f t="shared" si="7"/>
        <v>34291.58</v>
      </c>
      <c r="R22" s="143">
        <f t="shared" si="7"/>
        <v>34291.58</v>
      </c>
      <c r="S22" s="143">
        <f t="shared" si="7"/>
        <v>34291.58</v>
      </c>
      <c r="T22" s="143">
        <f t="shared" si="7"/>
        <v>34291.58</v>
      </c>
      <c r="U22" s="143">
        <f t="shared" si="7"/>
        <v>34291.58</v>
      </c>
      <c r="V22" s="143">
        <f t="shared" si="7"/>
        <v>34291.58</v>
      </c>
      <c r="W22" s="143">
        <f t="shared" si="7"/>
        <v>34291.58</v>
      </c>
      <c r="X22" s="143">
        <f t="shared" si="7"/>
        <v>34291.58</v>
      </c>
      <c r="Y22" s="143">
        <f t="shared" si="7"/>
        <v>34291.58</v>
      </c>
      <c r="Z22" s="143">
        <f t="shared" si="7"/>
        <v>34291.58</v>
      </c>
      <c r="AA22" s="143">
        <f t="shared" si="7"/>
        <v>34291.58</v>
      </c>
      <c r="AB22" s="143">
        <f t="shared" si="7"/>
        <v>34291.58</v>
      </c>
      <c r="AC22" s="143">
        <f t="shared" si="7"/>
        <v>34291.58</v>
      </c>
      <c r="AD22" s="143">
        <f t="shared" si="7"/>
        <v>34291.58</v>
      </c>
      <c r="AE22" s="143"/>
      <c r="AF22" s="143"/>
      <c r="AG22" s="143"/>
      <c r="AH22" s="143"/>
      <c r="AI22" s="143"/>
    </row>
    <row r="23" spans="1:48" x14ac:dyDescent="0.25">
      <c r="A23" s="142" t="s">
        <v>199</v>
      </c>
      <c r="B23" s="143">
        <f t="shared" ref="B23:AD23" si="8">MIN(B$19,$C$5)</f>
        <v>13320.08</v>
      </c>
      <c r="C23" s="143">
        <f t="shared" si="8"/>
        <v>13320.08</v>
      </c>
      <c r="D23" s="143">
        <f t="shared" si="8"/>
        <v>13320.08</v>
      </c>
      <c r="E23" s="143">
        <f t="shared" si="8"/>
        <v>13320.08</v>
      </c>
      <c r="F23" s="143">
        <f t="shared" si="8"/>
        <v>13320.08</v>
      </c>
      <c r="G23" s="143">
        <f t="shared" si="8"/>
        <v>13320.08</v>
      </c>
      <c r="H23" s="143">
        <f t="shared" si="8"/>
        <v>13320.08</v>
      </c>
      <c r="I23" s="143">
        <f t="shared" si="8"/>
        <v>13320.08</v>
      </c>
      <c r="J23" s="143">
        <f t="shared" si="8"/>
        <v>13320.08</v>
      </c>
      <c r="K23" s="143">
        <f t="shared" si="8"/>
        <v>13320.08</v>
      </c>
      <c r="L23" s="143">
        <f t="shared" si="8"/>
        <v>13320.08</v>
      </c>
      <c r="M23" s="143">
        <f t="shared" si="8"/>
        <v>13320.08</v>
      </c>
      <c r="N23" s="143">
        <f t="shared" si="8"/>
        <v>13320.08</v>
      </c>
      <c r="O23" s="143">
        <f t="shared" si="8"/>
        <v>13320.08</v>
      </c>
      <c r="P23" s="143">
        <f t="shared" si="8"/>
        <v>13320.08</v>
      </c>
      <c r="Q23" s="143">
        <f t="shared" si="8"/>
        <v>13320.08</v>
      </c>
      <c r="R23" s="143">
        <f t="shared" si="8"/>
        <v>13320.08</v>
      </c>
      <c r="S23" s="143">
        <f t="shared" si="8"/>
        <v>13320.08</v>
      </c>
      <c r="T23" s="143">
        <f t="shared" si="8"/>
        <v>13320.08</v>
      </c>
      <c r="U23" s="143">
        <f t="shared" si="8"/>
        <v>13320.08</v>
      </c>
      <c r="V23" s="143">
        <f t="shared" si="8"/>
        <v>13320.08</v>
      </c>
      <c r="W23" s="143">
        <f t="shared" si="8"/>
        <v>13320.08</v>
      </c>
      <c r="X23" s="143">
        <f t="shared" si="8"/>
        <v>13320.08</v>
      </c>
      <c r="Y23" s="143">
        <f t="shared" si="8"/>
        <v>13320.08</v>
      </c>
      <c r="Z23" s="143">
        <f t="shared" si="8"/>
        <v>13320.08</v>
      </c>
      <c r="AA23" s="143">
        <f t="shared" si="8"/>
        <v>13320.08</v>
      </c>
      <c r="AB23" s="143">
        <f t="shared" si="8"/>
        <v>13320.08</v>
      </c>
      <c r="AC23" s="143">
        <f t="shared" si="8"/>
        <v>13320.08</v>
      </c>
      <c r="AD23" s="143">
        <f t="shared" si="8"/>
        <v>13320.08</v>
      </c>
      <c r="AE23" s="143"/>
      <c r="AF23" s="143"/>
      <c r="AG23" s="143"/>
      <c r="AH23" s="143"/>
      <c r="AI23" s="143"/>
    </row>
    <row r="24" spans="1:48" x14ac:dyDescent="0.25">
      <c r="A24" s="142" t="s">
        <v>200</v>
      </c>
      <c r="B24" s="143">
        <f t="shared" ref="B24:AD24" si="9">MIN(B$20,$C$6)</f>
        <v>11490.348400000001</v>
      </c>
      <c r="C24" s="143">
        <f t="shared" si="9"/>
        <v>11490.348400000001</v>
      </c>
      <c r="D24" s="143">
        <f t="shared" si="9"/>
        <v>11490.348400000001</v>
      </c>
      <c r="E24" s="143">
        <f t="shared" si="9"/>
        <v>11490.348400000001</v>
      </c>
      <c r="F24" s="143">
        <f t="shared" si="9"/>
        <v>11490.348400000001</v>
      </c>
      <c r="G24" s="143">
        <f t="shared" si="9"/>
        <v>11490.348400000001</v>
      </c>
      <c r="H24" s="143">
        <f t="shared" si="9"/>
        <v>11490.348400000001</v>
      </c>
      <c r="I24" s="143">
        <f t="shared" si="9"/>
        <v>11490.348400000001</v>
      </c>
      <c r="J24" s="143">
        <f t="shared" si="9"/>
        <v>11490.348400000001</v>
      </c>
      <c r="K24" s="143">
        <f t="shared" si="9"/>
        <v>11490.348400000001</v>
      </c>
      <c r="L24" s="143">
        <f t="shared" si="9"/>
        <v>11490.348400000001</v>
      </c>
      <c r="M24" s="143">
        <f t="shared" si="9"/>
        <v>11490.348400000001</v>
      </c>
      <c r="N24" s="143">
        <f t="shared" si="9"/>
        <v>11490.348400000001</v>
      </c>
      <c r="O24" s="143">
        <f t="shared" si="9"/>
        <v>11490.348400000001</v>
      </c>
      <c r="P24" s="143">
        <f t="shared" si="9"/>
        <v>11490.348400000001</v>
      </c>
      <c r="Q24" s="143">
        <f t="shared" si="9"/>
        <v>11490.348400000001</v>
      </c>
      <c r="R24" s="143">
        <f t="shared" si="9"/>
        <v>11490.348400000001</v>
      </c>
      <c r="S24" s="143">
        <f t="shared" si="9"/>
        <v>11490.348400000001</v>
      </c>
      <c r="T24" s="143">
        <f t="shared" si="9"/>
        <v>11490.348400000001</v>
      </c>
      <c r="U24" s="143">
        <f t="shared" si="9"/>
        <v>11490.348400000001</v>
      </c>
      <c r="V24" s="143">
        <f t="shared" si="9"/>
        <v>11490.348400000001</v>
      </c>
      <c r="W24" s="143">
        <f t="shared" si="9"/>
        <v>11490.348400000001</v>
      </c>
      <c r="X24" s="143">
        <f t="shared" si="9"/>
        <v>11490.348400000001</v>
      </c>
      <c r="Y24" s="143">
        <f t="shared" si="9"/>
        <v>11490.348400000001</v>
      </c>
      <c r="Z24" s="143">
        <f t="shared" si="9"/>
        <v>11490.348400000001</v>
      </c>
      <c r="AA24" s="143">
        <f t="shared" si="9"/>
        <v>11490.348400000001</v>
      </c>
      <c r="AB24" s="143">
        <f t="shared" si="9"/>
        <v>11490.348400000001</v>
      </c>
      <c r="AC24" s="143">
        <f t="shared" si="9"/>
        <v>11490.348400000001</v>
      </c>
      <c r="AD24" s="143">
        <f t="shared" si="9"/>
        <v>11490.348400000001</v>
      </c>
      <c r="AE24" s="143"/>
      <c r="AF24" s="143"/>
      <c r="AG24" s="143"/>
      <c r="AH24" s="143"/>
      <c r="AI24" s="143"/>
    </row>
    <row r="25" spans="1:48" x14ac:dyDescent="0.25">
      <c r="A25" s="142" t="s">
        <v>201</v>
      </c>
      <c r="B25" s="143">
        <f t="shared" ref="B25:AD25" si="10">MIN(B$21,$C$7)</f>
        <v>1448.9399999999998</v>
      </c>
      <c r="C25" s="143">
        <f t="shared" si="10"/>
        <v>1448.9399999999998</v>
      </c>
      <c r="D25" s="143">
        <f t="shared" si="10"/>
        <v>1448.9399999999998</v>
      </c>
      <c r="E25" s="143">
        <f t="shared" si="10"/>
        <v>1448.9399999999998</v>
      </c>
      <c r="F25" s="143">
        <f t="shared" si="10"/>
        <v>1448.9399999999998</v>
      </c>
      <c r="G25" s="143">
        <f t="shared" si="10"/>
        <v>1448.9399999999998</v>
      </c>
      <c r="H25" s="143">
        <f t="shared" si="10"/>
        <v>1448.9399999999998</v>
      </c>
      <c r="I25" s="143">
        <f t="shared" si="10"/>
        <v>1448.9399999999998</v>
      </c>
      <c r="J25" s="143">
        <f t="shared" si="10"/>
        <v>1448.9399999999998</v>
      </c>
      <c r="K25" s="143">
        <f t="shared" si="10"/>
        <v>1448.9399999999998</v>
      </c>
      <c r="L25" s="143">
        <f t="shared" si="10"/>
        <v>1448.9399999999998</v>
      </c>
      <c r="M25" s="143">
        <f t="shared" si="10"/>
        <v>1448.9399999999998</v>
      </c>
      <c r="N25" s="143">
        <f t="shared" si="10"/>
        <v>1448.9399999999998</v>
      </c>
      <c r="O25" s="143">
        <f t="shared" si="10"/>
        <v>1448.9399999999998</v>
      </c>
      <c r="P25" s="143">
        <f t="shared" si="10"/>
        <v>1448.9399999999998</v>
      </c>
      <c r="Q25" s="143">
        <f t="shared" si="10"/>
        <v>1448.9399999999998</v>
      </c>
      <c r="R25" s="143">
        <f t="shared" si="10"/>
        <v>1448.9399999999998</v>
      </c>
      <c r="S25" s="143">
        <f t="shared" si="10"/>
        <v>1448.9399999999998</v>
      </c>
      <c r="T25" s="143">
        <f t="shared" si="10"/>
        <v>1448.9399999999998</v>
      </c>
      <c r="U25" s="143">
        <f t="shared" si="10"/>
        <v>1448.9399999999998</v>
      </c>
      <c r="V25" s="143">
        <f t="shared" si="10"/>
        <v>1448.9399999999998</v>
      </c>
      <c r="W25" s="143">
        <f t="shared" si="10"/>
        <v>1448.9399999999998</v>
      </c>
      <c r="X25" s="143">
        <f t="shared" si="10"/>
        <v>1448.9399999999998</v>
      </c>
      <c r="Y25" s="143">
        <f t="shared" si="10"/>
        <v>1448.9399999999998</v>
      </c>
      <c r="Z25" s="143">
        <f t="shared" si="10"/>
        <v>1448.9399999999998</v>
      </c>
      <c r="AA25" s="143">
        <f t="shared" si="10"/>
        <v>1448.9399999999998</v>
      </c>
      <c r="AB25" s="143">
        <f t="shared" si="10"/>
        <v>1448.9399999999998</v>
      </c>
      <c r="AC25" s="143">
        <f t="shared" si="10"/>
        <v>1448.9399999999998</v>
      </c>
      <c r="AD25" s="143">
        <f t="shared" si="10"/>
        <v>1448.9399999999998</v>
      </c>
      <c r="AE25" s="143"/>
      <c r="AF25" s="143"/>
      <c r="AG25" s="143"/>
      <c r="AH25" s="143"/>
      <c r="AI25" s="143"/>
    </row>
    <row r="26" spans="1:48" x14ac:dyDescent="0.25">
      <c r="A26" s="144" t="s">
        <v>202</v>
      </c>
      <c r="B26" s="145">
        <f>IF(B22&gt;$B$4,(B22-$B$4)*$H$4,0)</f>
        <v>13164.060000000012</v>
      </c>
      <c r="C26" s="145">
        <v>0</v>
      </c>
      <c r="D26" s="145">
        <f>IF(D22&gt;$B$4,(D22-$B$4)*$H$4,0)</f>
        <v>13164.060000000012</v>
      </c>
      <c r="E26" s="145">
        <v>0</v>
      </c>
      <c r="F26" s="145">
        <f>IF(F22&gt;$B$4,(F22-$B$4)*$H$4,0)</f>
        <v>13164.060000000012</v>
      </c>
      <c r="G26" s="145">
        <v>0</v>
      </c>
      <c r="H26" s="145">
        <f>IF(H22&gt;$B$4,(H22-$B$4)*$H$4,0)</f>
        <v>13164.060000000012</v>
      </c>
      <c r="I26" s="145">
        <v>0</v>
      </c>
      <c r="J26" s="145">
        <f>IF(J22&gt;$B$4,(J22-$B$4)*$H$4,0)</f>
        <v>13164.060000000012</v>
      </c>
      <c r="K26" s="145">
        <v>0</v>
      </c>
      <c r="L26" s="145">
        <f>IF(L22&gt;$B$4,(L22-$B$4)*$H$4,0)</f>
        <v>13164.060000000012</v>
      </c>
      <c r="M26" s="145">
        <v>0</v>
      </c>
      <c r="N26" s="145">
        <f>IF(N22&gt;$B$4,(N22-$B$4)*$H$4,0)</f>
        <v>13164.060000000012</v>
      </c>
      <c r="O26" s="145">
        <v>0</v>
      </c>
      <c r="P26" s="145">
        <f>IF(P22&gt;$B$4,(P22-$B$4)*$H$4,0)</f>
        <v>13164.060000000012</v>
      </c>
      <c r="Q26" s="145">
        <v>0</v>
      </c>
      <c r="R26" s="145">
        <f>IF(R22&gt;$B$4,(R22-$B$4)*$H$4,0)</f>
        <v>13164.060000000012</v>
      </c>
      <c r="S26" s="145">
        <v>0</v>
      </c>
      <c r="T26" s="145">
        <f>IF(T22&gt;$B$4,(T22-$B$4)*$H$4,0)</f>
        <v>13164.060000000012</v>
      </c>
      <c r="U26" s="145">
        <v>0</v>
      </c>
      <c r="V26" s="145">
        <f>IF(V22&gt;$B$4,(V22-$B$4)*$H$4,0)</f>
        <v>13164.060000000012</v>
      </c>
      <c r="W26" s="145">
        <v>0</v>
      </c>
      <c r="X26" s="145">
        <f>IF(X22&gt;$B$4,(X22-$B$4)*$H$4,0)</f>
        <v>13164.060000000012</v>
      </c>
      <c r="Y26" s="145">
        <v>0</v>
      </c>
      <c r="Z26" s="145">
        <f>IF(Z22&gt;$B$4,(Z22-$B$4)*$H$4,0)</f>
        <v>13164.060000000012</v>
      </c>
      <c r="AA26" s="145">
        <v>0</v>
      </c>
      <c r="AB26" s="145">
        <f>IF(AB22&gt;$B$4,(AB22-$B$4)*$H$4,0)</f>
        <v>13164.060000000012</v>
      </c>
      <c r="AC26" s="145">
        <v>0</v>
      </c>
      <c r="AD26" s="145">
        <f>IF(AD22&gt;$B$4,(AD22-$B$4)*$H$4,0)</f>
        <v>13164.060000000012</v>
      </c>
      <c r="AE26" s="145">
        <v>0</v>
      </c>
      <c r="AF26" s="145">
        <f>IF(AF22&gt;$B$4,(AF22-$B$4)*$H$4,0)</f>
        <v>0</v>
      </c>
      <c r="AG26" s="145">
        <v>0</v>
      </c>
      <c r="AH26" s="145">
        <f>IF(AH22&gt;$B$4,(AH22-$B$4)*$H$4,0)</f>
        <v>0</v>
      </c>
      <c r="AI26" s="145">
        <v>0</v>
      </c>
      <c r="AJ26" s="145">
        <f>IF(AJ22&gt;$B$4,(AJ22-$B$4)*$H$4,0)</f>
        <v>0</v>
      </c>
      <c r="AK26" s="145">
        <v>0</v>
      </c>
    </row>
    <row r="27" spans="1:48" x14ac:dyDescent="0.25">
      <c r="A27" s="144" t="s">
        <v>203</v>
      </c>
      <c r="B27" s="145">
        <f>IF(B23&gt;$B$5,(B23-$B$5)*$H$5,0)</f>
        <v>8800.7999999999993</v>
      </c>
      <c r="C27" s="145">
        <v>0</v>
      </c>
      <c r="D27" s="145">
        <f>IF(D23&gt;$B$5,(D23-$B$5)*$H$5,0)</f>
        <v>8800.7999999999993</v>
      </c>
      <c r="E27" s="145">
        <v>0</v>
      </c>
      <c r="F27" s="145">
        <f>IF(F23&gt;$B$5,(F23-$B$5)*$H$5,0)</f>
        <v>8800.7999999999993</v>
      </c>
      <c r="G27" s="145">
        <v>0</v>
      </c>
      <c r="H27" s="145">
        <f>IF(H23&gt;$B$5,(H23-$B$5)*$H$5,0)</f>
        <v>8800.7999999999993</v>
      </c>
      <c r="I27" s="145">
        <v>0</v>
      </c>
      <c r="J27" s="145">
        <f>IF(J23&gt;$B$5,(J23-$B$5)*$H$5,0)</f>
        <v>8800.7999999999993</v>
      </c>
      <c r="K27" s="145">
        <v>0</v>
      </c>
      <c r="L27" s="145">
        <f>IF(L23&gt;$B$5,(L23-$B$5)*$H$5,0)</f>
        <v>8800.7999999999993</v>
      </c>
      <c r="M27" s="145">
        <v>0</v>
      </c>
      <c r="N27" s="145">
        <f>IF(N23&gt;$B$5,(N23-$B$5)*$H$5,0)</f>
        <v>8800.7999999999993</v>
      </c>
      <c r="O27" s="145">
        <v>0</v>
      </c>
      <c r="P27" s="145">
        <f>IF(P23&gt;$B$5,(P23-$B$5)*$H$5,0)</f>
        <v>8800.7999999999993</v>
      </c>
      <c r="Q27" s="145">
        <v>0</v>
      </c>
      <c r="R27" s="145">
        <f>IF(R23&gt;$B$5,(R23-$B$5)*$H$5,0)</f>
        <v>8800.7999999999993</v>
      </c>
      <c r="S27" s="145">
        <v>0</v>
      </c>
      <c r="T27" s="145">
        <f>IF(T23&gt;$B$5,(T23-$B$5)*$H$5,0)</f>
        <v>8800.7999999999993</v>
      </c>
      <c r="U27" s="145">
        <v>0</v>
      </c>
      <c r="V27" s="145">
        <f>IF(V23&gt;$B$5,(V23-$B$5)*$H$5,0)</f>
        <v>8800.7999999999993</v>
      </c>
      <c r="W27" s="145">
        <v>0</v>
      </c>
      <c r="X27" s="145">
        <f>IF(X23&gt;$B$5,(X23-$B$5)*$H$5,0)</f>
        <v>8800.7999999999993</v>
      </c>
      <c r="Y27" s="145">
        <v>0</v>
      </c>
      <c r="Z27" s="145">
        <f>IF(Z23&gt;$B$5,(Z23-$B$5)*$H$5,0)</f>
        <v>8800.7999999999993</v>
      </c>
      <c r="AA27" s="145">
        <v>0</v>
      </c>
      <c r="AB27" s="145">
        <f>IF(AB23&gt;$B$5,(AB23-$B$5)*$H$5,0)</f>
        <v>8800.7999999999993</v>
      </c>
      <c r="AC27" s="145">
        <v>0</v>
      </c>
      <c r="AD27" s="145">
        <f>IF(AD23&gt;$B$5,(AD23-$B$5)*$H$5,0)</f>
        <v>8800.7999999999993</v>
      </c>
      <c r="AE27" s="145">
        <v>0</v>
      </c>
      <c r="AF27" s="145">
        <f>IF(AF23&gt;$B$5,(AF23-$B$5)*$H$5,0)</f>
        <v>0</v>
      </c>
      <c r="AG27" s="145">
        <v>0</v>
      </c>
      <c r="AH27" s="145">
        <f>IF(AH23&gt;$B$5,(AH23-$B$5)*$H$5,0)</f>
        <v>0</v>
      </c>
      <c r="AI27" s="145">
        <v>0</v>
      </c>
      <c r="AJ27" s="145">
        <f>IF(AJ23&gt;$B$5,(AJ23-$B$5)*$H$5,0)</f>
        <v>0</v>
      </c>
      <c r="AK27" s="145">
        <v>0</v>
      </c>
    </row>
    <row r="28" spans="1:48" x14ac:dyDescent="0.25">
      <c r="A28" s="144" t="s">
        <v>204</v>
      </c>
      <c r="B28" s="145">
        <f>IF(B24&gt;$B$6,(B24-$B$6)*$H$6,0)</f>
        <v>19044.619600000013</v>
      </c>
      <c r="C28" s="145">
        <v>0</v>
      </c>
      <c r="D28" s="145">
        <f>IF(D24&gt;$B$6,(D24-$B$6)*$H$6,0)</f>
        <v>19044.619600000013</v>
      </c>
      <c r="E28" s="145">
        <v>0</v>
      </c>
      <c r="F28" s="145">
        <f>IF(F24&gt;$B$6,(F24-$B$6)*$H$6,0)</f>
        <v>19044.619600000013</v>
      </c>
      <c r="G28" s="145">
        <v>0</v>
      </c>
      <c r="H28" s="145">
        <f>IF(H24&gt;$B$6,(H24-$B$6)*$H$6,0)</f>
        <v>19044.619600000013</v>
      </c>
      <c r="I28" s="145">
        <v>0</v>
      </c>
      <c r="J28" s="145">
        <f>IF(J24&gt;$B$6,(J24-$B$6)*$H$6,0)</f>
        <v>19044.619600000013</v>
      </c>
      <c r="K28" s="145">
        <v>0</v>
      </c>
      <c r="L28" s="145">
        <f>IF(L24&gt;$B$6,(L24-$B$6)*$H$6,0)</f>
        <v>19044.619600000013</v>
      </c>
      <c r="M28" s="145">
        <v>0</v>
      </c>
      <c r="N28" s="145">
        <f>IF(N24&gt;$B$6,(N24-$B$6)*$H$6,0)</f>
        <v>19044.619600000013</v>
      </c>
      <c r="O28" s="145">
        <v>0</v>
      </c>
      <c r="P28" s="145">
        <f>IF(P24&gt;$B$6,(P24-$B$6)*$H$6,0)</f>
        <v>19044.619600000013</v>
      </c>
      <c r="Q28" s="145">
        <v>0</v>
      </c>
      <c r="R28" s="145">
        <f>IF(R24&gt;$B$6,(R24-$B$6)*$H$6,0)</f>
        <v>19044.619600000013</v>
      </c>
      <c r="S28" s="145">
        <v>0</v>
      </c>
      <c r="T28" s="145">
        <f>IF(T24&gt;$B$6,(T24-$B$6)*$H$6,0)</f>
        <v>19044.619600000013</v>
      </c>
      <c r="U28" s="145">
        <v>0</v>
      </c>
      <c r="V28" s="145">
        <f>IF(V24&gt;$B$6,(V24-$B$6)*$H$6,0)</f>
        <v>19044.619600000013</v>
      </c>
      <c r="W28" s="145">
        <v>0</v>
      </c>
      <c r="X28" s="145">
        <f>IF(X24&gt;$B$6,(X24-$B$6)*$H$6,0)</f>
        <v>19044.619600000013</v>
      </c>
      <c r="Y28" s="145">
        <v>0</v>
      </c>
      <c r="Z28" s="145">
        <f>IF(Z24&gt;$B$6,(Z24-$B$6)*$H$6,0)</f>
        <v>19044.619600000013</v>
      </c>
      <c r="AA28" s="145">
        <v>0</v>
      </c>
      <c r="AB28" s="145">
        <f>IF(AB24&gt;$B$6,(AB24-$B$6)*$H$6,0)</f>
        <v>19044.619600000013</v>
      </c>
      <c r="AC28" s="145">
        <v>0</v>
      </c>
      <c r="AD28" s="145">
        <f>IF(AD24&gt;$B$6,(AD24-$B$6)*$H$6,0)</f>
        <v>19044.619600000013</v>
      </c>
      <c r="AE28" s="145">
        <v>0</v>
      </c>
      <c r="AF28" s="145">
        <f>IF(AF24&gt;$B$6,(AF24-$B$6)*$H$6,0)</f>
        <v>0</v>
      </c>
      <c r="AG28" s="145">
        <v>0</v>
      </c>
      <c r="AH28" s="145">
        <f>IF(AH24&gt;$B$6,(AH24-$B$6)*$H$6,0)</f>
        <v>0</v>
      </c>
      <c r="AI28" s="145">
        <v>0</v>
      </c>
      <c r="AJ28" s="145">
        <f>IF(AJ24&gt;$B$6,(AJ24-$B$6)*$H$6,0)</f>
        <v>0</v>
      </c>
      <c r="AK28" s="145">
        <v>0</v>
      </c>
    </row>
    <row r="29" spans="1:48" x14ac:dyDescent="0.25">
      <c r="A29" s="144" t="s">
        <v>205</v>
      </c>
      <c r="B29" s="145">
        <f>IF(B25&gt;$B$7,(B25-$B$7)*$H$7,0)</f>
        <v>5317.8999999999942</v>
      </c>
      <c r="C29" s="145">
        <v>0</v>
      </c>
      <c r="D29" s="145">
        <f>IF(D25&gt;$B$7,(D25-$B$7)*$H$7,0)</f>
        <v>5317.8999999999942</v>
      </c>
      <c r="E29" s="145">
        <v>0</v>
      </c>
      <c r="F29" s="145">
        <f>IF(F25&gt;$B$7,(F25-$B$7)*$H$7,0)</f>
        <v>5317.8999999999942</v>
      </c>
      <c r="G29" s="145">
        <v>0</v>
      </c>
      <c r="H29" s="145">
        <f>IF(H25&gt;$B$7,(H25-$B$7)*$H$7,0)</f>
        <v>5317.8999999999942</v>
      </c>
      <c r="I29" s="145">
        <v>0</v>
      </c>
      <c r="J29" s="145">
        <f>IF(J25&gt;$B$7,(J25-$B$7)*$H$7,0)</f>
        <v>5317.8999999999942</v>
      </c>
      <c r="K29" s="145">
        <v>0</v>
      </c>
      <c r="L29" s="145">
        <f>IF(L25&gt;$B$7,(L25-$B$7)*$H$7,0)</f>
        <v>5317.8999999999942</v>
      </c>
      <c r="M29" s="145">
        <v>0</v>
      </c>
      <c r="N29" s="145">
        <f>IF(N25&gt;$B$7,(N25-$B$7)*$H$7,0)</f>
        <v>5317.8999999999942</v>
      </c>
      <c r="O29" s="145">
        <v>0</v>
      </c>
      <c r="P29" s="145">
        <f>IF(P25&gt;$B$7,(P25-$B$7)*$H$7,0)</f>
        <v>5317.8999999999942</v>
      </c>
      <c r="Q29" s="145">
        <v>0</v>
      </c>
      <c r="R29" s="145">
        <f>IF(R25&gt;$B$7,(R25-$B$7)*$H$7,0)</f>
        <v>5317.8999999999942</v>
      </c>
      <c r="S29" s="145">
        <v>0</v>
      </c>
      <c r="T29" s="145">
        <f>IF(T25&gt;$B$7,(T25-$B$7)*$H$7,0)</f>
        <v>5317.8999999999942</v>
      </c>
      <c r="U29" s="145">
        <v>0</v>
      </c>
      <c r="V29" s="145">
        <f>IF(V25&gt;$B$7,(V25-$B$7)*$H$7,0)</f>
        <v>5317.8999999999942</v>
      </c>
      <c r="W29" s="145">
        <v>0</v>
      </c>
      <c r="X29" s="145">
        <f>IF(X25&gt;$B$7,(X25-$B$7)*$H$7,0)</f>
        <v>5317.8999999999942</v>
      </c>
      <c r="Y29" s="145">
        <v>0</v>
      </c>
      <c r="Z29" s="145">
        <f>IF(Z25&gt;$B$7,(Z25-$B$7)*$H$7,0)</f>
        <v>5317.8999999999942</v>
      </c>
      <c r="AA29" s="145">
        <v>0</v>
      </c>
      <c r="AB29" s="145">
        <f>IF(AB25&gt;$B$7,(AB25-$B$7)*$H$7,0)</f>
        <v>5317.8999999999942</v>
      </c>
      <c r="AC29" s="145">
        <v>0</v>
      </c>
      <c r="AD29" s="145">
        <f>IF(AD25&gt;$B$7,(AD25-$B$7)*$H$7,0)</f>
        <v>5317.8999999999942</v>
      </c>
      <c r="AE29" s="145">
        <v>0</v>
      </c>
      <c r="AF29" s="145">
        <f>IF(AF25&gt;$B$7,(AF25-$B$7)*$H$7,0)</f>
        <v>0</v>
      </c>
      <c r="AG29" s="145">
        <v>0</v>
      </c>
      <c r="AH29" s="145">
        <f>IF(AH25&gt;$B$7,(AH25-$B$7)*$H$7,0)</f>
        <v>0</v>
      </c>
      <c r="AI29" s="145">
        <v>0</v>
      </c>
      <c r="AJ29" s="145">
        <f>IF(AJ25&gt;$B$7,(AJ25-$B$7)*$H$7,0)</f>
        <v>0</v>
      </c>
      <c r="AK29" s="145">
        <v>0</v>
      </c>
    </row>
    <row r="30" spans="1:48" x14ac:dyDescent="0.25">
      <c r="A30" s="146" t="s">
        <v>206</v>
      </c>
      <c r="B30" s="147">
        <f>G4+G5+G6+G7</f>
        <v>2938.5444000000011</v>
      </c>
      <c r="C30" s="147">
        <f t="shared" ref="C30:AD30" si="11">B30</f>
        <v>2938.5444000000011</v>
      </c>
      <c r="D30" s="147">
        <f t="shared" si="11"/>
        <v>2938.5444000000011</v>
      </c>
      <c r="E30" s="147">
        <f t="shared" si="11"/>
        <v>2938.5444000000011</v>
      </c>
      <c r="F30" s="147">
        <f t="shared" si="11"/>
        <v>2938.5444000000011</v>
      </c>
      <c r="G30" s="147">
        <f t="shared" si="11"/>
        <v>2938.5444000000011</v>
      </c>
      <c r="H30" s="147">
        <f t="shared" si="11"/>
        <v>2938.5444000000011</v>
      </c>
      <c r="I30" s="147">
        <f t="shared" si="11"/>
        <v>2938.5444000000011</v>
      </c>
      <c r="J30" s="147">
        <f t="shared" si="11"/>
        <v>2938.5444000000011</v>
      </c>
      <c r="K30" s="147">
        <f t="shared" si="11"/>
        <v>2938.5444000000011</v>
      </c>
      <c r="L30" s="147">
        <f t="shared" si="11"/>
        <v>2938.5444000000011</v>
      </c>
      <c r="M30" s="147">
        <f t="shared" si="11"/>
        <v>2938.5444000000011</v>
      </c>
      <c r="N30" s="147">
        <f t="shared" si="11"/>
        <v>2938.5444000000011</v>
      </c>
      <c r="O30" s="147">
        <f t="shared" si="11"/>
        <v>2938.5444000000011</v>
      </c>
      <c r="P30" s="147">
        <f t="shared" si="11"/>
        <v>2938.5444000000011</v>
      </c>
      <c r="Q30" s="147">
        <f t="shared" si="11"/>
        <v>2938.5444000000011</v>
      </c>
      <c r="R30" s="147">
        <f t="shared" si="11"/>
        <v>2938.5444000000011</v>
      </c>
      <c r="S30" s="147">
        <f t="shared" si="11"/>
        <v>2938.5444000000011</v>
      </c>
      <c r="T30" s="147">
        <f t="shared" si="11"/>
        <v>2938.5444000000011</v>
      </c>
      <c r="U30" s="147">
        <f t="shared" si="11"/>
        <v>2938.5444000000011</v>
      </c>
      <c r="V30" s="147">
        <f t="shared" si="11"/>
        <v>2938.5444000000011</v>
      </c>
      <c r="W30" s="147">
        <f t="shared" si="11"/>
        <v>2938.5444000000011</v>
      </c>
      <c r="X30" s="147">
        <f t="shared" si="11"/>
        <v>2938.5444000000011</v>
      </c>
      <c r="Y30" s="147">
        <f t="shared" si="11"/>
        <v>2938.5444000000011</v>
      </c>
      <c r="Z30" s="147">
        <f t="shared" si="11"/>
        <v>2938.5444000000011</v>
      </c>
      <c r="AA30" s="147">
        <f t="shared" si="11"/>
        <v>2938.5444000000011</v>
      </c>
      <c r="AB30" s="147">
        <f t="shared" si="11"/>
        <v>2938.5444000000011</v>
      </c>
      <c r="AC30" s="147">
        <f t="shared" si="11"/>
        <v>2938.5444000000011</v>
      </c>
      <c r="AD30" s="147">
        <f t="shared" si="11"/>
        <v>2938.5444000000011</v>
      </c>
      <c r="AE30" s="147"/>
      <c r="AF30" s="147"/>
      <c r="AG30" s="147"/>
      <c r="AH30" s="147"/>
      <c r="AI30" s="147"/>
    </row>
    <row r="31" spans="1:48" x14ac:dyDescent="0.25">
      <c r="A31" s="148" t="s">
        <v>207</v>
      </c>
      <c r="B31" s="149">
        <f t="shared" ref="B31:AD31" si="12">B26+B27+B28+B29-B30</f>
        <v>43388.835200000016</v>
      </c>
      <c r="C31" s="149">
        <f t="shared" si="12"/>
        <v>-2938.5444000000011</v>
      </c>
      <c r="D31" s="149">
        <f t="shared" si="12"/>
        <v>43388.835200000016</v>
      </c>
      <c r="E31" s="149">
        <f t="shared" si="12"/>
        <v>-2938.5444000000011</v>
      </c>
      <c r="F31" s="149">
        <f t="shared" si="12"/>
        <v>43388.835200000016</v>
      </c>
      <c r="G31" s="149">
        <f t="shared" si="12"/>
        <v>-2938.5444000000011</v>
      </c>
      <c r="H31" s="149">
        <f t="shared" si="12"/>
        <v>43388.835200000016</v>
      </c>
      <c r="I31" s="149">
        <f t="shared" si="12"/>
        <v>-2938.5444000000011</v>
      </c>
      <c r="J31" s="149">
        <f t="shared" si="12"/>
        <v>43388.835200000016</v>
      </c>
      <c r="K31" s="149">
        <f t="shared" si="12"/>
        <v>-2938.5444000000011</v>
      </c>
      <c r="L31" s="149">
        <f t="shared" si="12"/>
        <v>43388.835200000016</v>
      </c>
      <c r="M31" s="149">
        <f t="shared" si="12"/>
        <v>-2938.5444000000011</v>
      </c>
      <c r="N31" s="149">
        <f t="shared" si="12"/>
        <v>43388.835200000016</v>
      </c>
      <c r="O31" s="149">
        <f t="shared" si="12"/>
        <v>-2938.5444000000011</v>
      </c>
      <c r="P31" s="149">
        <f t="shared" si="12"/>
        <v>43388.835200000016</v>
      </c>
      <c r="Q31" s="149">
        <f t="shared" si="12"/>
        <v>-2938.5444000000011</v>
      </c>
      <c r="R31" s="149">
        <f t="shared" si="12"/>
        <v>43388.835200000016</v>
      </c>
      <c r="S31" s="149">
        <f t="shared" si="12"/>
        <v>-2938.5444000000011</v>
      </c>
      <c r="T31" s="149">
        <f t="shared" si="12"/>
        <v>43388.835200000016</v>
      </c>
      <c r="U31" s="149">
        <f t="shared" si="12"/>
        <v>-2938.5444000000011</v>
      </c>
      <c r="V31" s="149">
        <f t="shared" si="12"/>
        <v>43388.835200000016</v>
      </c>
      <c r="W31" s="149">
        <f t="shared" si="12"/>
        <v>-2938.5444000000011</v>
      </c>
      <c r="X31" s="149">
        <f t="shared" si="12"/>
        <v>43388.835200000016</v>
      </c>
      <c r="Y31" s="149">
        <f t="shared" si="12"/>
        <v>-2938.5444000000011</v>
      </c>
      <c r="Z31" s="149">
        <f t="shared" si="12"/>
        <v>43388.835200000016</v>
      </c>
      <c r="AA31" s="149">
        <f t="shared" si="12"/>
        <v>-2938.5444000000011</v>
      </c>
      <c r="AB31" s="149">
        <f t="shared" si="12"/>
        <v>43388.835200000016</v>
      </c>
      <c r="AC31" s="149">
        <f t="shared" si="12"/>
        <v>-2938.5444000000011</v>
      </c>
      <c r="AD31" s="149">
        <f t="shared" si="12"/>
        <v>43388.835200000016</v>
      </c>
      <c r="AE31" s="149"/>
      <c r="AF31" s="149"/>
      <c r="AG31" s="149"/>
      <c r="AH31" s="149"/>
      <c r="AI31" s="149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150" t="s">
        <v>208</v>
      </c>
      <c r="B32" s="149">
        <f>-B12-B11+B31</f>
        <v>-253036.62080000009</v>
      </c>
      <c r="C32" s="149">
        <f t="shared" ref="C32:AD32" si="13">B32+C31</f>
        <v>-255975.1652000001</v>
      </c>
      <c r="D32" s="149">
        <f t="shared" si="13"/>
        <v>-212586.33000000007</v>
      </c>
      <c r="E32" s="149">
        <f t="shared" si="13"/>
        <v>-215524.87440000009</v>
      </c>
      <c r="F32" s="149">
        <f t="shared" si="13"/>
        <v>-172136.03920000006</v>
      </c>
      <c r="G32" s="149">
        <f t="shared" si="13"/>
        <v>-175074.58360000007</v>
      </c>
      <c r="H32" s="149">
        <f t="shared" si="13"/>
        <v>-131685.74840000004</v>
      </c>
      <c r="I32" s="149">
        <f t="shared" si="13"/>
        <v>-134624.29280000005</v>
      </c>
      <c r="J32" s="149">
        <f t="shared" si="13"/>
        <v>-91235.457600000038</v>
      </c>
      <c r="K32" s="149">
        <f t="shared" si="13"/>
        <v>-94174.002000000037</v>
      </c>
      <c r="L32" s="149">
        <f t="shared" si="13"/>
        <v>-50785.166800000021</v>
      </c>
      <c r="M32" s="149">
        <f t="shared" si="13"/>
        <v>-53723.71120000002</v>
      </c>
      <c r="N32" s="149">
        <f t="shared" si="13"/>
        <v>-10334.876000000004</v>
      </c>
      <c r="O32" s="149">
        <f t="shared" si="13"/>
        <v>-13273.420400000005</v>
      </c>
      <c r="P32" s="149">
        <f t="shared" si="13"/>
        <v>30115.414800000013</v>
      </c>
      <c r="Q32" s="149">
        <f t="shared" si="13"/>
        <v>27176.870400000011</v>
      </c>
      <c r="R32" s="149">
        <f t="shared" si="13"/>
        <v>70565.70560000003</v>
      </c>
      <c r="S32" s="149">
        <f t="shared" si="13"/>
        <v>67627.161200000031</v>
      </c>
      <c r="T32" s="149">
        <f t="shared" si="13"/>
        <v>111015.99640000005</v>
      </c>
      <c r="U32" s="149">
        <f t="shared" si="13"/>
        <v>108077.45200000005</v>
      </c>
      <c r="V32" s="149">
        <f t="shared" si="13"/>
        <v>151466.28720000008</v>
      </c>
      <c r="W32" s="149">
        <f t="shared" si="13"/>
        <v>148527.74280000007</v>
      </c>
      <c r="X32" s="149">
        <f t="shared" si="13"/>
        <v>191916.5780000001</v>
      </c>
      <c r="Y32" s="149">
        <f t="shared" si="13"/>
        <v>188978.03360000008</v>
      </c>
      <c r="Z32" s="149">
        <f t="shared" si="13"/>
        <v>232366.86880000011</v>
      </c>
      <c r="AA32" s="149">
        <f t="shared" si="13"/>
        <v>229428.3244000001</v>
      </c>
      <c r="AB32" s="149">
        <f t="shared" si="13"/>
        <v>272817.15960000013</v>
      </c>
      <c r="AC32" s="149">
        <f t="shared" si="13"/>
        <v>269878.61520000012</v>
      </c>
      <c r="AD32" s="149">
        <f t="shared" si="13"/>
        <v>313267.45040000015</v>
      </c>
      <c r="AE32" s="149"/>
      <c r="AF32" s="149"/>
      <c r="AG32" s="149"/>
      <c r="AH32" s="149"/>
      <c r="AI32" s="149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1:35" x14ac:dyDescent="0.25">
      <c r="B33" s="108">
        <f t="shared" ref="B33:AD33" si="14">B32/$B$13</f>
        <v>-0.85362648746334391</v>
      </c>
      <c r="C33" s="108">
        <f t="shared" si="14"/>
        <v>-0.86353975348190071</v>
      </c>
      <c r="D33" s="108">
        <f t="shared" si="14"/>
        <v>-0.7171662409452445</v>
      </c>
      <c r="E33" s="108">
        <f t="shared" si="14"/>
        <v>-0.72707950696380141</v>
      </c>
      <c r="F33" s="108">
        <f t="shared" si="14"/>
        <v>-0.58070599442714521</v>
      </c>
      <c r="G33" s="108">
        <f t="shared" si="14"/>
        <v>-0.59061926044570212</v>
      </c>
      <c r="H33" s="108">
        <f t="shared" si="14"/>
        <v>-0.44424574790904592</v>
      </c>
      <c r="I33" s="108">
        <f t="shared" si="14"/>
        <v>-0.45415901392760277</v>
      </c>
      <c r="J33" s="108">
        <f t="shared" si="14"/>
        <v>-0.30778550139094668</v>
      </c>
      <c r="K33" s="108">
        <f t="shared" si="14"/>
        <v>-0.31769876740950342</v>
      </c>
      <c r="L33" s="108">
        <f t="shared" si="14"/>
        <v>-0.17132525487284736</v>
      </c>
      <c r="M33" s="108">
        <f t="shared" si="14"/>
        <v>-0.18123852089140413</v>
      </c>
      <c r="N33" s="108">
        <f t="shared" si="14"/>
        <v>-3.4865008354748046E-2</v>
      </c>
      <c r="O33" s="108">
        <f t="shared" si="14"/>
        <v>-4.4778274373304831E-2</v>
      </c>
      <c r="P33" s="108">
        <f t="shared" si="14"/>
        <v>0.10159523816335127</v>
      </c>
      <c r="Q33" s="108">
        <f t="shared" si="14"/>
        <v>9.1681972144794469E-2</v>
      </c>
      <c r="R33" s="108">
        <f t="shared" si="14"/>
        <v>0.23805548468145057</v>
      </c>
      <c r="S33" s="108">
        <f t="shared" si="14"/>
        <v>0.2281422186628938</v>
      </c>
      <c r="T33" s="108">
        <f t="shared" si="14"/>
        <v>0.37451573119954989</v>
      </c>
      <c r="U33" s="108">
        <f t="shared" si="14"/>
        <v>0.3646024651809931</v>
      </c>
      <c r="V33" s="108">
        <f t="shared" si="14"/>
        <v>0.51097597771764924</v>
      </c>
      <c r="W33" s="108">
        <f t="shared" si="14"/>
        <v>0.50106271169909244</v>
      </c>
      <c r="X33" s="108">
        <f t="shared" si="14"/>
        <v>0.64743622423574854</v>
      </c>
      <c r="Y33" s="108">
        <f t="shared" si="14"/>
        <v>0.63752295821719174</v>
      </c>
      <c r="Z33" s="108">
        <f t="shared" si="14"/>
        <v>0.78389647075384783</v>
      </c>
      <c r="AA33" s="108">
        <f t="shared" si="14"/>
        <v>0.77398320473529103</v>
      </c>
      <c r="AB33" s="108">
        <f t="shared" si="14"/>
        <v>0.92035671727194712</v>
      </c>
      <c r="AC33" s="108">
        <f t="shared" si="14"/>
        <v>0.91044345125339032</v>
      </c>
      <c r="AD33" s="108">
        <f t="shared" si="14"/>
        <v>1.0568169637900464</v>
      </c>
      <c r="AE33" s="108"/>
      <c r="AF33" s="108"/>
      <c r="AG33" s="108"/>
      <c r="AH33" s="108"/>
      <c r="AI33" s="108"/>
    </row>
    <row r="36" spans="1:35" x14ac:dyDescent="0.25">
      <c r="A36" s="321" t="s">
        <v>180</v>
      </c>
      <c r="B36" s="321">
        <f>B37+B38+B39+B40</f>
        <v>60551</v>
      </c>
      <c r="C36" s="313" t="s">
        <v>328</v>
      </c>
      <c r="D36" t="s">
        <v>329</v>
      </c>
      <c r="K36" s="322"/>
      <c r="Q36" s="313" t="s">
        <v>328</v>
      </c>
      <c r="R36" t="s">
        <v>329</v>
      </c>
    </row>
    <row r="37" spans="1:35" x14ac:dyDescent="0.25">
      <c r="A37" s="321" t="s">
        <v>187</v>
      </c>
      <c r="B37" s="321">
        <v>34292</v>
      </c>
      <c r="C37" s="165">
        <f>1881+31</f>
        <v>1912</v>
      </c>
      <c r="D37" s="133">
        <f>B37-C37</f>
        <v>32380</v>
      </c>
      <c r="F37">
        <v>31818</v>
      </c>
      <c r="G37" s="260">
        <f>F37/B37</f>
        <v>0.92785489326956727</v>
      </c>
      <c r="H37">
        <v>34840</v>
      </c>
      <c r="I37" s="260">
        <f>F37/H37</f>
        <v>0.91326061997703789</v>
      </c>
      <c r="K37" s="322"/>
      <c r="L37" s="323"/>
      <c r="Q37" s="165">
        <v>548</v>
      </c>
      <c r="R37">
        <f>B37</f>
        <v>34292</v>
      </c>
    </row>
    <row r="38" spans="1:35" x14ac:dyDescent="0.25">
      <c r="A38" s="321" t="s">
        <v>188</v>
      </c>
      <c r="B38" s="321">
        <v>13320</v>
      </c>
      <c r="C38" s="165">
        <v>880</v>
      </c>
      <c r="D38" s="133">
        <f t="shared" ref="D38:D40" si="15">B38-C38</f>
        <v>12440</v>
      </c>
      <c r="F38">
        <v>13320</v>
      </c>
      <c r="G38" s="260">
        <f t="shared" ref="G38:G40" si="16">F38/B38</f>
        <v>1</v>
      </c>
      <c r="H38">
        <v>14950</v>
      </c>
      <c r="I38" s="260">
        <f t="shared" ref="I38:I40" si="17">F38/H38</f>
        <v>0.89096989966555185</v>
      </c>
      <c r="K38" s="322"/>
      <c r="L38" s="323"/>
      <c r="Q38" s="165">
        <v>1630</v>
      </c>
      <c r="R38">
        <f t="shared" ref="R38:R40" si="18">B38</f>
        <v>13320</v>
      </c>
    </row>
    <row r="39" spans="1:35" x14ac:dyDescent="0.25">
      <c r="A39" s="321" t="s">
        <v>189</v>
      </c>
      <c r="B39" s="321">
        <v>11490</v>
      </c>
      <c r="C39" s="165">
        <f>1347-345</f>
        <v>1002</v>
      </c>
      <c r="D39" s="133">
        <f t="shared" si="15"/>
        <v>10488</v>
      </c>
      <c r="F39">
        <v>9762</v>
      </c>
      <c r="G39" s="260">
        <f t="shared" si="16"/>
        <v>0.84960835509138377</v>
      </c>
      <c r="H39">
        <v>13780</v>
      </c>
      <c r="I39" s="260">
        <f t="shared" si="17"/>
        <v>0.7084179970972424</v>
      </c>
      <c r="K39" s="322"/>
      <c r="L39" s="323"/>
      <c r="Q39" s="165">
        <v>2290</v>
      </c>
      <c r="R39">
        <f t="shared" si="18"/>
        <v>11490</v>
      </c>
    </row>
    <row r="40" spans="1:35" x14ac:dyDescent="0.25">
      <c r="A40" s="321" t="s">
        <v>190</v>
      </c>
      <c r="B40" s="321">
        <v>1449</v>
      </c>
      <c r="C40" s="165">
        <v>152</v>
      </c>
      <c r="D40" s="133">
        <f t="shared" si="15"/>
        <v>1297</v>
      </c>
      <c r="F40">
        <v>1449</v>
      </c>
      <c r="G40" s="260">
        <f t="shared" si="16"/>
        <v>1</v>
      </c>
      <c r="H40">
        <v>1449</v>
      </c>
      <c r="I40" s="260">
        <f t="shared" si="17"/>
        <v>1</v>
      </c>
      <c r="K40" s="322"/>
      <c r="L40" s="323"/>
      <c r="Q40" s="165">
        <v>0</v>
      </c>
      <c r="R40">
        <f t="shared" si="18"/>
        <v>1449</v>
      </c>
    </row>
    <row r="43" spans="1:35" x14ac:dyDescent="0.25">
      <c r="A43" s="324" t="s">
        <v>330</v>
      </c>
      <c r="B43" s="325">
        <v>44325</v>
      </c>
      <c r="C43" s="325">
        <f>B43+7</f>
        <v>44332</v>
      </c>
      <c r="D43" s="325">
        <f t="shared" ref="D43:U43" si="19">C43+7</f>
        <v>44339</v>
      </c>
      <c r="E43" s="325">
        <f t="shared" si="19"/>
        <v>44346</v>
      </c>
      <c r="F43" s="325">
        <f t="shared" si="19"/>
        <v>44353</v>
      </c>
      <c r="G43" s="325">
        <f t="shared" si="19"/>
        <v>44360</v>
      </c>
      <c r="H43" s="325">
        <f t="shared" si="19"/>
        <v>44367</v>
      </c>
      <c r="I43" s="325">
        <f t="shared" si="19"/>
        <v>44374</v>
      </c>
      <c r="J43" s="325">
        <f t="shared" si="19"/>
        <v>44381</v>
      </c>
      <c r="K43" s="325">
        <f t="shared" si="19"/>
        <v>44388</v>
      </c>
      <c r="L43" s="325">
        <f t="shared" si="19"/>
        <v>44395</v>
      </c>
      <c r="M43" s="325">
        <f t="shared" si="19"/>
        <v>44402</v>
      </c>
      <c r="N43" s="325">
        <f t="shared" si="19"/>
        <v>44409</v>
      </c>
      <c r="O43" s="325">
        <f t="shared" si="19"/>
        <v>44416</v>
      </c>
      <c r="P43" s="325">
        <f t="shared" si="19"/>
        <v>44423</v>
      </c>
      <c r="Q43" s="325">
        <f t="shared" si="19"/>
        <v>44430</v>
      </c>
      <c r="R43" s="325">
        <f t="shared" si="19"/>
        <v>44437</v>
      </c>
      <c r="S43" s="325">
        <f t="shared" si="19"/>
        <v>44444</v>
      </c>
      <c r="T43" s="325">
        <f t="shared" si="19"/>
        <v>44451</v>
      </c>
      <c r="U43" s="325">
        <f t="shared" si="19"/>
        <v>44458</v>
      </c>
    </row>
    <row r="44" spans="1:35" x14ac:dyDescent="0.25">
      <c r="A44" s="324" t="s">
        <v>331</v>
      </c>
      <c r="B44" s="326"/>
      <c r="C44" s="326">
        <v>2</v>
      </c>
      <c r="D44" s="326">
        <v>3</v>
      </c>
      <c r="E44" s="326">
        <v>4</v>
      </c>
      <c r="F44" s="326">
        <v>5</v>
      </c>
      <c r="G44" s="326">
        <v>6</v>
      </c>
      <c r="H44" s="326">
        <v>7</v>
      </c>
      <c r="I44" s="326">
        <v>8</v>
      </c>
      <c r="J44" s="326">
        <v>9</v>
      </c>
      <c r="K44" s="326">
        <v>10</v>
      </c>
      <c r="L44" s="326">
        <v>11</v>
      </c>
      <c r="M44" s="326">
        <v>12</v>
      </c>
      <c r="N44" s="326">
        <v>13</v>
      </c>
      <c r="O44" s="326">
        <v>14</v>
      </c>
      <c r="P44" s="326">
        <v>15</v>
      </c>
      <c r="Q44" s="326">
        <v>16</v>
      </c>
      <c r="R44" s="326">
        <v>1</v>
      </c>
      <c r="S44" s="326">
        <v>2</v>
      </c>
      <c r="T44" s="326">
        <v>3</v>
      </c>
      <c r="U44" s="326">
        <v>4</v>
      </c>
    </row>
    <row r="45" spans="1:35" x14ac:dyDescent="0.25">
      <c r="A45" s="324" t="s">
        <v>332</v>
      </c>
      <c r="B45" s="326"/>
      <c r="C45" s="326" t="s">
        <v>334</v>
      </c>
      <c r="D45" s="326"/>
      <c r="E45" s="326" t="s">
        <v>334</v>
      </c>
      <c r="F45" s="326" t="s">
        <v>333</v>
      </c>
      <c r="G45" s="326"/>
      <c r="H45" s="326" t="s">
        <v>335</v>
      </c>
      <c r="I45" s="326"/>
      <c r="J45" s="326" t="s">
        <v>335</v>
      </c>
      <c r="K45" s="326"/>
      <c r="L45" s="326"/>
      <c r="M45" s="326" t="s">
        <v>335</v>
      </c>
      <c r="N45" s="326"/>
      <c r="O45" s="326" t="s">
        <v>335</v>
      </c>
      <c r="P45" s="326"/>
      <c r="Q45" s="326"/>
      <c r="R45" s="326" t="s">
        <v>335</v>
      </c>
      <c r="S45" s="326"/>
      <c r="T45" s="326" t="s">
        <v>335</v>
      </c>
      <c r="U45" s="326"/>
    </row>
    <row r="46" spans="1:35" x14ac:dyDescent="0.25">
      <c r="A46" s="324" t="s">
        <v>336</v>
      </c>
      <c r="B46" s="326"/>
      <c r="C46" s="326" t="s">
        <v>358</v>
      </c>
      <c r="D46" s="326"/>
      <c r="E46" s="326" t="s">
        <v>359</v>
      </c>
      <c r="F46" s="326" t="s">
        <v>360</v>
      </c>
      <c r="G46" s="326"/>
      <c r="H46" s="326" t="s">
        <v>361</v>
      </c>
      <c r="I46" s="326"/>
      <c r="J46" s="326" t="s">
        <v>362</v>
      </c>
      <c r="K46" s="326"/>
      <c r="L46" s="326"/>
      <c r="M46" s="326" t="s">
        <v>363</v>
      </c>
      <c r="N46" s="326"/>
      <c r="O46" s="326" t="s">
        <v>364</v>
      </c>
      <c r="P46" s="326"/>
      <c r="Q46" s="326"/>
      <c r="R46" s="326" t="s">
        <v>365</v>
      </c>
      <c r="S46" s="326"/>
      <c r="T46" s="326" t="s">
        <v>366</v>
      </c>
      <c r="U46" s="326"/>
    </row>
    <row r="47" spans="1:35" x14ac:dyDescent="0.25">
      <c r="A47" s="327" t="s">
        <v>169</v>
      </c>
      <c r="B47" s="328"/>
      <c r="C47" s="328">
        <v>0</v>
      </c>
      <c r="D47" s="328"/>
      <c r="E47" s="328">
        <v>0</v>
      </c>
      <c r="F47" s="341">
        <v>0</v>
      </c>
      <c r="G47" s="341"/>
      <c r="H47" s="341">
        <f>32817-32411</f>
        <v>406</v>
      </c>
      <c r="I47" s="341"/>
      <c r="J47" s="341">
        <v>0</v>
      </c>
      <c r="K47" s="341"/>
      <c r="L47" s="341"/>
      <c r="M47" s="329">
        <v>1912</v>
      </c>
      <c r="N47" s="341"/>
      <c r="O47" s="329">
        <v>1912</v>
      </c>
      <c r="P47" s="341"/>
      <c r="Q47" s="341"/>
      <c r="R47" s="341">
        <v>0</v>
      </c>
      <c r="S47" s="341"/>
      <c r="T47" s="341">
        <v>0</v>
      </c>
      <c r="U47" s="341"/>
    </row>
    <row r="48" spans="1:35" x14ac:dyDescent="0.25">
      <c r="A48" s="327" t="s">
        <v>337</v>
      </c>
      <c r="B48" s="328"/>
      <c r="C48" s="328">
        <v>0</v>
      </c>
      <c r="D48" s="328"/>
      <c r="E48" s="328">
        <f>12537-12440</f>
        <v>97</v>
      </c>
      <c r="F48" s="341">
        <v>0</v>
      </c>
      <c r="G48" s="341"/>
      <c r="H48" s="329">
        <v>880</v>
      </c>
      <c r="I48" s="341"/>
      <c r="J48" s="341">
        <v>0</v>
      </c>
      <c r="K48" s="341"/>
      <c r="L48" s="341"/>
      <c r="M48" s="329">
        <v>880</v>
      </c>
      <c r="N48" s="341"/>
      <c r="O48" s="329">
        <v>880</v>
      </c>
      <c r="P48" s="341"/>
      <c r="Q48" s="341"/>
      <c r="R48" s="329">
        <f>13320-12440</f>
        <v>880</v>
      </c>
      <c r="S48" s="341"/>
      <c r="T48" s="341">
        <v>0</v>
      </c>
      <c r="U48" s="341"/>
    </row>
    <row r="49" spans="1:21" x14ac:dyDescent="0.25">
      <c r="A49" s="327" t="s">
        <v>338</v>
      </c>
      <c r="B49" s="328"/>
      <c r="C49" s="328">
        <v>0</v>
      </c>
      <c r="D49" s="328"/>
      <c r="E49" s="328">
        <v>0</v>
      </c>
      <c r="F49" s="329">
        <f>11490-10488</f>
        <v>1002</v>
      </c>
      <c r="G49" s="341"/>
      <c r="H49" s="341">
        <v>0</v>
      </c>
      <c r="I49" s="341"/>
      <c r="J49" s="341">
        <v>0</v>
      </c>
      <c r="K49" s="341"/>
      <c r="L49" s="341"/>
      <c r="M49" s="329">
        <v>1002</v>
      </c>
      <c r="N49" s="341"/>
      <c r="O49" s="329">
        <v>1002</v>
      </c>
      <c r="P49" s="341"/>
      <c r="Q49" s="341"/>
      <c r="R49" s="341">
        <v>0</v>
      </c>
      <c r="S49" s="341"/>
      <c r="T49" s="341">
        <v>0</v>
      </c>
      <c r="U49" s="341"/>
    </row>
    <row r="50" spans="1:21" x14ac:dyDescent="0.25">
      <c r="A50" s="327" t="s">
        <v>339</v>
      </c>
      <c r="B50" s="328"/>
      <c r="C50" s="328">
        <v>0</v>
      </c>
      <c r="D50" s="328"/>
      <c r="E50" s="328">
        <v>0</v>
      </c>
      <c r="F50" s="341">
        <v>0</v>
      </c>
      <c r="G50" s="341"/>
      <c r="H50" s="329">
        <v>152</v>
      </c>
      <c r="I50" s="341"/>
      <c r="J50" s="341">
        <f>1324-1297</f>
        <v>27</v>
      </c>
      <c r="K50" s="341"/>
      <c r="L50" s="341"/>
      <c r="M50" s="329">
        <v>152</v>
      </c>
      <c r="N50" s="341"/>
      <c r="O50" s="329">
        <v>152</v>
      </c>
      <c r="P50" s="341"/>
      <c r="Q50" s="341"/>
      <c r="R50" s="329">
        <v>152</v>
      </c>
      <c r="S50" s="341"/>
      <c r="T50" s="341">
        <v>0</v>
      </c>
      <c r="U50" s="341"/>
    </row>
    <row r="51" spans="1:21" x14ac:dyDescent="0.25">
      <c r="A51" s="330" t="s">
        <v>340</v>
      </c>
      <c r="B51" s="331">
        <f>B47*$H$4</f>
        <v>0</v>
      </c>
      <c r="C51" s="331">
        <f t="shared" ref="C51:Q51" si="20">C47*$H$4</f>
        <v>0</v>
      </c>
      <c r="D51" s="331">
        <f t="shared" si="20"/>
        <v>0</v>
      </c>
      <c r="E51" s="331">
        <f t="shared" si="20"/>
        <v>0</v>
      </c>
      <c r="F51" s="331">
        <f t="shared" si="20"/>
        <v>0</v>
      </c>
      <c r="G51" s="331">
        <f t="shared" si="20"/>
        <v>0</v>
      </c>
      <c r="H51" s="331">
        <f t="shared" si="20"/>
        <v>2842</v>
      </c>
      <c r="I51" s="331">
        <f t="shared" si="20"/>
        <v>0</v>
      </c>
      <c r="J51" s="331">
        <f t="shared" si="20"/>
        <v>0</v>
      </c>
      <c r="K51" s="331">
        <f t="shared" si="20"/>
        <v>0</v>
      </c>
      <c r="L51" s="331">
        <f t="shared" si="20"/>
        <v>0</v>
      </c>
      <c r="M51" s="331">
        <f t="shared" si="20"/>
        <v>13384</v>
      </c>
      <c r="N51" s="331">
        <f t="shared" si="20"/>
        <v>0</v>
      </c>
      <c r="O51" s="331">
        <f t="shared" si="20"/>
        <v>13384</v>
      </c>
      <c r="P51" s="331">
        <f t="shared" si="20"/>
        <v>0</v>
      </c>
      <c r="Q51" s="331">
        <f t="shared" si="20"/>
        <v>0</v>
      </c>
      <c r="R51" s="331">
        <f t="shared" ref="R51:U51" si="21">R47*$H$4</f>
        <v>0</v>
      </c>
      <c r="S51" s="331">
        <f>S47*$H$4*0.5</f>
        <v>0</v>
      </c>
      <c r="T51" s="331">
        <f t="shared" si="21"/>
        <v>0</v>
      </c>
      <c r="U51" s="331">
        <f t="shared" si="21"/>
        <v>0</v>
      </c>
    </row>
    <row r="52" spans="1:21" x14ac:dyDescent="0.25">
      <c r="A52" s="330" t="s">
        <v>341</v>
      </c>
      <c r="B52" s="331">
        <f>B48*$H$5</f>
        <v>0</v>
      </c>
      <c r="C52" s="331">
        <f t="shared" ref="C52:Q52" si="22">C48*$H$5</f>
        <v>0</v>
      </c>
      <c r="D52" s="331">
        <f t="shared" si="22"/>
        <v>0</v>
      </c>
      <c r="E52" s="331">
        <f t="shared" si="22"/>
        <v>970</v>
      </c>
      <c r="F52" s="331">
        <f t="shared" si="22"/>
        <v>0</v>
      </c>
      <c r="G52" s="331">
        <f t="shared" si="22"/>
        <v>0</v>
      </c>
      <c r="H52" s="331">
        <f t="shared" si="22"/>
        <v>8800</v>
      </c>
      <c r="I52" s="331">
        <f t="shared" si="22"/>
        <v>0</v>
      </c>
      <c r="J52" s="331">
        <f t="shared" si="22"/>
        <v>0</v>
      </c>
      <c r="K52" s="331">
        <f t="shared" si="22"/>
        <v>0</v>
      </c>
      <c r="L52" s="331">
        <f t="shared" si="22"/>
        <v>0</v>
      </c>
      <c r="M52" s="331">
        <f t="shared" si="22"/>
        <v>8800</v>
      </c>
      <c r="N52" s="331">
        <f t="shared" si="22"/>
        <v>0</v>
      </c>
      <c r="O52" s="331">
        <f t="shared" si="22"/>
        <v>8800</v>
      </c>
      <c r="P52" s="331">
        <f t="shared" si="22"/>
        <v>0</v>
      </c>
      <c r="Q52" s="331">
        <f t="shared" si="22"/>
        <v>0</v>
      </c>
      <c r="R52" s="331">
        <f t="shared" ref="R52:U52" si="23">R48*$H$5</f>
        <v>8800</v>
      </c>
      <c r="S52" s="331">
        <f>S48*$H$5*0.5</f>
        <v>0</v>
      </c>
      <c r="T52" s="331">
        <f t="shared" si="23"/>
        <v>0</v>
      </c>
      <c r="U52" s="331">
        <f t="shared" si="23"/>
        <v>0</v>
      </c>
    </row>
    <row r="53" spans="1:21" x14ac:dyDescent="0.25">
      <c r="A53" s="330" t="s">
        <v>342</v>
      </c>
      <c r="B53" s="331">
        <f>B49*$H$6</f>
        <v>0</v>
      </c>
      <c r="C53" s="331">
        <f t="shared" ref="C53:Q53" si="24">C49*$H$6</f>
        <v>0</v>
      </c>
      <c r="D53" s="331">
        <f t="shared" si="24"/>
        <v>0</v>
      </c>
      <c r="E53" s="331">
        <f t="shared" si="24"/>
        <v>0</v>
      </c>
      <c r="F53" s="331">
        <f t="shared" si="24"/>
        <v>19038</v>
      </c>
      <c r="G53" s="331">
        <f t="shared" si="24"/>
        <v>0</v>
      </c>
      <c r="H53" s="331">
        <f t="shared" si="24"/>
        <v>0</v>
      </c>
      <c r="I53" s="331">
        <f t="shared" si="24"/>
        <v>0</v>
      </c>
      <c r="J53" s="331">
        <f t="shared" si="24"/>
        <v>0</v>
      </c>
      <c r="K53" s="331">
        <f t="shared" si="24"/>
        <v>0</v>
      </c>
      <c r="L53" s="331">
        <f t="shared" si="24"/>
        <v>0</v>
      </c>
      <c r="M53" s="331">
        <f t="shared" si="24"/>
        <v>19038</v>
      </c>
      <c r="N53" s="331">
        <f t="shared" si="24"/>
        <v>0</v>
      </c>
      <c r="O53" s="331">
        <f t="shared" si="24"/>
        <v>19038</v>
      </c>
      <c r="P53" s="331">
        <f t="shared" si="24"/>
        <v>0</v>
      </c>
      <c r="Q53" s="331">
        <f t="shared" si="24"/>
        <v>0</v>
      </c>
      <c r="R53" s="331">
        <f t="shared" ref="R53:U53" si="25">R49*$H$6</f>
        <v>0</v>
      </c>
      <c r="S53" s="331">
        <f>S49*$H$6*0.5</f>
        <v>0</v>
      </c>
      <c r="T53" s="331">
        <f t="shared" si="25"/>
        <v>0</v>
      </c>
      <c r="U53" s="331">
        <f t="shared" si="25"/>
        <v>0</v>
      </c>
    </row>
    <row r="54" spans="1:21" x14ac:dyDescent="0.25">
      <c r="A54" s="330" t="s">
        <v>343</v>
      </c>
      <c r="B54" s="331">
        <f>B50*$H$7</f>
        <v>0</v>
      </c>
      <c r="C54" s="331">
        <f t="shared" ref="C54:Q54" si="26">C50*$H$7</f>
        <v>0</v>
      </c>
      <c r="D54" s="331">
        <f t="shared" si="26"/>
        <v>0</v>
      </c>
      <c r="E54" s="331">
        <f t="shared" si="26"/>
        <v>0</v>
      </c>
      <c r="F54" s="331">
        <f t="shared" si="26"/>
        <v>0</v>
      </c>
      <c r="G54" s="331">
        <f t="shared" si="26"/>
        <v>0</v>
      </c>
      <c r="H54" s="331">
        <f t="shared" si="26"/>
        <v>5320</v>
      </c>
      <c r="I54" s="331">
        <f t="shared" si="26"/>
        <v>0</v>
      </c>
      <c r="J54" s="331">
        <f t="shared" si="26"/>
        <v>945</v>
      </c>
      <c r="K54" s="331">
        <f t="shared" si="26"/>
        <v>0</v>
      </c>
      <c r="L54" s="331">
        <f t="shared" si="26"/>
        <v>0</v>
      </c>
      <c r="M54" s="331">
        <f t="shared" si="26"/>
        <v>5320</v>
      </c>
      <c r="N54" s="331">
        <f t="shared" si="26"/>
        <v>0</v>
      </c>
      <c r="O54" s="331">
        <f t="shared" si="26"/>
        <v>5320</v>
      </c>
      <c r="P54" s="331">
        <f t="shared" si="26"/>
        <v>0</v>
      </c>
      <c r="Q54" s="331">
        <f t="shared" si="26"/>
        <v>0</v>
      </c>
      <c r="R54" s="331">
        <f t="shared" ref="R54:U54" si="27">R50*$H$7</f>
        <v>5320</v>
      </c>
      <c r="S54" s="331">
        <f>S50*$H$7*0.5</f>
        <v>0</v>
      </c>
      <c r="T54" s="331">
        <f t="shared" si="27"/>
        <v>0</v>
      </c>
      <c r="U54" s="331">
        <f t="shared" si="27"/>
        <v>0</v>
      </c>
    </row>
    <row r="55" spans="1:21" ht="15.75" x14ac:dyDescent="0.25">
      <c r="A55" s="332" t="s">
        <v>344</v>
      </c>
      <c r="B55" s="333">
        <f>B54+B53+B52+B51</f>
        <v>0</v>
      </c>
      <c r="C55" s="333">
        <f t="shared" ref="C55:Q55" si="28">C54+C53+C52+C51</f>
        <v>0</v>
      </c>
      <c r="D55" s="333">
        <f t="shared" si="28"/>
        <v>0</v>
      </c>
      <c r="E55" s="333">
        <f t="shared" si="28"/>
        <v>970</v>
      </c>
      <c r="F55" s="333">
        <f t="shared" si="28"/>
        <v>19038</v>
      </c>
      <c r="G55" s="333">
        <f t="shared" si="28"/>
        <v>0</v>
      </c>
      <c r="H55" s="333">
        <f t="shared" si="28"/>
        <v>16962</v>
      </c>
      <c r="I55" s="333">
        <f t="shared" si="28"/>
        <v>0</v>
      </c>
      <c r="J55" s="333">
        <f t="shared" si="28"/>
        <v>945</v>
      </c>
      <c r="K55" s="333">
        <f t="shared" si="28"/>
        <v>0</v>
      </c>
      <c r="L55" s="333">
        <f t="shared" si="28"/>
        <v>0</v>
      </c>
      <c r="M55" s="333">
        <f t="shared" si="28"/>
        <v>46542</v>
      </c>
      <c r="N55" s="333">
        <f t="shared" si="28"/>
        <v>0</v>
      </c>
      <c r="O55" s="333">
        <f t="shared" si="28"/>
        <v>46542</v>
      </c>
      <c r="P55" s="333">
        <f t="shared" si="28"/>
        <v>0</v>
      </c>
      <c r="Q55" s="333">
        <f t="shared" si="28"/>
        <v>0</v>
      </c>
      <c r="R55" s="333">
        <f t="shared" ref="R55:U55" si="29">R54+R53+R52+R51</f>
        <v>14120</v>
      </c>
      <c r="S55" s="333">
        <f t="shared" si="29"/>
        <v>0</v>
      </c>
      <c r="T55" s="333">
        <f t="shared" si="29"/>
        <v>0</v>
      </c>
      <c r="U55" s="333">
        <f t="shared" si="29"/>
        <v>0</v>
      </c>
    </row>
    <row r="56" spans="1:21" ht="15.75" x14ac:dyDescent="0.25">
      <c r="A56" s="332" t="s">
        <v>345</v>
      </c>
      <c r="B56" s="334">
        <f>B55</f>
        <v>0</v>
      </c>
      <c r="C56" s="333">
        <f>C55+B56</f>
        <v>0</v>
      </c>
      <c r="D56" s="333">
        <f t="shared" ref="D56:Q56" si="30">D55+C56</f>
        <v>0</v>
      </c>
      <c r="E56" s="333">
        <f t="shared" si="30"/>
        <v>970</v>
      </c>
      <c r="F56" s="333">
        <f t="shared" si="30"/>
        <v>20008</v>
      </c>
      <c r="G56" s="333">
        <f t="shared" si="30"/>
        <v>20008</v>
      </c>
      <c r="H56" s="333">
        <f t="shared" si="30"/>
        <v>36970</v>
      </c>
      <c r="I56" s="333">
        <f t="shared" si="30"/>
        <v>36970</v>
      </c>
      <c r="J56" s="333">
        <f t="shared" si="30"/>
        <v>37915</v>
      </c>
      <c r="K56" s="333">
        <f t="shared" si="30"/>
        <v>37915</v>
      </c>
      <c r="L56" s="333">
        <f t="shared" si="30"/>
        <v>37915</v>
      </c>
      <c r="M56" s="333">
        <f t="shared" si="30"/>
        <v>84457</v>
      </c>
      <c r="N56" s="333">
        <f t="shared" si="30"/>
        <v>84457</v>
      </c>
      <c r="O56" s="333">
        <f t="shared" si="30"/>
        <v>130999</v>
      </c>
      <c r="P56" s="333">
        <f t="shared" si="30"/>
        <v>130999</v>
      </c>
      <c r="Q56" s="333">
        <f t="shared" si="30"/>
        <v>130999</v>
      </c>
      <c r="R56" s="333">
        <f t="shared" ref="R56" si="31">R55+Q56</f>
        <v>145119</v>
      </c>
      <c r="S56" s="333">
        <f t="shared" ref="S56" si="32">S55+R56</f>
        <v>145119</v>
      </c>
      <c r="T56" s="333">
        <f t="shared" ref="T56" si="33">T55+S56</f>
        <v>145119</v>
      </c>
      <c r="U56" s="333">
        <f t="shared" ref="U56" si="34">U55+T56</f>
        <v>145119</v>
      </c>
    </row>
    <row r="57" spans="1:21" x14ac:dyDescent="0.25">
      <c r="A57" s="335" t="s">
        <v>346</v>
      </c>
      <c r="B57" s="336">
        <f>C37*D4</f>
        <v>86040</v>
      </c>
      <c r="C57" s="337">
        <v>0</v>
      </c>
      <c r="D57" s="337">
        <f t="shared" ref="D57:Q62" si="35">C57</f>
        <v>0</v>
      </c>
      <c r="E57" s="337">
        <f t="shared" si="35"/>
        <v>0</v>
      </c>
      <c r="F57" s="337">
        <f t="shared" si="35"/>
        <v>0</v>
      </c>
      <c r="G57" s="337">
        <f t="shared" si="35"/>
        <v>0</v>
      </c>
      <c r="H57" s="337">
        <f t="shared" si="35"/>
        <v>0</v>
      </c>
      <c r="I57" s="337">
        <f t="shared" si="35"/>
        <v>0</v>
      </c>
      <c r="J57" s="337">
        <f t="shared" si="35"/>
        <v>0</v>
      </c>
      <c r="K57" s="337">
        <f t="shared" si="35"/>
        <v>0</v>
      </c>
      <c r="L57" s="337">
        <f t="shared" si="35"/>
        <v>0</v>
      </c>
      <c r="M57" s="337">
        <f t="shared" si="35"/>
        <v>0</v>
      </c>
      <c r="N57" s="337">
        <f t="shared" si="35"/>
        <v>0</v>
      </c>
      <c r="O57" s="337">
        <f t="shared" si="35"/>
        <v>0</v>
      </c>
      <c r="P57" s="337">
        <f t="shared" si="35"/>
        <v>0</v>
      </c>
      <c r="Q57" s="337">
        <f>Q37*D4</f>
        <v>24660</v>
      </c>
      <c r="R57" s="337">
        <v>0</v>
      </c>
      <c r="S57" s="337">
        <f>R57</f>
        <v>0</v>
      </c>
      <c r="T57" s="337">
        <f t="shared" ref="T57:U57" si="36">S57</f>
        <v>0</v>
      </c>
      <c r="U57" s="337">
        <f t="shared" si="36"/>
        <v>0</v>
      </c>
    </row>
    <row r="58" spans="1:21" x14ac:dyDescent="0.25">
      <c r="A58" s="335" t="s">
        <v>347</v>
      </c>
      <c r="B58" s="336">
        <f>C38*D5</f>
        <v>66000</v>
      </c>
      <c r="C58" s="337">
        <v>0</v>
      </c>
      <c r="D58" s="337">
        <f t="shared" si="35"/>
        <v>0</v>
      </c>
      <c r="E58" s="337">
        <f t="shared" si="35"/>
        <v>0</v>
      </c>
      <c r="F58" s="337">
        <f t="shared" si="35"/>
        <v>0</v>
      </c>
      <c r="G58" s="337">
        <f t="shared" si="35"/>
        <v>0</v>
      </c>
      <c r="H58" s="337">
        <f t="shared" si="35"/>
        <v>0</v>
      </c>
      <c r="I58" s="337">
        <f t="shared" si="35"/>
        <v>0</v>
      </c>
      <c r="J58" s="337">
        <f t="shared" si="35"/>
        <v>0</v>
      </c>
      <c r="K58" s="337">
        <f t="shared" si="35"/>
        <v>0</v>
      </c>
      <c r="L58" s="337">
        <f t="shared" si="35"/>
        <v>0</v>
      </c>
      <c r="M58" s="337">
        <f t="shared" si="35"/>
        <v>0</v>
      </c>
      <c r="N58" s="337">
        <f t="shared" si="35"/>
        <v>0</v>
      </c>
      <c r="O58" s="337">
        <f t="shared" si="35"/>
        <v>0</v>
      </c>
      <c r="P58" s="337">
        <f t="shared" si="35"/>
        <v>0</v>
      </c>
      <c r="Q58" s="337">
        <f t="shared" ref="Q58:Q60" si="37">Q38*D5</f>
        <v>122250</v>
      </c>
      <c r="R58" s="337">
        <v>0</v>
      </c>
      <c r="S58" s="337">
        <f t="shared" ref="S58:U61" si="38">R58</f>
        <v>0</v>
      </c>
      <c r="T58" s="337">
        <f t="shared" si="38"/>
        <v>0</v>
      </c>
      <c r="U58" s="337">
        <f t="shared" si="38"/>
        <v>0</v>
      </c>
    </row>
    <row r="59" spans="1:21" x14ac:dyDescent="0.25">
      <c r="A59" s="335" t="s">
        <v>348</v>
      </c>
      <c r="B59" s="336">
        <f>C39*D6</f>
        <v>90180</v>
      </c>
      <c r="C59" s="337">
        <v>0</v>
      </c>
      <c r="D59" s="337">
        <f t="shared" si="35"/>
        <v>0</v>
      </c>
      <c r="E59" s="337">
        <f t="shared" si="35"/>
        <v>0</v>
      </c>
      <c r="F59" s="337">
        <f t="shared" si="35"/>
        <v>0</v>
      </c>
      <c r="G59" s="337">
        <f t="shared" si="35"/>
        <v>0</v>
      </c>
      <c r="H59" s="337">
        <f t="shared" si="35"/>
        <v>0</v>
      </c>
      <c r="I59" s="337">
        <f t="shared" si="35"/>
        <v>0</v>
      </c>
      <c r="J59" s="337">
        <f t="shared" si="35"/>
        <v>0</v>
      </c>
      <c r="K59" s="337">
        <f t="shared" si="35"/>
        <v>0</v>
      </c>
      <c r="L59" s="337">
        <f t="shared" si="35"/>
        <v>0</v>
      </c>
      <c r="M59" s="337">
        <f t="shared" si="35"/>
        <v>0</v>
      </c>
      <c r="N59" s="337">
        <f t="shared" si="35"/>
        <v>0</v>
      </c>
      <c r="O59" s="337">
        <f t="shared" si="35"/>
        <v>0</v>
      </c>
      <c r="P59" s="337">
        <f t="shared" si="35"/>
        <v>0</v>
      </c>
      <c r="Q59" s="337">
        <f t="shared" si="37"/>
        <v>206100</v>
      </c>
      <c r="R59" s="337">
        <v>0</v>
      </c>
      <c r="S59" s="337">
        <f t="shared" si="38"/>
        <v>0</v>
      </c>
      <c r="T59" s="337">
        <f t="shared" si="38"/>
        <v>0</v>
      </c>
      <c r="U59" s="337">
        <f t="shared" si="38"/>
        <v>0</v>
      </c>
    </row>
    <row r="60" spans="1:21" x14ac:dyDescent="0.25">
      <c r="A60" s="335" t="s">
        <v>349</v>
      </c>
      <c r="B60" s="336">
        <f>C40*D7</f>
        <v>45600</v>
      </c>
      <c r="C60" s="337">
        <v>0</v>
      </c>
      <c r="D60" s="337">
        <f t="shared" si="35"/>
        <v>0</v>
      </c>
      <c r="E60" s="337">
        <f t="shared" si="35"/>
        <v>0</v>
      </c>
      <c r="F60" s="337">
        <f t="shared" si="35"/>
        <v>0</v>
      </c>
      <c r="G60" s="337">
        <f t="shared" si="35"/>
        <v>0</v>
      </c>
      <c r="H60" s="337">
        <f t="shared" si="35"/>
        <v>0</v>
      </c>
      <c r="I60" s="337">
        <f t="shared" si="35"/>
        <v>0</v>
      </c>
      <c r="J60" s="337">
        <f t="shared" si="35"/>
        <v>0</v>
      </c>
      <c r="K60" s="337">
        <f t="shared" si="35"/>
        <v>0</v>
      </c>
      <c r="L60" s="337">
        <f t="shared" si="35"/>
        <v>0</v>
      </c>
      <c r="M60" s="337">
        <f t="shared" si="35"/>
        <v>0</v>
      </c>
      <c r="N60" s="337">
        <f t="shared" si="35"/>
        <v>0</v>
      </c>
      <c r="O60" s="337">
        <f t="shared" si="35"/>
        <v>0</v>
      </c>
      <c r="P60" s="337">
        <f t="shared" si="35"/>
        <v>0</v>
      </c>
      <c r="Q60" s="337">
        <f t="shared" si="37"/>
        <v>0</v>
      </c>
      <c r="R60" s="337">
        <v>0</v>
      </c>
      <c r="S60" s="337">
        <f t="shared" si="38"/>
        <v>0</v>
      </c>
      <c r="T60" s="337">
        <f t="shared" si="38"/>
        <v>0</v>
      </c>
      <c r="U60" s="337">
        <f t="shared" si="38"/>
        <v>0</v>
      </c>
    </row>
    <row r="61" spans="1:21" x14ac:dyDescent="0.25">
      <c r="A61" s="335" t="s">
        <v>357</v>
      </c>
      <c r="B61" s="336">
        <v>10000</v>
      </c>
      <c r="C61" s="337">
        <v>0</v>
      </c>
      <c r="D61" s="337">
        <v>0</v>
      </c>
      <c r="E61" s="337">
        <f t="shared" si="35"/>
        <v>0</v>
      </c>
      <c r="F61" s="337">
        <f t="shared" si="35"/>
        <v>0</v>
      </c>
      <c r="G61" s="337">
        <f t="shared" si="35"/>
        <v>0</v>
      </c>
      <c r="H61" s="337">
        <f t="shared" si="35"/>
        <v>0</v>
      </c>
      <c r="I61" s="337">
        <f t="shared" si="35"/>
        <v>0</v>
      </c>
      <c r="J61" s="337">
        <f t="shared" si="35"/>
        <v>0</v>
      </c>
      <c r="K61" s="337">
        <f t="shared" si="35"/>
        <v>0</v>
      </c>
      <c r="L61" s="337">
        <f t="shared" si="35"/>
        <v>0</v>
      </c>
      <c r="M61" s="337">
        <f t="shared" si="35"/>
        <v>0</v>
      </c>
      <c r="N61" s="337">
        <f t="shared" si="35"/>
        <v>0</v>
      </c>
      <c r="O61" s="337">
        <f t="shared" si="35"/>
        <v>0</v>
      </c>
      <c r="P61" s="337">
        <f t="shared" si="35"/>
        <v>0</v>
      </c>
      <c r="Q61" s="337">
        <v>10000</v>
      </c>
      <c r="R61" s="337">
        <v>0</v>
      </c>
      <c r="S61" s="337">
        <f t="shared" si="38"/>
        <v>0</v>
      </c>
      <c r="T61" s="337">
        <f t="shared" si="38"/>
        <v>0</v>
      </c>
      <c r="U61" s="337">
        <f t="shared" si="38"/>
        <v>0</v>
      </c>
    </row>
    <row r="62" spans="1:21" x14ac:dyDescent="0.25">
      <c r="A62" s="335" t="s">
        <v>350</v>
      </c>
      <c r="B62" s="336">
        <f>C37*F4</f>
        <v>956</v>
      </c>
      <c r="C62" s="337">
        <f>B62</f>
        <v>956</v>
      </c>
      <c r="D62" s="337">
        <f t="shared" si="35"/>
        <v>956</v>
      </c>
      <c r="E62" s="337">
        <f t="shared" si="35"/>
        <v>956</v>
      </c>
      <c r="F62" s="337">
        <f t="shared" si="35"/>
        <v>956</v>
      </c>
      <c r="G62" s="337">
        <f t="shared" si="35"/>
        <v>956</v>
      </c>
      <c r="H62" s="337">
        <f t="shared" si="35"/>
        <v>956</v>
      </c>
      <c r="I62" s="337">
        <f t="shared" si="35"/>
        <v>956</v>
      </c>
      <c r="J62" s="337">
        <f t="shared" si="35"/>
        <v>956</v>
      </c>
      <c r="K62" s="337">
        <f t="shared" si="35"/>
        <v>956</v>
      </c>
      <c r="L62" s="337">
        <f t="shared" si="35"/>
        <v>956</v>
      </c>
      <c r="M62" s="337">
        <f t="shared" si="35"/>
        <v>956</v>
      </c>
      <c r="N62" s="337">
        <f t="shared" si="35"/>
        <v>956</v>
      </c>
      <c r="O62" s="337">
        <f t="shared" si="35"/>
        <v>956</v>
      </c>
      <c r="P62" s="337">
        <f t="shared" si="35"/>
        <v>956</v>
      </c>
      <c r="Q62" s="337">
        <f t="shared" si="35"/>
        <v>956</v>
      </c>
      <c r="R62" s="337">
        <f t="shared" ref="R62:R65" si="39">Q62</f>
        <v>956</v>
      </c>
      <c r="S62" s="337">
        <f t="shared" ref="S62:S65" si="40">R62</f>
        <v>956</v>
      </c>
      <c r="T62" s="337">
        <f t="shared" ref="T62:T65" si="41">S62</f>
        <v>956</v>
      </c>
      <c r="U62" s="337">
        <f t="shared" ref="U62:U65" si="42">T62</f>
        <v>956</v>
      </c>
    </row>
    <row r="63" spans="1:21" x14ac:dyDescent="0.25">
      <c r="A63" s="335" t="s">
        <v>351</v>
      </c>
      <c r="B63" s="336">
        <f>C38*F5</f>
        <v>616</v>
      </c>
      <c r="C63" s="337">
        <f t="shared" ref="C63:Q65" si="43">B63</f>
        <v>616</v>
      </c>
      <c r="D63" s="337">
        <f t="shared" si="43"/>
        <v>616</v>
      </c>
      <c r="E63" s="337">
        <f t="shared" si="43"/>
        <v>616</v>
      </c>
      <c r="F63" s="337">
        <f t="shared" si="43"/>
        <v>616</v>
      </c>
      <c r="G63" s="337">
        <f t="shared" si="43"/>
        <v>616</v>
      </c>
      <c r="H63" s="337">
        <f t="shared" si="43"/>
        <v>616</v>
      </c>
      <c r="I63" s="337">
        <f t="shared" si="43"/>
        <v>616</v>
      </c>
      <c r="J63" s="337">
        <f t="shared" si="43"/>
        <v>616</v>
      </c>
      <c r="K63" s="337">
        <f t="shared" si="43"/>
        <v>616</v>
      </c>
      <c r="L63" s="337">
        <f t="shared" si="43"/>
        <v>616</v>
      </c>
      <c r="M63" s="337">
        <f t="shared" si="43"/>
        <v>616</v>
      </c>
      <c r="N63" s="337">
        <f t="shared" si="43"/>
        <v>616</v>
      </c>
      <c r="O63" s="337">
        <f t="shared" si="43"/>
        <v>616</v>
      </c>
      <c r="P63" s="337">
        <f t="shared" si="43"/>
        <v>616</v>
      </c>
      <c r="Q63" s="337">
        <f t="shared" si="43"/>
        <v>616</v>
      </c>
      <c r="R63" s="337">
        <f t="shared" si="39"/>
        <v>616</v>
      </c>
      <c r="S63" s="337">
        <f t="shared" si="40"/>
        <v>616</v>
      </c>
      <c r="T63" s="337">
        <f t="shared" si="41"/>
        <v>616</v>
      </c>
      <c r="U63" s="337">
        <f t="shared" si="42"/>
        <v>616</v>
      </c>
    </row>
    <row r="64" spans="1:21" x14ac:dyDescent="0.25">
      <c r="A64" s="335" t="s">
        <v>352</v>
      </c>
      <c r="B64" s="336">
        <f>C39*F6</f>
        <v>1002</v>
      </c>
      <c r="C64" s="337">
        <f t="shared" si="43"/>
        <v>1002</v>
      </c>
      <c r="D64" s="337">
        <f t="shared" si="43"/>
        <v>1002</v>
      </c>
      <c r="E64" s="337">
        <f t="shared" si="43"/>
        <v>1002</v>
      </c>
      <c r="F64" s="337">
        <f t="shared" si="43"/>
        <v>1002</v>
      </c>
      <c r="G64" s="337">
        <f t="shared" si="43"/>
        <v>1002</v>
      </c>
      <c r="H64" s="337">
        <f t="shared" si="43"/>
        <v>1002</v>
      </c>
      <c r="I64" s="337">
        <f t="shared" si="43"/>
        <v>1002</v>
      </c>
      <c r="J64" s="337">
        <f t="shared" si="43"/>
        <v>1002</v>
      </c>
      <c r="K64" s="337">
        <f t="shared" si="43"/>
        <v>1002</v>
      </c>
      <c r="L64" s="337">
        <f t="shared" si="43"/>
        <v>1002</v>
      </c>
      <c r="M64" s="337">
        <f t="shared" si="43"/>
        <v>1002</v>
      </c>
      <c r="N64" s="337">
        <f t="shared" si="43"/>
        <v>1002</v>
      </c>
      <c r="O64" s="337">
        <f t="shared" si="43"/>
        <v>1002</v>
      </c>
      <c r="P64" s="337">
        <f t="shared" si="43"/>
        <v>1002</v>
      </c>
      <c r="Q64" s="337">
        <f t="shared" si="43"/>
        <v>1002</v>
      </c>
      <c r="R64" s="337">
        <f t="shared" si="39"/>
        <v>1002</v>
      </c>
      <c r="S64" s="337">
        <f t="shared" si="40"/>
        <v>1002</v>
      </c>
      <c r="T64" s="337">
        <f t="shared" si="41"/>
        <v>1002</v>
      </c>
      <c r="U64" s="337">
        <f t="shared" si="42"/>
        <v>1002</v>
      </c>
    </row>
    <row r="65" spans="1:21" x14ac:dyDescent="0.25">
      <c r="A65" s="335" t="s">
        <v>353</v>
      </c>
      <c r="B65" s="336">
        <f>C40*F7</f>
        <v>380</v>
      </c>
      <c r="C65" s="337">
        <f t="shared" si="43"/>
        <v>380</v>
      </c>
      <c r="D65" s="337">
        <f t="shared" si="43"/>
        <v>380</v>
      </c>
      <c r="E65" s="337">
        <f t="shared" si="43"/>
        <v>380</v>
      </c>
      <c r="F65" s="337">
        <f t="shared" si="43"/>
        <v>380</v>
      </c>
      <c r="G65" s="337">
        <f t="shared" si="43"/>
        <v>380</v>
      </c>
      <c r="H65" s="337">
        <f t="shared" si="43"/>
        <v>380</v>
      </c>
      <c r="I65" s="337">
        <f t="shared" si="43"/>
        <v>380</v>
      </c>
      <c r="J65" s="337">
        <f t="shared" si="43"/>
        <v>380</v>
      </c>
      <c r="K65" s="337">
        <f t="shared" si="43"/>
        <v>380</v>
      </c>
      <c r="L65" s="337">
        <f t="shared" si="43"/>
        <v>380</v>
      </c>
      <c r="M65" s="337">
        <f t="shared" si="43"/>
        <v>380</v>
      </c>
      <c r="N65" s="337">
        <f t="shared" si="43"/>
        <v>380</v>
      </c>
      <c r="O65" s="337">
        <f t="shared" si="43"/>
        <v>380</v>
      </c>
      <c r="P65" s="337">
        <f t="shared" si="43"/>
        <v>380</v>
      </c>
      <c r="Q65" s="337">
        <f t="shared" si="43"/>
        <v>380</v>
      </c>
      <c r="R65" s="337">
        <f t="shared" si="39"/>
        <v>380</v>
      </c>
      <c r="S65" s="337">
        <f t="shared" si="40"/>
        <v>380</v>
      </c>
      <c r="T65" s="337">
        <f t="shared" si="41"/>
        <v>380</v>
      </c>
      <c r="U65" s="337">
        <f t="shared" si="42"/>
        <v>380</v>
      </c>
    </row>
    <row r="66" spans="1:21" ht="15.75" x14ac:dyDescent="0.25">
      <c r="A66" s="338" t="s">
        <v>354</v>
      </c>
      <c r="B66" s="339">
        <f>SUM(B57:B65)</f>
        <v>300774</v>
      </c>
      <c r="C66" s="339">
        <f t="shared" ref="C66:Q66" si="44">SUM(C57:C65)</f>
        <v>2954</v>
      </c>
      <c r="D66" s="339">
        <f t="shared" si="44"/>
        <v>2954</v>
      </c>
      <c r="E66" s="339">
        <f t="shared" si="44"/>
        <v>2954</v>
      </c>
      <c r="F66" s="339">
        <f t="shared" si="44"/>
        <v>2954</v>
      </c>
      <c r="G66" s="339">
        <f t="shared" si="44"/>
        <v>2954</v>
      </c>
      <c r="H66" s="339">
        <f t="shared" si="44"/>
        <v>2954</v>
      </c>
      <c r="I66" s="339">
        <f t="shared" si="44"/>
        <v>2954</v>
      </c>
      <c r="J66" s="339">
        <f t="shared" si="44"/>
        <v>2954</v>
      </c>
      <c r="K66" s="339">
        <f t="shared" si="44"/>
        <v>2954</v>
      </c>
      <c r="L66" s="339">
        <f t="shared" si="44"/>
        <v>2954</v>
      </c>
      <c r="M66" s="339">
        <f t="shared" si="44"/>
        <v>2954</v>
      </c>
      <c r="N66" s="339">
        <f t="shared" si="44"/>
        <v>2954</v>
      </c>
      <c r="O66" s="339">
        <f t="shared" si="44"/>
        <v>2954</v>
      </c>
      <c r="P66" s="339">
        <f t="shared" si="44"/>
        <v>2954</v>
      </c>
      <c r="Q66" s="339">
        <f t="shared" si="44"/>
        <v>365964</v>
      </c>
      <c r="R66" s="339">
        <f t="shared" ref="R66:U66" si="45">SUM(R57:R65)</f>
        <v>2954</v>
      </c>
      <c r="S66" s="339">
        <f t="shared" si="45"/>
        <v>2954</v>
      </c>
      <c r="T66" s="339">
        <f t="shared" si="45"/>
        <v>2954</v>
      </c>
      <c r="U66" s="339">
        <f t="shared" si="45"/>
        <v>2954</v>
      </c>
    </row>
    <row r="67" spans="1:21" ht="15.75" x14ac:dyDescent="0.25">
      <c r="A67" s="338" t="s">
        <v>355</v>
      </c>
      <c r="B67" s="340">
        <f>B66</f>
        <v>300774</v>
      </c>
      <c r="C67" s="340">
        <f>B67+C66</f>
        <v>303728</v>
      </c>
      <c r="D67" s="340">
        <f t="shared" ref="D67:Q67" si="46">C67+D66</f>
        <v>306682</v>
      </c>
      <c r="E67" s="340">
        <f t="shared" si="46"/>
        <v>309636</v>
      </c>
      <c r="F67" s="340">
        <f t="shared" si="46"/>
        <v>312590</v>
      </c>
      <c r="G67" s="340">
        <f t="shared" si="46"/>
        <v>315544</v>
      </c>
      <c r="H67" s="340">
        <f t="shared" si="46"/>
        <v>318498</v>
      </c>
      <c r="I67" s="340">
        <f t="shared" si="46"/>
        <v>321452</v>
      </c>
      <c r="J67" s="340">
        <f t="shared" si="46"/>
        <v>324406</v>
      </c>
      <c r="K67" s="340">
        <f t="shared" si="46"/>
        <v>327360</v>
      </c>
      <c r="L67" s="340">
        <f t="shared" si="46"/>
        <v>330314</v>
      </c>
      <c r="M67" s="340">
        <f t="shared" si="46"/>
        <v>333268</v>
      </c>
      <c r="N67" s="340">
        <f t="shared" si="46"/>
        <v>336222</v>
      </c>
      <c r="O67" s="340">
        <f t="shared" si="46"/>
        <v>339176</v>
      </c>
      <c r="P67" s="340">
        <f t="shared" si="46"/>
        <v>342130</v>
      </c>
      <c r="Q67" s="340">
        <f t="shared" si="46"/>
        <v>708094</v>
      </c>
      <c r="R67" s="340">
        <f t="shared" ref="R67" si="47">Q67+R66</f>
        <v>711048</v>
      </c>
      <c r="S67" s="340">
        <f t="shared" ref="S67" si="48">R67+S66</f>
        <v>714002</v>
      </c>
      <c r="T67" s="340">
        <f t="shared" ref="T67" si="49">S67+T66</f>
        <v>716956</v>
      </c>
      <c r="U67" s="340">
        <f t="shared" ref="U67" si="50">T67+U66</f>
        <v>719910</v>
      </c>
    </row>
    <row r="68" spans="1:21" x14ac:dyDescent="0.25">
      <c r="A68" s="335" t="s">
        <v>356</v>
      </c>
      <c r="B68" s="337">
        <f t="shared" ref="B68:Q68" si="51">B56-B67</f>
        <v>-300774</v>
      </c>
      <c r="C68" s="337">
        <f t="shared" si="51"/>
        <v>-303728</v>
      </c>
      <c r="D68" s="337">
        <f t="shared" si="51"/>
        <v>-306682</v>
      </c>
      <c r="E68" s="337">
        <f t="shared" si="51"/>
        <v>-308666</v>
      </c>
      <c r="F68" s="337">
        <f t="shared" si="51"/>
        <v>-292582</v>
      </c>
      <c r="G68" s="337">
        <f t="shared" si="51"/>
        <v>-295536</v>
      </c>
      <c r="H68" s="337">
        <f t="shared" si="51"/>
        <v>-281528</v>
      </c>
      <c r="I68" s="337">
        <f t="shared" si="51"/>
        <v>-284482</v>
      </c>
      <c r="J68" s="337">
        <f t="shared" si="51"/>
        <v>-286491</v>
      </c>
      <c r="K68" s="337">
        <f t="shared" si="51"/>
        <v>-289445</v>
      </c>
      <c r="L68" s="337">
        <f t="shared" si="51"/>
        <v>-292399</v>
      </c>
      <c r="M68" s="337">
        <f t="shared" si="51"/>
        <v>-248811</v>
      </c>
      <c r="N68" s="337">
        <f t="shared" si="51"/>
        <v>-251765</v>
      </c>
      <c r="O68" s="337">
        <f t="shared" si="51"/>
        <v>-208177</v>
      </c>
      <c r="P68" s="337">
        <f t="shared" si="51"/>
        <v>-211131</v>
      </c>
      <c r="Q68" s="337">
        <f t="shared" si="51"/>
        <v>-577095</v>
      </c>
      <c r="R68" s="337">
        <f t="shared" ref="R68" si="52">R56-R67</f>
        <v>-565929</v>
      </c>
      <c r="S68" s="337">
        <f t="shared" ref="S68" si="53">S56-S67</f>
        <v>-568883</v>
      </c>
      <c r="T68" s="337">
        <f t="shared" ref="T68" si="54">T56-T67</f>
        <v>-571837</v>
      </c>
      <c r="U68" s="337">
        <f t="shared" ref="U68" si="55">U56-U67</f>
        <v>-574791</v>
      </c>
    </row>
  </sheetData>
  <mergeCells count="3">
    <mergeCell ref="D2:E2"/>
    <mergeCell ref="F2:G2"/>
    <mergeCell ref="H2:I2"/>
  </mergeCells>
  <conditionalFormatting sqref="B32:AD32">
    <cfRule type="cellIs" dxfId="3" priority="3" operator="lessThan">
      <formula>0</formula>
    </cfRule>
  </conditionalFormatting>
  <conditionalFormatting sqref="B32:AD32">
    <cfRule type="cellIs" dxfId="2" priority="4" operator="greaterThan">
      <formula>0</formula>
    </cfRule>
  </conditionalFormatting>
  <conditionalFormatting sqref="B68:U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D5B5-5733-4C09-9B6A-B07F51076F2A}">
  <sheetPr>
    <tabColor rgb="FFFBE3D5"/>
  </sheetPr>
  <dimension ref="A1:J14"/>
  <sheetViews>
    <sheetView topLeftCell="A7" workbookViewId="0">
      <selection activeCell="C12" sqref="C12"/>
    </sheetView>
  </sheetViews>
  <sheetFormatPr baseColWidth="10" defaultRowHeight="15" x14ac:dyDescent="0.25"/>
  <cols>
    <col min="1" max="1" width="13.42578125" bestFit="1" customWidth="1"/>
    <col min="2" max="2" width="90.5703125" customWidth="1"/>
    <col min="3" max="3" width="13" style="343" bestFit="1" customWidth="1"/>
    <col min="4" max="4" width="11.42578125" style="343"/>
  </cols>
  <sheetData>
    <row r="1" spans="1:10" s="9" customFormat="1" x14ac:dyDescent="0.25">
      <c r="A1" s="9" t="s">
        <v>375</v>
      </c>
      <c r="C1" s="343"/>
      <c r="D1" s="343"/>
    </row>
    <row r="2" spans="1:10" x14ac:dyDescent="0.25">
      <c r="A2" t="s">
        <v>376</v>
      </c>
      <c r="B2" t="s">
        <v>377</v>
      </c>
      <c r="C2" s="343">
        <f>14*58500</f>
        <v>819000</v>
      </c>
    </row>
    <row r="3" spans="1:10" x14ac:dyDescent="0.25">
      <c r="A3" t="s">
        <v>378</v>
      </c>
      <c r="B3" t="s">
        <v>379</v>
      </c>
      <c r="C3" s="343">
        <v>1060000</v>
      </c>
    </row>
    <row r="4" spans="1:10" ht="30" x14ac:dyDescent="0.25">
      <c r="A4" t="s">
        <v>245</v>
      </c>
      <c r="B4" s="109" t="s">
        <v>380</v>
      </c>
      <c r="C4" s="343">
        <f>47500*10</f>
        <v>475000</v>
      </c>
      <c r="D4" s="343">
        <f>5*43500</f>
        <v>217500</v>
      </c>
    </row>
    <row r="5" spans="1:10" ht="30" x14ac:dyDescent="0.25">
      <c r="A5" t="s">
        <v>381</v>
      </c>
      <c r="B5" s="109" t="s">
        <v>382</v>
      </c>
      <c r="C5" s="343">
        <f>49*9500</f>
        <v>465500</v>
      </c>
      <c r="D5" s="343">
        <v>370000</v>
      </c>
      <c r="F5" s="344" t="s">
        <v>385</v>
      </c>
      <c r="G5" s="344"/>
    </row>
    <row r="6" spans="1:10" ht="30" x14ac:dyDescent="0.25">
      <c r="A6" t="s">
        <v>383</v>
      </c>
      <c r="B6" s="109" t="s">
        <v>384</v>
      </c>
      <c r="C6" s="343">
        <f>5*76500</f>
        <v>382500</v>
      </c>
      <c r="D6" s="343">
        <f>4*87500</f>
        <v>350000</v>
      </c>
    </row>
    <row r="9" spans="1:10" x14ac:dyDescent="0.25">
      <c r="A9" s="9" t="s">
        <v>375</v>
      </c>
      <c r="B9" s="9"/>
      <c r="E9" s="9"/>
      <c r="F9" s="9"/>
      <c r="G9" s="9"/>
      <c r="H9" s="9"/>
      <c r="I9" s="9"/>
      <c r="J9" s="9"/>
    </row>
    <row r="10" spans="1:10" x14ac:dyDescent="0.25">
      <c r="A10" t="s">
        <v>389</v>
      </c>
      <c r="B10" t="s">
        <v>390</v>
      </c>
      <c r="C10" s="343">
        <f>14*60000</f>
        <v>840000</v>
      </c>
    </row>
    <row r="11" spans="1:10" x14ac:dyDescent="0.25">
      <c r="A11" t="s">
        <v>391</v>
      </c>
      <c r="B11" t="s">
        <v>392</v>
      </c>
      <c r="C11" s="343">
        <f>131000*7</f>
        <v>917000</v>
      </c>
    </row>
    <row r="12" spans="1:10" ht="30" x14ac:dyDescent="0.25">
      <c r="A12" t="s">
        <v>393</v>
      </c>
      <c r="B12" s="109" t="s">
        <v>394</v>
      </c>
      <c r="C12" s="343">
        <f>50500*10</f>
        <v>505000</v>
      </c>
      <c r="D12" s="343">
        <f>4*14*6500</f>
        <v>364000</v>
      </c>
    </row>
    <row r="13" spans="1:10" ht="60" x14ac:dyDescent="0.25">
      <c r="A13" t="s">
        <v>395</v>
      </c>
      <c r="B13" s="109" t="s">
        <v>396</v>
      </c>
      <c r="C13" s="343">
        <f>21500*30</f>
        <v>645000</v>
      </c>
      <c r="D13" s="343">
        <f>72000*6</f>
        <v>432000</v>
      </c>
      <c r="F13" s="344"/>
      <c r="G13" s="344"/>
    </row>
    <row r="14" spans="1:10" ht="45" x14ac:dyDescent="0.25">
      <c r="A14" t="s">
        <v>398</v>
      </c>
      <c r="B14" s="109" t="s">
        <v>397</v>
      </c>
      <c r="C14" s="343">
        <f>94500*6</f>
        <v>567000</v>
      </c>
      <c r="D14" s="343">
        <f>28000*11</f>
        <v>308000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46</v>
      </c>
      <c r="B1" s="32" t="s">
        <v>47</v>
      </c>
      <c r="C1" s="32" t="s">
        <v>48</v>
      </c>
      <c r="D1" s="32" t="s">
        <v>209</v>
      </c>
      <c r="E1" s="32" t="s">
        <v>210</v>
      </c>
      <c r="L1" s="9" t="s">
        <v>211</v>
      </c>
      <c r="M1" s="9" t="s">
        <v>212</v>
      </c>
      <c r="N1" s="9" t="s">
        <v>213</v>
      </c>
    </row>
    <row r="2" spans="1:14" x14ac:dyDescent="0.25">
      <c r="A2" s="2" t="str">
        <f>PLANTILLA!D4</f>
        <v>E. Tarrida</v>
      </c>
      <c r="B2" s="2">
        <f>PLANTILLA!E4</f>
        <v>27</v>
      </c>
      <c r="C2" s="58">
        <f ca="1">PLANTILLA!F4</f>
        <v>78</v>
      </c>
      <c r="D2" s="107">
        <f t="shared" ref="D2" ca="1" si="0">TODAY()-(B2*112)-C2</f>
        <v>41590</v>
      </c>
      <c r="E2" s="18">
        <f t="shared" ref="E2" ca="1" si="1">VLOOKUP(D2,L:N,3,0)</f>
        <v>29</v>
      </c>
      <c r="L2" s="5">
        <v>43748</v>
      </c>
      <c r="M2">
        <v>15</v>
      </c>
      <c r="N2">
        <v>48</v>
      </c>
    </row>
    <row r="3" spans="1:14" x14ac:dyDescent="0.25">
      <c r="A3" s="2" t="str">
        <f>PLANTILLA!D5</f>
        <v>S. Candela</v>
      </c>
      <c r="B3" s="2">
        <f>PLANTILLA!E5</f>
        <v>30</v>
      </c>
      <c r="C3" s="165">
        <f ca="1">PLANTILLA!F5</f>
        <v>69</v>
      </c>
      <c r="D3" s="107">
        <f t="shared" ref="D3:D14" ca="1" si="2">TODAY()-(B3*112)-C3</f>
        <v>41263</v>
      </c>
      <c r="E3" s="18">
        <f t="shared" ref="E3:E14" ca="1" si="3">VLOOKUP(D3,L:N,3,0)</f>
        <v>26</v>
      </c>
      <c r="L3" s="5">
        <v>43747</v>
      </c>
      <c r="M3">
        <v>15</v>
      </c>
      <c r="N3">
        <v>48</v>
      </c>
    </row>
    <row r="4" spans="1:14" x14ac:dyDescent="0.25">
      <c r="A4" s="2" t="str">
        <f>PLANTILLA!D19</f>
        <v>D. Juliol</v>
      </c>
      <c r="B4" s="2">
        <f>PLANTILLA!E19</f>
        <v>24</v>
      </c>
      <c r="C4" s="165">
        <f ca="1">PLANTILLA!F19</f>
        <v>23</v>
      </c>
      <c r="D4" s="107">
        <f t="shared" ca="1" si="2"/>
        <v>41981</v>
      </c>
      <c r="E4" s="18">
        <f t="shared" ca="1" si="3"/>
        <v>33</v>
      </c>
      <c r="L4" s="5">
        <v>43746</v>
      </c>
      <c r="M4">
        <v>15</v>
      </c>
      <c r="N4">
        <v>48</v>
      </c>
    </row>
    <row r="5" spans="1:14" x14ac:dyDescent="0.25">
      <c r="A5" s="2" t="str">
        <f>PLANTILLA!D10</f>
        <v>D. Alemany</v>
      </c>
      <c r="B5" s="2">
        <f>PLANTILLA!E10</f>
        <v>21</v>
      </c>
      <c r="C5" s="165">
        <f ca="1">PLANTILLA!F10</f>
        <v>72</v>
      </c>
      <c r="D5" s="107">
        <f t="shared" ca="1" si="2"/>
        <v>42268</v>
      </c>
      <c r="E5" s="18">
        <f t="shared" ca="1" si="3"/>
        <v>35</v>
      </c>
      <c r="L5" s="5">
        <v>43745</v>
      </c>
      <c r="M5">
        <v>15</v>
      </c>
      <c r="N5">
        <v>48</v>
      </c>
    </row>
    <row r="6" spans="1:14" x14ac:dyDescent="0.25">
      <c r="A6" s="2" t="str">
        <f>PLANTILLA!D9</f>
        <v>P. Recatalà</v>
      </c>
      <c r="B6" s="2">
        <f>PLANTILLA!E9</f>
        <v>23</v>
      </c>
      <c r="C6" s="165">
        <f ca="1">PLANTILLA!F9</f>
        <v>21</v>
      </c>
      <c r="D6" s="107">
        <f t="shared" ca="1" si="2"/>
        <v>42095</v>
      </c>
      <c r="E6" s="18">
        <f t="shared" ca="1" si="3"/>
        <v>34</v>
      </c>
      <c r="L6" s="5">
        <v>43744</v>
      </c>
      <c r="M6">
        <v>14</v>
      </c>
      <c r="N6">
        <v>48</v>
      </c>
    </row>
    <row r="7" spans="1:14" x14ac:dyDescent="0.25">
      <c r="A7" s="2" t="str">
        <f>PLANTILLA!D12</f>
        <v>G. Durand</v>
      </c>
      <c r="B7" s="2">
        <f>PLANTILLA!E12</f>
        <v>24</v>
      </c>
      <c r="C7" s="165">
        <f ca="1">PLANTILLA!F12</f>
        <v>93</v>
      </c>
      <c r="D7" s="107">
        <f t="shared" ca="1" si="2"/>
        <v>41911</v>
      </c>
      <c r="E7" s="18">
        <f t="shared" ca="1" si="3"/>
        <v>32</v>
      </c>
      <c r="L7" s="5">
        <v>43743</v>
      </c>
      <c r="M7">
        <v>14</v>
      </c>
      <c r="N7">
        <v>48</v>
      </c>
    </row>
    <row r="8" spans="1:14" x14ac:dyDescent="0.25">
      <c r="A8" s="2" t="str">
        <f>PLANTILLA!D13</f>
        <v>B. Corominola</v>
      </c>
      <c r="B8" s="2">
        <f>PLANTILLA!E13</f>
        <v>25</v>
      </c>
      <c r="C8" s="165">
        <f ca="1">PLANTILLA!F13</f>
        <v>53</v>
      </c>
      <c r="D8" s="107">
        <f t="shared" ca="1" si="2"/>
        <v>41839</v>
      </c>
      <c r="E8" s="18">
        <f t="shared" ca="1" si="3"/>
        <v>31</v>
      </c>
      <c r="L8" s="5">
        <v>43742</v>
      </c>
      <c r="M8">
        <v>14</v>
      </c>
      <c r="N8">
        <v>48</v>
      </c>
    </row>
    <row r="9" spans="1:14" x14ac:dyDescent="0.25">
      <c r="A9" s="2" t="str">
        <f>PLANTILLA!D14</f>
        <v>T. Orozco</v>
      </c>
      <c r="B9" s="2">
        <f>PLANTILLA!E14</f>
        <v>25</v>
      </c>
      <c r="C9" s="165">
        <f ca="1">PLANTILLA!F14</f>
        <v>86</v>
      </c>
      <c r="D9" s="107">
        <f t="shared" ca="1" si="2"/>
        <v>41806</v>
      </c>
      <c r="E9" s="18">
        <f t="shared" ca="1" si="3"/>
        <v>31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PLANTILLA!D15</f>
        <v>A. Retegui</v>
      </c>
      <c r="B10" s="2">
        <f>PLANTILLA!E15</f>
        <v>22</v>
      </c>
      <c r="C10" s="165">
        <f ca="1">PLANTILLA!F15</f>
        <v>83</v>
      </c>
      <c r="D10" s="107">
        <f t="shared" ca="1" si="2"/>
        <v>42145</v>
      </c>
      <c r="E10" s="18">
        <f t="shared" ca="1" si="3"/>
        <v>34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PLANTILLA!D16</f>
        <v>A. Balsebre</v>
      </c>
      <c r="B11" s="2">
        <f>PLANTILLA!E16</f>
        <v>23</v>
      </c>
      <c r="C11" s="165">
        <f ca="1">PLANTILLA!F16</f>
        <v>44</v>
      </c>
      <c r="D11" s="107">
        <f t="shared" ca="1" si="2"/>
        <v>42072</v>
      </c>
      <c r="E11" s="18">
        <f t="shared" ca="1" si="3"/>
        <v>33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PLANTILLA!D17</f>
        <v>T. Lebon</v>
      </c>
      <c r="B12" s="2">
        <f>PLANTILLA!E17</f>
        <v>24</v>
      </c>
      <c r="C12" s="165">
        <f ca="1">PLANTILLA!F17</f>
        <v>46</v>
      </c>
      <c r="D12" s="107">
        <f t="shared" ca="1" si="2"/>
        <v>41958</v>
      </c>
      <c r="E12" s="18">
        <f t="shared" ca="1" si="3"/>
        <v>32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PLANTILLA!D18</f>
        <v>L. Grière</v>
      </c>
      <c r="B13" s="2">
        <f>PLANTILLA!E18</f>
        <v>23</v>
      </c>
      <c r="C13" s="165">
        <f ca="1">PLANTILLA!F18</f>
        <v>65</v>
      </c>
      <c r="D13" s="107">
        <f t="shared" ca="1" si="2"/>
        <v>42051</v>
      </c>
      <c r="E13" s="18">
        <f t="shared" ca="1" si="3"/>
        <v>33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PLANTILLA!D20</f>
        <v>P. Molins</v>
      </c>
      <c r="B14" s="2">
        <f>PLANTILLA!E20</f>
        <v>18</v>
      </c>
      <c r="C14" s="165">
        <f ca="1">PLANTILLA!F20</f>
        <v>98</v>
      </c>
      <c r="D14" s="107">
        <f t="shared" ca="1" si="2"/>
        <v>42578</v>
      </c>
      <c r="E14" s="18">
        <f t="shared" ca="1" si="3"/>
        <v>38</v>
      </c>
      <c r="L14" s="5">
        <v>43736</v>
      </c>
      <c r="M14">
        <v>13</v>
      </c>
      <c r="N14">
        <v>48</v>
      </c>
    </row>
    <row r="15" spans="1:14" x14ac:dyDescent="0.25">
      <c r="A15" s="2" t="str">
        <f>PLANTILLA!D11</f>
        <v>L. Müller</v>
      </c>
      <c r="B15" s="2">
        <f>PLANTILLA!E11</f>
        <v>20</v>
      </c>
      <c r="C15" s="165">
        <f ca="1">PLANTILLA!F11</f>
        <v>88</v>
      </c>
      <c r="D15" s="107">
        <f t="shared" ref="D15:D24" ca="1" si="4">TODAY()-(B15*112)-C15</f>
        <v>42364</v>
      </c>
      <c r="E15" s="270">
        <f t="shared" ref="E15:E24" ca="1" si="5">VLOOKUP(D15,L:N,3,0)</f>
        <v>36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PLANTILLA!D21</f>
        <v>A. Baldoví</v>
      </c>
      <c r="B16" s="2">
        <f>PLANTILLA!E21</f>
        <v>24</v>
      </c>
      <c r="C16" s="165">
        <f ca="1">PLANTILLA!F21</f>
        <v>18</v>
      </c>
      <c r="D16" s="107">
        <f t="shared" ca="1" si="4"/>
        <v>41986</v>
      </c>
      <c r="E16" s="270">
        <f t="shared" ca="1" si="5"/>
        <v>33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PLANTILLA!D22</f>
        <v>R. Abrain</v>
      </c>
      <c r="B17" s="2">
        <f>PLANTILLA!E22</f>
        <v>24</v>
      </c>
      <c r="C17" s="165">
        <f ca="1">PLANTILLA!F22</f>
        <v>3</v>
      </c>
      <c r="D17" s="107">
        <f t="shared" ca="1" si="4"/>
        <v>42001</v>
      </c>
      <c r="E17" s="270">
        <f t="shared" ca="1" si="5"/>
        <v>33</v>
      </c>
      <c r="L17" s="5">
        <v>43733</v>
      </c>
      <c r="M17">
        <v>13</v>
      </c>
      <c r="N17">
        <v>48</v>
      </c>
    </row>
    <row r="18" spans="1:14" x14ac:dyDescent="0.25">
      <c r="A18" s="2" t="str">
        <f>PLANTILLA!D23</f>
        <v>L. Cabistany</v>
      </c>
      <c r="B18" s="2">
        <f>PLANTILLA!E23</f>
        <v>22</v>
      </c>
      <c r="C18" s="165">
        <f ca="1">PLANTILLA!F23</f>
        <v>52</v>
      </c>
      <c r="D18" s="107">
        <f t="shared" ca="1" si="4"/>
        <v>42176</v>
      </c>
      <c r="E18" s="270">
        <f t="shared" ca="1" si="5"/>
        <v>34</v>
      </c>
      <c r="L18" s="5">
        <v>43732</v>
      </c>
      <c r="M18">
        <v>13</v>
      </c>
      <c r="N18">
        <v>48</v>
      </c>
    </row>
    <row r="19" spans="1:14" x14ac:dyDescent="0.25">
      <c r="A19" s="2" t="str">
        <f>PLANTILLA!D24</f>
        <v>I. Velayo</v>
      </c>
      <c r="B19" s="2">
        <f>PLANTILLA!E24</f>
        <v>25</v>
      </c>
      <c r="C19" s="165">
        <f ca="1">PLANTILLA!F24</f>
        <v>105</v>
      </c>
      <c r="D19" s="107">
        <f t="shared" ca="1" si="4"/>
        <v>41787</v>
      </c>
      <c r="E19" s="270">
        <f t="shared" ca="1" si="5"/>
        <v>31</v>
      </c>
      <c r="L19" s="5">
        <v>43731</v>
      </c>
      <c r="M19">
        <v>13</v>
      </c>
      <c r="N19">
        <v>48</v>
      </c>
    </row>
    <row r="20" spans="1:14" x14ac:dyDescent="0.25">
      <c r="A20" s="2" t="e">
        <f>PLANTILLA!#REF!</f>
        <v>#REF!</v>
      </c>
      <c r="B20" s="2" t="e">
        <f>PLANTILLA!#REF!</f>
        <v>#REF!</v>
      </c>
      <c r="C20" s="165" t="e">
        <f>PLANTILLA!#REF!</f>
        <v>#REF!</v>
      </c>
      <c r="D20" s="107" t="e">
        <f t="shared" ca="1" si="4"/>
        <v>#REF!</v>
      </c>
      <c r="E20" s="270" t="e">
        <f t="shared" ca="1" si="5"/>
        <v>#REF!</v>
      </c>
      <c r="L20" s="5">
        <v>43730</v>
      </c>
      <c r="M20">
        <v>12</v>
      </c>
      <c r="N20">
        <v>48</v>
      </c>
    </row>
    <row r="21" spans="1:14" x14ac:dyDescent="0.25">
      <c r="A21" s="2" t="e">
        <f>PLANTILLA!#REF!</f>
        <v>#REF!</v>
      </c>
      <c r="B21" s="2" t="e">
        <f>PLANTILLA!#REF!</f>
        <v>#REF!</v>
      </c>
      <c r="C21" s="165" t="e">
        <f>PLANTILLA!#REF!</f>
        <v>#REF!</v>
      </c>
      <c r="D21" s="107" t="e">
        <f t="shared" ca="1" si="4"/>
        <v>#REF!</v>
      </c>
      <c r="E21" s="270" t="e">
        <f t="shared" ca="1" si="5"/>
        <v>#REF!</v>
      </c>
      <c r="L21" s="5">
        <v>43729</v>
      </c>
      <c r="M21">
        <v>12</v>
      </c>
      <c r="N21">
        <v>48</v>
      </c>
    </row>
    <row r="22" spans="1:14" x14ac:dyDescent="0.25">
      <c r="A22" s="2" t="e">
        <f>PLANTILLA!#REF!</f>
        <v>#REF!</v>
      </c>
      <c r="B22" s="2" t="e">
        <f>PLANTILLA!#REF!</f>
        <v>#REF!</v>
      </c>
      <c r="C22" s="165" t="e">
        <f>PLANTILLA!#REF!</f>
        <v>#REF!</v>
      </c>
      <c r="D22" s="107" t="e">
        <f t="shared" ca="1" si="4"/>
        <v>#REF!</v>
      </c>
      <c r="E22" s="270" t="e">
        <f t="shared" ca="1" si="5"/>
        <v>#REF!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65" t="e">
        <f>PLANTILLA!#REF!</f>
        <v>#REF!</v>
      </c>
      <c r="D23" s="107" t="e">
        <f t="shared" ca="1" si="4"/>
        <v>#REF!</v>
      </c>
      <c r="E23" s="270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65" t="e">
        <f>PLANTILLA!#REF!</f>
        <v>#REF!</v>
      </c>
      <c r="D24" s="107" t="e">
        <f t="shared" ca="1" si="4"/>
        <v>#REF!</v>
      </c>
      <c r="E24" s="270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65"/>
      <c r="D25" s="107"/>
      <c r="E25" s="18"/>
      <c r="L25" s="5">
        <v>43725</v>
      </c>
      <c r="M25">
        <v>12</v>
      </c>
      <c r="N25">
        <v>48</v>
      </c>
    </row>
    <row r="26" spans="1:14" x14ac:dyDescent="0.25">
      <c r="C26" s="165"/>
      <c r="D26" s="107"/>
      <c r="E26" s="18"/>
      <c r="L26" s="5">
        <v>43724</v>
      </c>
      <c r="M26">
        <v>12</v>
      </c>
      <c r="N26">
        <v>48</v>
      </c>
    </row>
    <row r="27" spans="1:14" x14ac:dyDescent="0.25">
      <c r="C27" s="165"/>
      <c r="D27" s="107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65"/>
      <c r="D28" s="107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65"/>
      <c r="D29" s="107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65"/>
      <c r="D30" s="107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65"/>
      <c r="D31" s="107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65"/>
      <c r="D32" s="107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65"/>
      <c r="D33" s="107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65"/>
      <c r="D34" s="107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65"/>
      <c r="D35" s="107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65"/>
      <c r="D36" s="107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65"/>
      <c r="D37" s="107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65"/>
      <c r="D38" s="107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65"/>
      <c r="D39" s="107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65"/>
      <c r="D40" s="107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65"/>
      <c r="D41" s="107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65"/>
      <c r="D42" s="107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65"/>
      <c r="D43" s="107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65"/>
      <c r="D44" s="107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65"/>
      <c r="D45" s="107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FITES</vt:lpstr>
      <vt:lpstr>PLANTILLA</vt:lpstr>
      <vt:lpstr>JUVENILES</vt:lpstr>
      <vt:lpstr>SemEntrenamiento</vt:lpstr>
      <vt:lpstr>PLANNING</vt:lpstr>
      <vt:lpstr>ESTADIO</vt:lpstr>
      <vt:lpstr>Patrocinadores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2022-05-11T14:33:34Z</dcterms:modified>
</cp:coreProperties>
</file>